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shortcut-targets-by-id\1vNstHq0SqZxu9Mn7yUcvjbLY-eS-NEHl\HOTEL PASCUAL 2018\EERR\2019\8.-Agosto\"/>
    </mc:Choice>
  </mc:AlternateContent>
  <bookViews>
    <workbookView xWindow="0" yWindow="0" windowWidth="28800" windowHeight="11835"/>
  </bookViews>
  <sheets>
    <sheet name="EERR" sheetId="11" r:id="rId1"/>
    <sheet name="Ago" sheetId="16" r:id="rId2"/>
    <sheet name="Siteminder" sheetId="38" r:id="rId3"/>
    <sheet name="Transbank" sheetId="23" r:id="rId4"/>
    <sheet name="BCI " sheetId="15" r:id="rId5"/>
    <sheet name="Security" sheetId="8" r:id="rId6"/>
    <sheet name="BCI FondRendir" sheetId="14" r:id="rId7"/>
    <sheet name="1" sheetId="36" state="hidden" r:id="rId8"/>
    <sheet name="IVA Sergio" sheetId="37" state="hidden" r:id="rId9"/>
  </sheets>
  <externalReferences>
    <externalReference r:id="rId10"/>
  </externalReferences>
  <definedNames>
    <definedName name="_xlnm._FilterDatabase" localSheetId="1" hidden="1">Ago!$A$2:$X$110</definedName>
    <definedName name="_xlnm._FilterDatabase" localSheetId="4" hidden="1">'BCI '!$B$2:$K$154</definedName>
    <definedName name="_xlnm._FilterDatabase" localSheetId="6" hidden="1">'BCI FondRendir'!$A$1:$J$134</definedName>
    <definedName name="_xlnm._FilterDatabase" localSheetId="5" hidden="1">Security!$A$1:$G$61</definedName>
    <definedName name="_xlnm._FilterDatabase" localSheetId="2" hidden="1">Siteminder!$A$4:$N$111</definedName>
    <definedName name="_xlnm._FilterDatabase" localSheetId="3" hidden="1">Transbank!$A$1:$P$395</definedName>
    <definedName name="Clasificación">[1]Hoja1!$A$2:$A$10</definedName>
  </definedNames>
  <calcPr calcId="152511"/>
</workbook>
</file>

<file path=xl/calcChain.xml><?xml version="1.0" encoding="utf-8"?>
<calcChain xmlns="http://schemas.openxmlformats.org/spreadsheetml/2006/main">
  <c r="E24" i="11" l="1"/>
  <c r="L108" i="15" l="1"/>
  <c r="S70" i="16" l="1"/>
  <c r="S71" i="16"/>
  <c r="S72" i="16"/>
  <c r="S73" i="16"/>
  <c r="S74" i="16"/>
  <c r="S75" i="16"/>
  <c r="S76" i="16"/>
  <c r="S77" i="16"/>
  <c r="S78" i="16"/>
  <c r="S79" i="16"/>
  <c r="S80" i="16"/>
  <c r="S81" i="16"/>
  <c r="S82" i="16"/>
  <c r="S83" i="16"/>
  <c r="S84" i="16"/>
  <c r="S85" i="16"/>
  <c r="S86" i="16"/>
  <c r="S69" i="16"/>
  <c r="S4" i="16" l="1"/>
  <c r="T4" i="16"/>
  <c r="S5" i="16"/>
  <c r="T5" i="16"/>
  <c r="V5" i="16" s="1"/>
  <c r="S6" i="16"/>
  <c r="T6" i="16"/>
  <c r="S7" i="16"/>
  <c r="T7" i="16"/>
  <c r="V7" i="16" s="1"/>
  <c r="S8" i="16"/>
  <c r="T8" i="16"/>
  <c r="S9" i="16"/>
  <c r="T9" i="16"/>
  <c r="V9" i="16" s="1"/>
  <c r="S10" i="16"/>
  <c r="T10" i="16"/>
  <c r="S11" i="16"/>
  <c r="T11" i="16"/>
  <c r="V11" i="16" s="1"/>
  <c r="S12" i="16"/>
  <c r="U12" i="16" s="1"/>
  <c r="T12" i="16"/>
  <c r="S13" i="16"/>
  <c r="T13" i="16"/>
  <c r="V13" i="16" s="1"/>
  <c r="S14" i="16"/>
  <c r="T14" i="16"/>
  <c r="V14" i="16" s="1"/>
  <c r="U14" i="16"/>
  <c r="S15" i="16"/>
  <c r="U15" i="16" s="1"/>
  <c r="T15" i="16"/>
  <c r="S16" i="16"/>
  <c r="T16" i="16"/>
  <c r="S17" i="16"/>
  <c r="U17" i="16" s="1"/>
  <c r="T17" i="16"/>
  <c r="S18" i="16"/>
  <c r="T18" i="16"/>
  <c r="V18" i="16" s="1"/>
  <c r="U18" i="16"/>
  <c r="S19" i="16"/>
  <c r="U19" i="16" s="1"/>
  <c r="T19" i="16"/>
  <c r="V19" i="16" s="1"/>
  <c r="S20" i="16"/>
  <c r="U20" i="16" s="1"/>
  <c r="T20" i="16"/>
  <c r="V20" i="16" s="1"/>
  <c r="S21" i="16"/>
  <c r="T21" i="16"/>
  <c r="V21" i="16" s="1"/>
  <c r="S22" i="16"/>
  <c r="U22" i="16" s="1"/>
  <c r="T22" i="16"/>
  <c r="S23" i="16"/>
  <c r="T23" i="16"/>
  <c r="V23" i="16" s="1"/>
  <c r="S24" i="16"/>
  <c r="T24" i="16"/>
  <c r="V24" i="16" s="1"/>
  <c r="U24" i="16"/>
  <c r="S25" i="16"/>
  <c r="U25" i="16" s="1"/>
  <c r="T25" i="16"/>
  <c r="S26" i="16"/>
  <c r="T26" i="16"/>
  <c r="V26" i="16" s="1"/>
  <c r="U26" i="16"/>
  <c r="S27" i="16"/>
  <c r="T27" i="16"/>
  <c r="V27" i="16" s="1"/>
  <c r="S28" i="16"/>
  <c r="U28" i="16" s="1"/>
  <c r="T28" i="16"/>
  <c r="V28" i="16" s="1"/>
  <c r="S29" i="16"/>
  <c r="T29" i="16"/>
  <c r="S30" i="16"/>
  <c r="U30" i="16" s="1"/>
  <c r="T30" i="16"/>
  <c r="S31" i="16"/>
  <c r="T31" i="16"/>
  <c r="V31" i="16" s="1"/>
  <c r="S32" i="16"/>
  <c r="T32" i="16"/>
  <c r="V32" i="16" s="1"/>
  <c r="U32" i="16"/>
  <c r="S33" i="16"/>
  <c r="U33" i="16" s="1"/>
  <c r="T33" i="16"/>
  <c r="S34" i="16"/>
  <c r="T34" i="16"/>
  <c r="V34" i="16" s="1"/>
  <c r="S35" i="16"/>
  <c r="T35" i="16"/>
  <c r="S36" i="16"/>
  <c r="T36" i="16"/>
  <c r="V36" i="16" s="1"/>
  <c r="U36" i="16"/>
  <c r="S37" i="16"/>
  <c r="T37" i="16"/>
  <c r="V37" i="16" s="1"/>
  <c r="S38" i="16"/>
  <c r="U38" i="16" s="1"/>
  <c r="T38" i="16"/>
  <c r="S39" i="16"/>
  <c r="T39" i="16"/>
  <c r="V39" i="16" s="1"/>
  <c r="S40" i="16"/>
  <c r="U40" i="16" s="1"/>
  <c r="T40" i="16"/>
  <c r="S41" i="16"/>
  <c r="T41" i="16"/>
  <c r="V41" i="16" s="1"/>
  <c r="S42" i="16"/>
  <c r="T42" i="16"/>
  <c r="V42" i="16" s="1"/>
  <c r="U42" i="16"/>
  <c r="U21" i="16" l="1"/>
  <c r="U11" i="16"/>
  <c r="U7" i="16"/>
  <c r="V40" i="16"/>
  <c r="U37" i="16"/>
  <c r="V33" i="16"/>
  <c r="V30" i="16"/>
  <c r="U27" i="16"/>
  <c r="U10" i="16"/>
  <c r="U6" i="16"/>
  <c r="U41" i="16"/>
  <c r="U23" i="16"/>
  <c r="U13" i="16"/>
  <c r="U39" i="16"/>
  <c r="U29" i="16"/>
  <c r="U9" i="16"/>
  <c r="U5" i="16"/>
  <c r="U31" i="16"/>
  <c r="V25" i="16"/>
  <c r="V22" i="16"/>
  <c r="V15" i="16"/>
  <c r="V12" i="16"/>
  <c r="U8" i="16"/>
  <c r="U4" i="16"/>
  <c r="V38" i="16"/>
  <c r="U35" i="16"/>
  <c r="V35" i="16"/>
  <c r="V29" i="16"/>
  <c r="V17" i="16"/>
  <c r="U34" i="16"/>
  <c r="V16" i="16"/>
  <c r="U16" i="16"/>
  <c r="V10" i="16"/>
  <c r="V8" i="16"/>
  <c r="V6" i="16"/>
  <c r="V4" i="16"/>
  <c r="G49" i="11"/>
  <c r="J4" i="15" l="1"/>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F146" i="15"/>
  <c r="F147" i="15"/>
  <c r="F148" i="15"/>
  <c r="F149" i="15"/>
  <c r="J3" i="15"/>
  <c r="K3" i="15"/>
  <c r="O14" i="23" l="1"/>
  <c r="O15" i="23"/>
  <c r="O16" i="23"/>
  <c r="O17" i="23"/>
  <c r="O18" i="23"/>
  <c r="O19" i="23"/>
  <c r="O20" i="23"/>
  <c r="O21" i="23"/>
  <c r="O22" i="23"/>
  <c r="N18" i="23"/>
  <c r="L18" i="23"/>
  <c r="M18" i="23" s="1"/>
  <c r="N17" i="23"/>
  <c r="L17" i="23"/>
  <c r="M17" i="23" s="1"/>
  <c r="L19" i="23"/>
  <c r="M19" i="23" s="1"/>
  <c r="N19" i="23"/>
  <c r="N16" i="23"/>
  <c r="L16" i="23"/>
  <c r="M16" i="23" s="1"/>
  <c r="N15" i="23"/>
  <c r="L15" i="23"/>
  <c r="M15" i="23" s="1"/>
  <c r="S3" i="16"/>
  <c r="T3" i="16"/>
  <c r="O92" i="23"/>
  <c r="O93" i="23"/>
  <c r="O94" i="23"/>
  <c r="O95" i="23"/>
  <c r="O96" i="23"/>
  <c r="O90" i="23"/>
  <c r="O91" i="23"/>
  <c r="N90" i="23"/>
  <c r="L90" i="23"/>
  <c r="M90" i="23" s="1"/>
  <c r="O86" i="23"/>
  <c r="O87" i="23"/>
  <c r="O88" i="23"/>
  <c r="N86" i="23"/>
  <c r="L86" i="23"/>
  <c r="M86" i="23" s="1"/>
  <c r="L79" i="23"/>
  <c r="M79" i="23" s="1"/>
  <c r="N79" i="23"/>
  <c r="O81" i="23"/>
  <c r="O82" i="23"/>
  <c r="O83" i="23"/>
  <c r="O84" i="23"/>
  <c r="O85" i="23"/>
  <c r="O79" i="23"/>
  <c r="O80" i="23"/>
  <c r="O4" i="23"/>
  <c r="O5" i="23"/>
  <c r="O6" i="23"/>
  <c r="O7" i="23"/>
  <c r="O8" i="23"/>
  <c r="O9" i="23"/>
  <c r="O10" i="23"/>
  <c r="O11" i="23"/>
  <c r="O12" i="23"/>
  <c r="O13"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89" i="23"/>
  <c r="O97" i="23"/>
  <c r="O98" i="23"/>
  <c r="O99" i="23"/>
  <c r="O100" i="23"/>
  <c r="O101" i="23"/>
  <c r="O102" i="23"/>
  <c r="O103" i="23"/>
  <c r="O104" i="23"/>
  <c r="O105" i="23"/>
  <c r="O106" i="23"/>
  <c r="O107" i="23"/>
  <c r="O108" i="23"/>
  <c r="O109" i="23"/>
  <c r="O110" i="23"/>
  <c r="O111" i="23"/>
  <c r="O112" i="23"/>
  <c r="O113" i="23"/>
  <c r="O3" i="23"/>
  <c r="J68" i="16"/>
  <c r="K111" i="16"/>
  <c r="L111" i="16"/>
  <c r="M111" i="16"/>
  <c r="N111" i="16"/>
  <c r="O111" i="16"/>
  <c r="P111" i="16"/>
  <c r="Q111" i="16"/>
  <c r="J111" i="16"/>
  <c r="K6" i="38"/>
  <c r="L6" i="38" s="1"/>
  <c r="M6" i="38" s="1"/>
  <c r="N6" i="38" s="1"/>
  <c r="K7" i="38"/>
  <c r="L7" i="38" s="1"/>
  <c r="M7" i="38" s="1"/>
  <c r="N7" i="38" s="1"/>
  <c r="K8" i="38"/>
  <c r="L8" i="38" s="1"/>
  <c r="M8" i="38" s="1"/>
  <c r="N8" i="38" s="1"/>
  <c r="K9" i="38"/>
  <c r="L9" i="38" s="1"/>
  <c r="M9" i="38" s="1"/>
  <c r="N9" i="38" s="1"/>
  <c r="K10" i="38"/>
  <c r="L10" i="38" s="1"/>
  <c r="M10" i="38" s="1"/>
  <c r="N10" i="38" s="1"/>
  <c r="K11" i="38"/>
  <c r="L11" i="38" s="1"/>
  <c r="M11" i="38" s="1"/>
  <c r="N11" i="38" s="1"/>
  <c r="K12" i="38"/>
  <c r="L12" i="38" s="1"/>
  <c r="M12" i="38" s="1"/>
  <c r="N12" i="38" s="1"/>
  <c r="K13" i="38"/>
  <c r="L13" i="38" s="1"/>
  <c r="M13" i="38" s="1"/>
  <c r="N13" i="38" s="1"/>
  <c r="K14" i="38"/>
  <c r="L14" i="38" s="1"/>
  <c r="M14" i="38" s="1"/>
  <c r="N14" i="38" s="1"/>
  <c r="K15" i="38"/>
  <c r="L15" i="38" s="1"/>
  <c r="M15" i="38" s="1"/>
  <c r="N15" i="38" s="1"/>
  <c r="K16" i="38"/>
  <c r="L16" i="38" s="1"/>
  <c r="M16" i="38" s="1"/>
  <c r="N16" i="38" s="1"/>
  <c r="K17" i="38"/>
  <c r="L17" i="38" s="1"/>
  <c r="M17" i="38" s="1"/>
  <c r="N17" i="38" s="1"/>
  <c r="K18" i="38"/>
  <c r="L18" i="38" s="1"/>
  <c r="M18" i="38" s="1"/>
  <c r="N18" i="38" s="1"/>
  <c r="K19" i="38"/>
  <c r="L19" i="38" s="1"/>
  <c r="M19" i="38" s="1"/>
  <c r="N19" i="38" s="1"/>
  <c r="K20" i="38"/>
  <c r="L20" i="38" s="1"/>
  <c r="M20" i="38" s="1"/>
  <c r="N20" i="38" s="1"/>
  <c r="K21" i="38"/>
  <c r="L21" i="38" s="1"/>
  <c r="M21" i="38" s="1"/>
  <c r="N21" i="38" s="1"/>
  <c r="K22" i="38"/>
  <c r="L22" i="38" s="1"/>
  <c r="M22" i="38" s="1"/>
  <c r="N22" i="38" s="1"/>
  <c r="K23" i="38"/>
  <c r="L23" i="38" s="1"/>
  <c r="M23" i="38" s="1"/>
  <c r="N23" i="38" s="1"/>
  <c r="K24" i="38"/>
  <c r="L24" i="38" s="1"/>
  <c r="M24" i="38" s="1"/>
  <c r="N24" i="38" s="1"/>
  <c r="K25" i="38"/>
  <c r="L25" i="38" s="1"/>
  <c r="M25" i="38" s="1"/>
  <c r="N25" i="38" s="1"/>
  <c r="K26" i="38"/>
  <c r="L26" i="38" s="1"/>
  <c r="M26" i="38" s="1"/>
  <c r="N26" i="38" s="1"/>
  <c r="K27" i="38"/>
  <c r="L27" i="38" s="1"/>
  <c r="M27" i="38" s="1"/>
  <c r="N27" i="38" s="1"/>
  <c r="K28" i="38"/>
  <c r="L28" i="38" s="1"/>
  <c r="M28" i="38" s="1"/>
  <c r="N28" i="38" s="1"/>
  <c r="K29" i="38"/>
  <c r="L29" i="38" s="1"/>
  <c r="M29" i="38" s="1"/>
  <c r="N29" i="38" s="1"/>
  <c r="K30" i="38"/>
  <c r="L30" i="38" s="1"/>
  <c r="M30" i="38" s="1"/>
  <c r="N30" i="38" s="1"/>
  <c r="K31" i="38"/>
  <c r="L31" i="38" s="1"/>
  <c r="M31" i="38" s="1"/>
  <c r="N31" i="38" s="1"/>
  <c r="K32" i="38"/>
  <c r="L32" i="38" s="1"/>
  <c r="M32" i="38" s="1"/>
  <c r="N32" i="38" s="1"/>
  <c r="K33" i="38"/>
  <c r="L33" i="38" s="1"/>
  <c r="M33" i="38" s="1"/>
  <c r="N33" i="38" s="1"/>
  <c r="K34" i="38"/>
  <c r="L34" i="38" s="1"/>
  <c r="M34" i="38" s="1"/>
  <c r="N34" i="38" s="1"/>
  <c r="K35" i="38"/>
  <c r="L35" i="38" s="1"/>
  <c r="M35" i="38" s="1"/>
  <c r="N35" i="38" s="1"/>
  <c r="K36" i="38"/>
  <c r="L36" i="38" s="1"/>
  <c r="M36" i="38" s="1"/>
  <c r="N36" i="38" s="1"/>
  <c r="K37" i="38"/>
  <c r="L37" i="38" s="1"/>
  <c r="M37" i="38" s="1"/>
  <c r="N37" i="38" s="1"/>
  <c r="K38" i="38"/>
  <c r="L38" i="38" s="1"/>
  <c r="M38" i="38" s="1"/>
  <c r="N38" i="38" s="1"/>
  <c r="K39" i="38"/>
  <c r="L39" i="38" s="1"/>
  <c r="M39" i="38" s="1"/>
  <c r="N39" i="38" s="1"/>
  <c r="K40" i="38"/>
  <c r="L40" i="38" s="1"/>
  <c r="M40" i="38" s="1"/>
  <c r="N40" i="38" s="1"/>
  <c r="K41" i="38"/>
  <c r="L41" i="38" s="1"/>
  <c r="M41" i="38" s="1"/>
  <c r="N41" i="38" s="1"/>
  <c r="K42" i="38"/>
  <c r="L42" i="38" s="1"/>
  <c r="M42" i="38" s="1"/>
  <c r="N42" i="38" s="1"/>
  <c r="K43" i="38"/>
  <c r="L43" i="38" s="1"/>
  <c r="M43" i="38" s="1"/>
  <c r="N43" i="38" s="1"/>
  <c r="K44" i="38"/>
  <c r="L44" i="38" s="1"/>
  <c r="M44" i="38" s="1"/>
  <c r="N44" i="38" s="1"/>
  <c r="K45" i="38"/>
  <c r="L45" i="38" s="1"/>
  <c r="M45" i="38" s="1"/>
  <c r="N45" i="38" s="1"/>
  <c r="K46" i="38"/>
  <c r="L46" i="38" s="1"/>
  <c r="M46" i="38" s="1"/>
  <c r="N46" i="38" s="1"/>
  <c r="K47" i="38"/>
  <c r="L47" i="38" s="1"/>
  <c r="M47" i="38" s="1"/>
  <c r="N47" i="38" s="1"/>
  <c r="K48" i="38"/>
  <c r="L48" i="38" s="1"/>
  <c r="M48" i="38" s="1"/>
  <c r="N48" i="38" s="1"/>
  <c r="K49" i="38"/>
  <c r="L49" i="38" s="1"/>
  <c r="M49" i="38" s="1"/>
  <c r="N49" i="38" s="1"/>
  <c r="K50" i="38"/>
  <c r="L50" i="38" s="1"/>
  <c r="M50" i="38" s="1"/>
  <c r="N50" i="38" s="1"/>
  <c r="K51" i="38"/>
  <c r="L51" i="38" s="1"/>
  <c r="M51" i="38" s="1"/>
  <c r="N51" i="38" s="1"/>
  <c r="K52" i="38"/>
  <c r="L52" i="38" s="1"/>
  <c r="M52" i="38" s="1"/>
  <c r="N52" i="38" s="1"/>
  <c r="K53" i="38"/>
  <c r="L53" i="38" s="1"/>
  <c r="M53" i="38" s="1"/>
  <c r="N53" i="38" s="1"/>
  <c r="K54" i="38"/>
  <c r="L54" i="38" s="1"/>
  <c r="M54" i="38" s="1"/>
  <c r="N54" i="38" s="1"/>
  <c r="K55" i="38"/>
  <c r="L55" i="38" s="1"/>
  <c r="M55" i="38" s="1"/>
  <c r="N55" i="38" s="1"/>
  <c r="K56" i="38"/>
  <c r="L56" i="38" s="1"/>
  <c r="M56" i="38" s="1"/>
  <c r="N56" i="38" s="1"/>
  <c r="K57" i="38"/>
  <c r="L57" i="38" s="1"/>
  <c r="M57" i="38" s="1"/>
  <c r="N57" i="38" s="1"/>
  <c r="K58" i="38"/>
  <c r="L58" i="38" s="1"/>
  <c r="M58" i="38" s="1"/>
  <c r="N58" i="38" s="1"/>
  <c r="K59" i="38"/>
  <c r="L59" i="38" s="1"/>
  <c r="M59" i="38" s="1"/>
  <c r="N59" i="38" s="1"/>
  <c r="K60" i="38"/>
  <c r="L60" i="38" s="1"/>
  <c r="M60" i="38" s="1"/>
  <c r="N60" i="38" s="1"/>
  <c r="K61" i="38"/>
  <c r="L61" i="38" s="1"/>
  <c r="M61" i="38" s="1"/>
  <c r="N61" i="38" s="1"/>
  <c r="K62" i="38"/>
  <c r="L62" i="38" s="1"/>
  <c r="M62" i="38" s="1"/>
  <c r="N62" i="38" s="1"/>
  <c r="K63" i="38"/>
  <c r="L63" i="38" s="1"/>
  <c r="M63" i="38" s="1"/>
  <c r="N63" i="38" s="1"/>
  <c r="K64" i="38"/>
  <c r="L64" i="38" s="1"/>
  <c r="M64" i="38" s="1"/>
  <c r="N64" i="38" s="1"/>
  <c r="K65" i="38"/>
  <c r="L65" i="38" s="1"/>
  <c r="M65" i="38" s="1"/>
  <c r="N65" i="38" s="1"/>
  <c r="K66" i="38"/>
  <c r="L66" i="38" s="1"/>
  <c r="M66" i="38" s="1"/>
  <c r="N66" i="38" s="1"/>
  <c r="K67" i="38"/>
  <c r="L67" i="38" s="1"/>
  <c r="M67" i="38" s="1"/>
  <c r="N67" i="38" s="1"/>
  <c r="K68" i="38"/>
  <c r="L68" i="38" s="1"/>
  <c r="M68" i="38" s="1"/>
  <c r="N68" i="38" s="1"/>
  <c r="K69" i="38"/>
  <c r="L69" i="38" s="1"/>
  <c r="M69" i="38" s="1"/>
  <c r="N69" i="38" s="1"/>
  <c r="K70" i="38"/>
  <c r="L70" i="38" s="1"/>
  <c r="M70" i="38" s="1"/>
  <c r="N70" i="38" s="1"/>
  <c r="K71" i="38"/>
  <c r="L71" i="38" s="1"/>
  <c r="M71" i="38" s="1"/>
  <c r="N71" i="38" s="1"/>
  <c r="K72" i="38"/>
  <c r="L72" i="38" s="1"/>
  <c r="M72" i="38" s="1"/>
  <c r="N72" i="38" s="1"/>
  <c r="K73" i="38"/>
  <c r="L73" i="38" s="1"/>
  <c r="M73" i="38" s="1"/>
  <c r="N73" i="38" s="1"/>
  <c r="K74" i="38"/>
  <c r="L74" i="38" s="1"/>
  <c r="M74" i="38" s="1"/>
  <c r="N74" i="38" s="1"/>
  <c r="K75" i="38"/>
  <c r="L75" i="38" s="1"/>
  <c r="M75" i="38" s="1"/>
  <c r="N75" i="38" s="1"/>
  <c r="K76" i="38"/>
  <c r="L76" i="38" s="1"/>
  <c r="M76" i="38" s="1"/>
  <c r="N76" i="38" s="1"/>
  <c r="K77" i="38"/>
  <c r="L77" i="38" s="1"/>
  <c r="M77" i="38" s="1"/>
  <c r="N77" i="38" s="1"/>
  <c r="K78" i="38"/>
  <c r="L78" i="38" s="1"/>
  <c r="M78" i="38" s="1"/>
  <c r="N78" i="38" s="1"/>
  <c r="K79" i="38"/>
  <c r="L79" i="38" s="1"/>
  <c r="M79" i="38" s="1"/>
  <c r="N79" i="38" s="1"/>
  <c r="K80" i="38"/>
  <c r="L80" i="38" s="1"/>
  <c r="M80" i="38" s="1"/>
  <c r="N80" i="38" s="1"/>
  <c r="K81" i="38"/>
  <c r="L81" i="38" s="1"/>
  <c r="M81" i="38" s="1"/>
  <c r="N81" i="38" s="1"/>
  <c r="K82" i="38"/>
  <c r="L82" i="38" s="1"/>
  <c r="M82" i="38" s="1"/>
  <c r="N82" i="38" s="1"/>
  <c r="K83" i="38"/>
  <c r="L83" i="38" s="1"/>
  <c r="M83" i="38" s="1"/>
  <c r="N83" i="38" s="1"/>
  <c r="K84" i="38"/>
  <c r="L84" i="38" s="1"/>
  <c r="M84" i="38" s="1"/>
  <c r="N84" i="38" s="1"/>
  <c r="K85" i="38"/>
  <c r="L85" i="38" s="1"/>
  <c r="M85" i="38" s="1"/>
  <c r="N85" i="38" s="1"/>
  <c r="K86" i="38"/>
  <c r="L86" i="38" s="1"/>
  <c r="M86" i="38" s="1"/>
  <c r="N86" i="38" s="1"/>
  <c r="K87" i="38"/>
  <c r="L87" i="38" s="1"/>
  <c r="M87" i="38" s="1"/>
  <c r="N87" i="38" s="1"/>
  <c r="K88" i="38"/>
  <c r="L88" i="38" s="1"/>
  <c r="M88" i="38" s="1"/>
  <c r="N88" i="38" s="1"/>
  <c r="K89" i="38"/>
  <c r="L89" i="38" s="1"/>
  <c r="M89" i="38" s="1"/>
  <c r="N89" i="38" s="1"/>
  <c r="K90" i="38"/>
  <c r="L90" i="38" s="1"/>
  <c r="M90" i="38" s="1"/>
  <c r="N90" i="38" s="1"/>
  <c r="V3" i="16" l="1"/>
  <c r="U3" i="16"/>
  <c r="W6" i="16"/>
  <c r="T69" i="16"/>
  <c r="U69" i="16" s="1"/>
  <c r="T70" i="16"/>
  <c r="U70" i="16" s="1"/>
  <c r="T71" i="16"/>
  <c r="U71" i="16" s="1"/>
  <c r="T72" i="16"/>
  <c r="V72" i="16" s="1"/>
  <c r="T73" i="16"/>
  <c r="U73" i="16" s="1"/>
  <c r="U72" i="16" l="1"/>
  <c r="V70" i="16"/>
  <c r="V69" i="16"/>
  <c r="V73" i="16"/>
  <c r="V71" i="16"/>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T74" i="16" l="1"/>
  <c r="T75" i="16"/>
  <c r="V75" i="16" s="1"/>
  <c r="T76" i="16"/>
  <c r="T77" i="16"/>
  <c r="W77" i="16"/>
  <c r="X77" i="16"/>
  <c r="Y77" i="16" s="1"/>
  <c r="T78" i="16"/>
  <c r="W78" i="16"/>
  <c r="X78" i="16"/>
  <c r="Y78" i="16" s="1"/>
  <c r="T79" i="16"/>
  <c r="W79" i="16"/>
  <c r="X79" i="16"/>
  <c r="Y79" i="16" s="1"/>
  <c r="T80" i="16"/>
  <c r="W80" i="16"/>
  <c r="X80" i="16"/>
  <c r="Y80" i="16" s="1"/>
  <c r="T81" i="16"/>
  <c r="W81" i="16"/>
  <c r="X81" i="16"/>
  <c r="Y81" i="16" s="1"/>
  <c r="T82" i="16"/>
  <c r="W82" i="16"/>
  <c r="X82" i="16"/>
  <c r="Y82" i="16" s="1"/>
  <c r="T83" i="16"/>
  <c r="W83" i="16"/>
  <c r="X83" i="16"/>
  <c r="Y83" i="16" s="1"/>
  <c r="T84" i="16"/>
  <c r="W84" i="16"/>
  <c r="X84" i="16"/>
  <c r="Y84" i="16" s="1"/>
  <c r="T85" i="16"/>
  <c r="W85" i="16"/>
  <c r="X85" i="16"/>
  <c r="Y85" i="16" s="1"/>
  <c r="T86" i="16"/>
  <c r="W86" i="16"/>
  <c r="X86" i="16"/>
  <c r="Y86" i="16" s="1"/>
  <c r="S89" i="16"/>
  <c r="T89" i="16"/>
  <c r="X89" i="16"/>
  <c r="Y89" i="16" s="1"/>
  <c r="S90" i="16"/>
  <c r="T90" i="16"/>
  <c r="S91" i="16"/>
  <c r="T91" i="16"/>
  <c r="S92" i="16"/>
  <c r="T92" i="16"/>
  <c r="S93" i="16"/>
  <c r="T93" i="16"/>
  <c r="S94" i="16"/>
  <c r="T94" i="16"/>
  <c r="S95" i="16"/>
  <c r="T95" i="16"/>
  <c r="S96" i="16"/>
  <c r="T96" i="16"/>
  <c r="S97" i="16"/>
  <c r="T97" i="16"/>
  <c r="S98" i="16"/>
  <c r="T98" i="16"/>
  <c r="W98" i="16"/>
  <c r="X98" i="16"/>
  <c r="Y98" i="16" s="1"/>
  <c r="S99" i="16"/>
  <c r="T99" i="16"/>
  <c r="W99" i="16"/>
  <c r="X99" i="16"/>
  <c r="Y99" i="16" s="1"/>
  <c r="S100" i="16"/>
  <c r="T100" i="16"/>
  <c r="W100" i="16"/>
  <c r="X100" i="16"/>
  <c r="Y100" i="16" s="1"/>
  <c r="S101" i="16"/>
  <c r="T101" i="16"/>
  <c r="W101" i="16"/>
  <c r="X101" i="16"/>
  <c r="Y101" i="16" s="1"/>
  <c r="S102" i="16"/>
  <c r="T102" i="16"/>
  <c r="W102" i="16"/>
  <c r="X102" i="16"/>
  <c r="Y102" i="16" s="1"/>
  <c r="S103" i="16"/>
  <c r="T103" i="16"/>
  <c r="W103" i="16"/>
  <c r="X103" i="16"/>
  <c r="Y103" i="16" s="1"/>
  <c r="S104" i="16"/>
  <c r="T104" i="16"/>
  <c r="W104" i="16"/>
  <c r="X104" i="16"/>
  <c r="Y104" i="16" s="1"/>
  <c r="S105" i="16"/>
  <c r="T105" i="16"/>
  <c r="W105" i="16"/>
  <c r="X105" i="16"/>
  <c r="Y105" i="16" s="1"/>
  <c r="S106" i="16"/>
  <c r="T106" i="16"/>
  <c r="W106" i="16"/>
  <c r="X106" i="16"/>
  <c r="Y106" i="16" s="1"/>
  <c r="S107" i="16"/>
  <c r="T107" i="16"/>
  <c r="W107" i="16"/>
  <c r="X107" i="16"/>
  <c r="Y107" i="16" s="1"/>
  <c r="S108" i="16"/>
  <c r="T108" i="16"/>
  <c r="W108" i="16"/>
  <c r="X108" i="16"/>
  <c r="Y108" i="16" s="1"/>
  <c r="S109" i="16"/>
  <c r="T109" i="16"/>
  <c r="W109" i="16"/>
  <c r="X109" i="16"/>
  <c r="Y109" i="16" s="1"/>
  <c r="S110" i="16"/>
  <c r="T110" i="16"/>
  <c r="W110" i="16"/>
  <c r="X110" i="16"/>
  <c r="Y110" i="16" s="1"/>
  <c r="X39" i="16"/>
  <c r="Y39" i="16" s="1"/>
  <c r="S43" i="16"/>
  <c r="T43" i="16"/>
  <c r="X43" i="16"/>
  <c r="Y43" i="16" s="1"/>
  <c r="S44" i="16"/>
  <c r="T44" i="16"/>
  <c r="X44" i="16"/>
  <c r="Y44" i="16" s="1"/>
  <c r="S45" i="16"/>
  <c r="T45" i="16"/>
  <c r="X45" i="16"/>
  <c r="Y45" i="16" s="1"/>
  <c r="S46" i="16"/>
  <c r="T46" i="16"/>
  <c r="W46" i="16"/>
  <c r="X46" i="16"/>
  <c r="Y46" i="16" s="1"/>
  <c r="S47" i="16"/>
  <c r="T47" i="16"/>
  <c r="W47" i="16"/>
  <c r="X47" i="16"/>
  <c r="Y47" i="16" s="1"/>
  <c r="S48" i="16"/>
  <c r="T48" i="16"/>
  <c r="X48" i="16"/>
  <c r="Y48" i="16" s="1"/>
  <c r="S49" i="16"/>
  <c r="T49" i="16"/>
  <c r="X49" i="16"/>
  <c r="Y49" i="16" s="1"/>
  <c r="S50" i="16"/>
  <c r="T50" i="16"/>
  <c r="X50" i="16"/>
  <c r="Y50" i="16" s="1"/>
  <c r="S51" i="16"/>
  <c r="T51" i="16"/>
  <c r="W51" i="16"/>
  <c r="X51" i="16"/>
  <c r="Y51" i="16" s="1"/>
  <c r="S52" i="16"/>
  <c r="T52" i="16"/>
  <c r="W52" i="16"/>
  <c r="X52" i="16"/>
  <c r="Y52" i="16" s="1"/>
  <c r="S53" i="16"/>
  <c r="T53" i="16"/>
  <c r="W53" i="16"/>
  <c r="X53" i="16"/>
  <c r="Y53" i="16" s="1"/>
  <c r="S54" i="16"/>
  <c r="T54" i="16"/>
  <c r="W54" i="16"/>
  <c r="X54" i="16"/>
  <c r="Y54" i="16" s="1"/>
  <c r="S55" i="16"/>
  <c r="T55" i="16"/>
  <c r="W55" i="16"/>
  <c r="X55" i="16"/>
  <c r="Y55" i="16" s="1"/>
  <c r="S56" i="16"/>
  <c r="T56" i="16"/>
  <c r="W56" i="16"/>
  <c r="X56" i="16"/>
  <c r="Y56" i="16" s="1"/>
  <c r="S57" i="16"/>
  <c r="T57" i="16"/>
  <c r="W57" i="16"/>
  <c r="X57" i="16"/>
  <c r="Y57" i="16" s="1"/>
  <c r="S58" i="16"/>
  <c r="T58" i="16"/>
  <c r="W58" i="16"/>
  <c r="X58" i="16"/>
  <c r="Y58" i="16" s="1"/>
  <c r="S59" i="16"/>
  <c r="T59" i="16"/>
  <c r="W59" i="16"/>
  <c r="X59" i="16"/>
  <c r="Y59" i="16" s="1"/>
  <c r="S60" i="16"/>
  <c r="T60" i="16"/>
  <c r="W60" i="16"/>
  <c r="X60" i="16"/>
  <c r="Y60" i="16" s="1"/>
  <c r="S61" i="16"/>
  <c r="T61" i="16"/>
  <c r="W61" i="16"/>
  <c r="X61" i="16"/>
  <c r="Y61" i="16" s="1"/>
  <c r="S62" i="16"/>
  <c r="T62" i="16"/>
  <c r="W62" i="16"/>
  <c r="X62" i="16"/>
  <c r="Y62" i="16" s="1"/>
  <c r="S63" i="16"/>
  <c r="U63" i="16" s="1"/>
  <c r="T63" i="16"/>
  <c r="W63" i="16"/>
  <c r="X63" i="16"/>
  <c r="Y63" i="16" s="1"/>
  <c r="S64" i="16"/>
  <c r="T64" i="16"/>
  <c r="W64" i="16"/>
  <c r="X64" i="16"/>
  <c r="Y64" i="16" s="1"/>
  <c r="S65" i="16"/>
  <c r="T65" i="16"/>
  <c r="W65" i="16"/>
  <c r="X65" i="16"/>
  <c r="Y65" i="16" s="1"/>
  <c r="S66" i="16"/>
  <c r="T66" i="16"/>
  <c r="W66" i="16"/>
  <c r="X66" i="16"/>
  <c r="Y66" i="16" s="1"/>
  <c r="S67" i="16"/>
  <c r="T67" i="16"/>
  <c r="W67" i="16"/>
  <c r="X67" i="16"/>
  <c r="Y67" i="16" s="1"/>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U55" i="16" l="1"/>
  <c r="V51" i="16"/>
  <c r="T68" i="16"/>
  <c r="V74" i="16"/>
  <c r="U82" i="16"/>
  <c r="V78" i="16"/>
  <c r="U102" i="16"/>
  <c r="U100" i="16"/>
  <c r="V110" i="16"/>
  <c r="U104" i="16"/>
  <c r="U103" i="16"/>
  <c r="V63" i="16"/>
  <c r="V61" i="16"/>
  <c r="V85" i="16"/>
  <c r="V83" i="16"/>
  <c r="U64" i="16"/>
  <c r="U95" i="16"/>
  <c r="U46" i="16"/>
  <c r="V64" i="16"/>
  <c r="V43" i="16"/>
  <c r="U91" i="16"/>
  <c r="U62" i="16"/>
  <c r="U60" i="16"/>
  <c r="V58" i="16"/>
  <c r="U50" i="16"/>
  <c r="V45" i="16"/>
  <c r="U101" i="16"/>
  <c r="U99" i="16"/>
  <c r="V96" i="16"/>
  <c r="U47" i="16"/>
  <c r="V53" i="16"/>
  <c r="V44" i="16"/>
  <c r="V103" i="16"/>
  <c r="V81" i="16"/>
  <c r="U79" i="16"/>
  <c r="U77" i="16"/>
  <c r="N41" i="23"/>
  <c r="U65" i="16"/>
  <c r="N73" i="23"/>
  <c r="N58" i="23"/>
  <c r="V90" i="16"/>
  <c r="V92" i="16"/>
  <c r="V89" i="16"/>
  <c r="U109" i="16"/>
  <c r="U107" i="16"/>
  <c r="U105" i="16"/>
  <c r="U93" i="16"/>
  <c r="U80" i="16"/>
  <c r="U78" i="16"/>
  <c r="U84" i="16"/>
  <c r="U51" i="16"/>
  <c r="V56" i="16"/>
  <c r="U108" i="16"/>
  <c r="V102" i="16"/>
  <c r="V95" i="16"/>
  <c r="U85" i="16"/>
  <c r="V97" i="16"/>
  <c r="U90" i="16"/>
  <c r="U54" i="16"/>
  <c r="V52" i="16"/>
  <c r="U98" i="16"/>
  <c r="V67" i="16"/>
  <c r="V48" i="16"/>
  <c r="V94" i="16"/>
  <c r="U86" i="16"/>
  <c r="U66" i="16"/>
  <c r="U52" i="16"/>
  <c r="V47" i="16"/>
  <c r="U45" i="16"/>
  <c r="U97" i="16"/>
  <c r="U92" i="16"/>
  <c r="U81" i="16"/>
  <c r="V77" i="16"/>
  <c r="U75" i="16"/>
  <c r="U83" i="16"/>
  <c r="U61" i="16"/>
  <c r="U59" i="16"/>
  <c r="U57" i="16"/>
  <c r="V50" i="16"/>
  <c r="U43" i="16"/>
  <c r="N59" i="23"/>
  <c r="U110" i="16"/>
  <c r="V108" i="16"/>
  <c r="U106" i="16"/>
  <c r="V104" i="16"/>
  <c r="V101" i="16"/>
  <c r="U89" i="16"/>
  <c r="V84" i="16"/>
  <c r="U74" i="16"/>
  <c r="U56" i="16"/>
  <c r="U48" i="16"/>
  <c r="U94" i="16"/>
  <c r="V82" i="16"/>
  <c r="V65" i="16"/>
  <c r="U67" i="16"/>
  <c r="V62" i="16"/>
  <c r="V60" i="16"/>
  <c r="U58" i="16"/>
  <c r="V55" i="16"/>
  <c r="U53" i="16"/>
  <c r="U44" i="16"/>
  <c r="N35" i="23"/>
  <c r="U96" i="16"/>
  <c r="U76" i="16"/>
  <c r="U49" i="16"/>
  <c r="N66" i="23"/>
  <c r="N74" i="23"/>
  <c r="V109" i="16"/>
  <c r="V100" i="16"/>
  <c r="V98" i="16"/>
  <c r="V93" i="16"/>
  <c r="V76" i="16"/>
  <c r="V86" i="16"/>
  <c r="V79" i="16"/>
  <c r="N40" i="23"/>
  <c r="V80" i="16"/>
  <c r="V105" i="16"/>
  <c r="V106" i="16"/>
  <c r="V107" i="16"/>
  <c r="V99" i="16"/>
  <c r="V91" i="16"/>
  <c r="V57" i="16"/>
  <c r="V49" i="16"/>
  <c r="V59" i="16"/>
  <c r="V66" i="16"/>
  <c r="V54" i="16"/>
  <c r="V46" i="16"/>
  <c r="L3" i="23"/>
  <c r="M3" i="23" s="1"/>
  <c r="L4" i="23"/>
  <c r="L5" i="23"/>
  <c r="L6" i="23"/>
  <c r="L7" i="23"/>
  <c r="M7" i="23" s="1"/>
  <c r="L8" i="23"/>
  <c r="M8" i="23" s="1"/>
  <c r="L9" i="23"/>
  <c r="L10" i="23"/>
  <c r="L11" i="23"/>
  <c r="M11" i="23" s="1"/>
  <c r="L12" i="23"/>
  <c r="M12" i="23" s="1"/>
  <c r="L13" i="23"/>
  <c r="L14" i="23"/>
  <c r="L20" i="23"/>
  <c r="M20" i="23" s="1"/>
  <c r="L21" i="23"/>
  <c r="X70" i="16" s="1"/>
  <c r="Y70" i="16" s="1"/>
  <c r="L22" i="23"/>
  <c r="L23" i="23"/>
  <c r="L24" i="23"/>
  <c r="L25" i="23"/>
  <c r="L26" i="23"/>
  <c r="M26" i="23" s="1"/>
  <c r="L27" i="23"/>
  <c r="X90" i="16" s="1"/>
  <c r="Y90" i="16" s="1"/>
  <c r="L28" i="23"/>
  <c r="L29" i="23"/>
  <c r="L30" i="23"/>
  <c r="L31" i="23"/>
  <c r="M31" i="23" s="1"/>
  <c r="L32" i="23"/>
  <c r="M32" i="23" s="1"/>
  <c r="N32" i="23"/>
  <c r="L33" i="23"/>
  <c r="M33" i="23" s="1"/>
  <c r="L34" i="23"/>
  <c r="M34" i="23" s="1"/>
  <c r="N34" i="23"/>
  <c r="L35" i="23"/>
  <c r="M35" i="23" s="1"/>
  <c r="L36" i="23"/>
  <c r="M36" i="23" s="1"/>
  <c r="L37" i="23"/>
  <c r="M37" i="23" s="1"/>
  <c r="L38" i="23"/>
  <c r="X18" i="16" s="1"/>
  <c r="Y18" i="16" s="1"/>
  <c r="N38" i="23"/>
  <c r="L39" i="23"/>
  <c r="L40" i="23"/>
  <c r="M40" i="23" s="1"/>
  <c r="L41" i="23"/>
  <c r="M41" i="23" s="1"/>
  <c r="L42" i="23"/>
  <c r="N42" i="23"/>
  <c r="L43" i="23"/>
  <c r="M43" i="23" s="1"/>
  <c r="N43" i="23"/>
  <c r="L44" i="23"/>
  <c r="M44" i="23" s="1"/>
  <c r="L45" i="23"/>
  <c r="M45" i="23" s="1"/>
  <c r="L46" i="23"/>
  <c r="L47" i="23"/>
  <c r="N47" i="23"/>
  <c r="L48" i="23"/>
  <c r="L49" i="23"/>
  <c r="L50" i="23"/>
  <c r="M50" i="23" s="1"/>
  <c r="L51" i="23"/>
  <c r="M51" i="23" s="1"/>
  <c r="L52" i="23"/>
  <c r="M52" i="23" s="1"/>
  <c r="L53" i="23"/>
  <c r="M53" i="23" s="1"/>
  <c r="L54" i="23"/>
  <c r="M54" i="23" s="1"/>
  <c r="N54" i="23"/>
  <c r="L55" i="23"/>
  <c r="L56" i="23"/>
  <c r="M56" i="23" s="1"/>
  <c r="L57" i="23"/>
  <c r="L58" i="23"/>
  <c r="L59" i="23"/>
  <c r="L60" i="23"/>
  <c r="N60" i="23"/>
  <c r="L61" i="23"/>
  <c r="N61" i="23"/>
  <c r="L62" i="23"/>
  <c r="L63" i="23"/>
  <c r="N63" i="23"/>
  <c r="L64" i="23"/>
  <c r="M64" i="23" s="1"/>
  <c r="L65" i="23"/>
  <c r="M65" i="23" s="1"/>
  <c r="L66" i="23"/>
  <c r="M66" i="23" s="1"/>
  <c r="L67" i="23"/>
  <c r="M67" i="23" s="1"/>
  <c r="L68" i="23"/>
  <c r="M68" i="23" s="1"/>
  <c r="L69" i="23"/>
  <c r="N69" i="23"/>
  <c r="L70" i="23"/>
  <c r="M70" i="23" s="1"/>
  <c r="L71" i="23"/>
  <c r="N71" i="23"/>
  <c r="L72" i="23"/>
  <c r="N72" i="23"/>
  <c r="L73" i="23"/>
  <c r="M73" i="23" s="1"/>
  <c r="L74" i="23"/>
  <c r="M74" i="23" s="1"/>
  <c r="L75" i="23"/>
  <c r="N75"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M13" i="23" l="1"/>
  <c r="X69" i="16"/>
  <c r="M4" i="23"/>
  <c r="X6" i="16"/>
  <c r="Y6" i="16" s="1"/>
  <c r="M24" i="23"/>
  <c r="M72" i="23"/>
  <c r="X32" i="16"/>
  <c r="Y32" i="16" s="1"/>
  <c r="M39" i="23"/>
  <c r="X19" i="16"/>
  <c r="Y19" i="16" s="1"/>
  <c r="X5" i="16"/>
  <c r="Y5" i="16" s="1"/>
  <c r="M9" i="23"/>
  <c r="X29" i="16"/>
  <c r="Y29" i="16" s="1"/>
  <c r="M57" i="23"/>
  <c r="X22" i="16"/>
  <c r="Y22" i="16" s="1"/>
  <c r="N56" i="23"/>
  <c r="N37" i="23"/>
  <c r="M48" i="23"/>
  <c r="X74" i="16"/>
  <c r="Y74" i="16" s="1"/>
  <c r="M14" i="23"/>
  <c r="X7" i="16"/>
  <c r="Y7" i="16" s="1"/>
  <c r="M59" i="23"/>
  <c r="M69" i="23"/>
  <c r="X27" i="16"/>
  <c r="Y27" i="16" s="1"/>
  <c r="M63" i="23"/>
  <c r="X25" i="16"/>
  <c r="Y25" i="16" s="1"/>
  <c r="M47" i="23"/>
  <c r="X20" i="16"/>
  <c r="Y20" i="16" s="1"/>
  <c r="X10" i="16"/>
  <c r="Y10" i="16" s="1"/>
  <c r="M38" i="23"/>
  <c r="X15" i="16"/>
  <c r="Y15" i="16" s="1"/>
  <c r="M25" i="23"/>
  <c r="X11" i="16"/>
  <c r="Y11" i="16" s="1"/>
  <c r="M62" i="23"/>
  <c r="X26" i="16"/>
  <c r="Y26" i="16" s="1"/>
  <c r="M58" i="23"/>
  <c r="M46" i="23"/>
  <c r="X17" i="16"/>
  <c r="Y17" i="16" s="1"/>
  <c r="M23" i="23"/>
  <c r="X12" i="16"/>
  <c r="Y12" i="16" s="1"/>
  <c r="M55" i="23"/>
  <c r="X23" i="16"/>
  <c r="Y23" i="16" s="1"/>
  <c r="M30" i="23"/>
  <c r="X73" i="16"/>
  <c r="Y73" i="16" s="1"/>
  <c r="M22" i="23"/>
  <c r="X71" i="16"/>
  <c r="Y71" i="16" s="1"/>
  <c r="X92" i="16"/>
  <c r="Y92" i="16" s="1"/>
  <c r="M10" i="23"/>
  <c r="X91" i="16"/>
  <c r="Y91" i="16" s="1"/>
  <c r="M6" i="23"/>
  <c r="M61" i="23"/>
  <c r="X97" i="16"/>
  <c r="Y97" i="16" s="1"/>
  <c r="M29" i="23"/>
  <c r="X72" i="16"/>
  <c r="Y72" i="16" s="1"/>
  <c r="X9" i="16"/>
  <c r="Y9" i="16" s="1"/>
  <c r="M42" i="23"/>
  <c r="X16" i="16"/>
  <c r="Y16" i="16" s="1"/>
  <c r="M28" i="23"/>
  <c r="X14" i="16"/>
  <c r="Y14" i="16" s="1"/>
  <c r="M21" i="23"/>
  <c r="X93" i="16"/>
  <c r="Y93" i="16" s="1"/>
  <c r="X8" i="16"/>
  <c r="Y8" i="16" s="1"/>
  <c r="M5" i="23"/>
  <c r="X3" i="16"/>
  <c r="Y3" i="16" s="1"/>
  <c r="M75" i="23"/>
  <c r="X30" i="16"/>
  <c r="Y30" i="16" s="1"/>
  <c r="M71" i="23"/>
  <c r="X75" i="16"/>
  <c r="Y75" i="16" s="1"/>
  <c r="M60" i="23"/>
  <c r="X24" i="16"/>
  <c r="Y24" i="16" s="1"/>
  <c r="M49" i="23"/>
  <c r="X21" i="16"/>
  <c r="Y21" i="16" s="1"/>
  <c r="M27" i="23"/>
  <c r="X13" i="16"/>
  <c r="Y13" i="16" s="1"/>
  <c r="L76" i="23"/>
  <c r="N62" i="23" l="1"/>
  <c r="J5" i="38" l="1"/>
  <c r="J87" i="16" l="1"/>
  <c r="K5" i="38"/>
  <c r="O174" i="23"/>
  <c r="O175" i="23"/>
  <c r="O176" i="23"/>
  <c r="O177" i="23"/>
  <c r="O178" i="23"/>
  <c r="O179" i="23"/>
  <c r="O180" i="23"/>
  <c r="O181" i="23"/>
  <c r="O182" i="23"/>
  <c r="O183" i="23"/>
  <c r="O184" i="23"/>
  <c r="O185" i="23"/>
  <c r="O186" i="23"/>
  <c r="O187" i="23"/>
  <c r="O188" i="23"/>
  <c r="O189" i="23"/>
  <c r="O190" i="23"/>
  <c r="O191" i="23"/>
  <c r="O192" i="23"/>
  <c r="W41" i="16" l="1"/>
  <c r="W43" i="16"/>
  <c r="W44" i="16"/>
  <c r="W45" i="16"/>
  <c r="W48" i="16"/>
  <c r="W49" i="16"/>
  <c r="W50" i="16"/>
  <c r="K91" i="38"/>
  <c r="K92" i="38"/>
  <c r="K93" i="38"/>
  <c r="K94" i="38"/>
  <c r="K95" i="38"/>
  <c r="K96" i="38"/>
  <c r="K97" i="38"/>
  <c r="K98" i="38"/>
  <c r="K99" i="38"/>
  <c r="K100" i="38"/>
  <c r="K101" i="38"/>
  <c r="K102" i="38"/>
  <c r="K103" i="38"/>
  <c r="K104" i="38"/>
  <c r="K105" i="38"/>
  <c r="K106" i="38"/>
  <c r="K107" i="38"/>
  <c r="K108" i="38"/>
  <c r="K109" i="38"/>
  <c r="K110" i="38"/>
  <c r="K87" i="16"/>
  <c r="L87" i="16"/>
  <c r="M87" i="16"/>
  <c r="N87" i="16"/>
  <c r="O87" i="16"/>
  <c r="P87" i="16"/>
  <c r="Q87" i="16"/>
  <c r="R87" i="16"/>
  <c r="W39" i="16" l="1"/>
  <c r="W42" i="16"/>
  <c r="W38" i="16"/>
  <c r="W37" i="16"/>
  <c r="W30" i="16"/>
  <c r="W32" i="16"/>
  <c r="W75" i="16"/>
  <c r="W34" i="16"/>
  <c r="W35" i="16"/>
  <c r="W29" i="16"/>
  <c r="W74" i="16"/>
  <c r="W96" i="16"/>
  <c r="W76" i="16"/>
  <c r="W27" i="16"/>
  <c r="W31" i="16"/>
  <c r="W97" i="16"/>
  <c r="W25" i="16"/>
  <c r="W24" i="16"/>
  <c r="W33" i="16"/>
  <c r="W28" i="16"/>
  <c r="Z84" i="16"/>
  <c r="J6" i="38" l="1"/>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N84" i="23"/>
  <c r="N85" i="23"/>
  <c r="N89" i="23"/>
  <c r="N93" i="23"/>
  <c r="N94" i="23"/>
  <c r="N108" i="23"/>
  <c r="N109" i="23"/>
  <c r="N110" i="23"/>
  <c r="N116" i="23"/>
  <c r="N119" i="23"/>
  <c r="N120" i="23"/>
  <c r="N125" i="23"/>
  <c r="N126" i="23"/>
  <c r="N130" i="23"/>
  <c r="N131" i="23"/>
  <c r="N132" i="23"/>
  <c r="N136" i="23"/>
  <c r="N137" i="23"/>
  <c r="N142" i="23"/>
  <c r="N143" i="23"/>
  <c r="N144" i="23"/>
  <c r="N146" i="23"/>
  <c r="N150" i="23"/>
  <c r="N152" i="23"/>
  <c r="N153"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W95" i="16" l="1"/>
  <c r="W94" i="16"/>
  <c r="W17" i="16"/>
  <c r="W19" i="16"/>
  <c r="W15" i="16"/>
  <c r="W23" i="16"/>
  <c r="L5" i="38"/>
  <c r="M5" i="38" s="1"/>
  <c r="W14" i="16" l="1"/>
  <c r="W21" i="16"/>
  <c r="W40" i="16"/>
  <c r="W36" i="16"/>
  <c r="W22" i="16"/>
  <c r="W26" i="16"/>
  <c r="W18" i="16"/>
  <c r="W73" i="16"/>
  <c r="W93" i="16"/>
  <c r="W20" i="16"/>
  <c r="W16" i="16"/>
  <c r="W71" i="16"/>
  <c r="W91" i="16"/>
  <c r="W70" i="16"/>
  <c r="W12" i="16"/>
  <c r="W8" i="16"/>
  <c r="W11" i="16"/>
  <c r="W9" i="16"/>
  <c r="W5" i="16"/>
  <c r="W7" i="16"/>
  <c r="W3" i="16"/>
  <c r="W4" i="16"/>
  <c r="W10" i="16"/>
  <c r="N5" i="38"/>
  <c r="W89" i="16"/>
  <c r="W72" i="16"/>
  <c r="W92" i="16"/>
  <c r="W13" i="16"/>
  <c r="W90" i="16"/>
  <c r="W69" i="16"/>
  <c r="N147" i="23"/>
  <c r="Z85" i="16"/>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0"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O365" i="23"/>
  <c r="O366" i="23"/>
  <c r="N138" i="23" l="1"/>
  <c r="L77" i="23"/>
  <c r="M77" i="23" s="1"/>
  <c r="L78" i="23"/>
  <c r="L80" i="23"/>
  <c r="L81" i="23"/>
  <c r="M81" i="23" s="1"/>
  <c r="L82" i="23"/>
  <c r="M82" i="23" s="1"/>
  <c r="L83" i="23"/>
  <c r="L84" i="23"/>
  <c r="L85" i="23"/>
  <c r="L87" i="23"/>
  <c r="L88" i="23"/>
  <c r="L89" i="23"/>
  <c r="X76" i="16" s="1"/>
  <c r="Y76" i="16" s="1"/>
  <c r="L91" i="23"/>
  <c r="M91" i="23" s="1"/>
  <c r="L92" i="23"/>
  <c r="L93" i="23"/>
  <c r="L94" i="23"/>
  <c r="X37" i="16" s="1"/>
  <c r="Y37" i="16" s="1"/>
  <c r="L95" i="23"/>
  <c r="M95" i="23" s="1"/>
  <c r="L96" i="23"/>
  <c r="L97" i="23"/>
  <c r="X34" i="16" s="1"/>
  <c r="Y34" i="16" s="1"/>
  <c r="L98" i="23"/>
  <c r="X35" i="16" s="1"/>
  <c r="Y35" i="16" s="1"/>
  <c r="L99" i="23"/>
  <c r="L100" i="23"/>
  <c r="L101" i="23"/>
  <c r="M101" i="23" s="1"/>
  <c r="L102" i="23"/>
  <c r="L103" i="23"/>
  <c r="M103" i="23" s="1"/>
  <c r="L104" i="23"/>
  <c r="L105" i="23"/>
  <c r="L106" i="23"/>
  <c r="L107" i="23"/>
  <c r="M107" i="23" s="1"/>
  <c r="L108" i="23"/>
  <c r="L109" i="23"/>
  <c r="L110" i="23"/>
  <c r="L111" i="23"/>
  <c r="M111" i="23" s="1"/>
  <c r="L112" i="23"/>
  <c r="M112" i="23" s="1"/>
  <c r="L113" i="23"/>
  <c r="X42" i="16" s="1"/>
  <c r="Y42" i="16" s="1"/>
  <c r="L114" i="23"/>
  <c r="L115" i="23"/>
  <c r="L116" i="23"/>
  <c r="L117" i="23"/>
  <c r="M117" i="23" s="1"/>
  <c r="L118" i="23"/>
  <c r="M118" i="23" s="1"/>
  <c r="L119" i="23"/>
  <c r="L120" i="23"/>
  <c r="M120" i="23" s="1"/>
  <c r="L121" i="23"/>
  <c r="M121" i="23" s="1"/>
  <c r="L122" i="23"/>
  <c r="L123" i="23"/>
  <c r="M123" i="23" s="1"/>
  <c r="L124" i="23"/>
  <c r="M124" i="23" s="1"/>
  <c r="L125" i="23"/>
  <c r="L126" i="23"/>
  <c r="M126" i="23" s="1"/>
  <c r="L127" i="23"/>
  <c r="L128" i="23"/>
  <c r="L129" i="23"/>
  <c r="L130" i="23"/>
  <c r="M130" i="23" s="1"/>
  <c r="L131" i="23"/>
  <c r="L132" i="23"/>
  <c r="M132" i="23" s="1"/>
  <c r="L133" i="23"/>
  <c r="L134" i="23"/>
  <c r="L135" i="23"/>
  <c r="L136" i="23"/>
  <c r="M136" i="23" s="1"/>
  <c r="L137" i="23"/>
  <c r="L138" i="23"/>
  <c r="M138" i="23" s="1"/>
  <c r="L139" i="23"/>
  <c r="L140" i="23"/>
  <c r="L141" i="23"/>
  <c r="M141" i="23" s="1"/>
  <c r="L142" i="23"/>
  <c r="M142" i="23" s="1"/>
  <c r="L143" i="23"/>
  <c r="L144" i="23"/>
  <c r="M144" i="23" s="1"/>
  <c r="L145" i="23"/>
  <c r="L146" i="23"/>
  <c r="M146" i="23" s="1"/>
  <c r="L147" i="23"/>
  <c r="M147" i="23" s="1"/>
  <c r="L148" i="23"/>
  <c r="L149" i="23"/>
  <c r="L150" i="23"/>
  <c r="M150" i="23" s="1"/>
  <c r="L151" i="23"/>
  <c r="M151" i="23" s="1"/>
  <c r="L152" i="23"/>
  <c r="M152" i="23" s="1"/>
  <c r="L153" i="23"/>
  <c r="M153" i="23" s="1"/>
  <c r="L154" i="23"/>
  <c r="M154" i="23" s="1"/>
  <c r="L155" i="23"/>
  <c r="M155" i="23" s="1"/>
  <c r="L156" i="23"/>
  <c r="L157" i="23"/>
  <c r="L158" i="23"/>
  <c r="M158" i="23" s="1"/>
  <c r="L159" i="23"/>
  <c r="M159" i="23" s="1"/>
  <c r="L160" i="23"/>
  <c r="M160" i="23" s="1"/>
  <c r="L161" i="23"/>
  <c r="M161" i="23" s="1"/>
  <c r="L162" i="23"/>
  <c r="M162" i="23" s="1"/>
  <c r="L163" i="23"/>
  <c r="M163" i="23" s="1"/>
  <c r="L164" i="23"/>
  <c r="M164" i="23" s="1"/>
  <c r="L165" i="23"/>
  <c r="M165" i="23" s="1"/>
  <c r="L166" i="23"/>
  <c r="M166" i="23" s="1"/>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2" i="23"/>
  <c r="M182" i="23" s="1"/>
  <c r="L183" i="23"/>
  <c r="M183" i="23" s="1"/>
  <c r="L184" i="23"/>
  <c r="M184" i="23" s="1"/>
  <c r="L185" i="23"/>
  <c r="M185" i="23" s="1"/>
  <c r="L186" i="23"/>
  <c r="M186" i="23" s="1"/>
  <c r="L187" i="23"/>
  <c r="M187" i="23" s="1"/>
  <c r="L188" i="23"/>
  <c r="M188" i="23" s="1"/>
  <c r="L189" i="23"/>
  <c r="M189" i="23" s="1"/>
  <c r="L190" i="23"/>
  <c r="M190" i="23" s="1"/>
  <c r="L191" i="23"/>
  <c r="M191" i="23" s="1"/>
  <c r="L195" i="23"/>
  <c r="M195" i="23" s="1"/>
  <c r="L196" i="23"/>
  <c r="M196" i="23" s="1"/>
  <c r="L197" i="23"/>
  <c r="M197" i="23" s="1"/>
  <c r="L198" i="23"/>
  <c r="M198" i="23" s="1"/>
  <c r="L2" i="23"/>
  <c r="M78" i="23" l="1"/>
  <c r="X33" i="16"/>
  <c r="Y33" i="16" s="1"/>
  <c r="X31" i="16"/>
  <c r="Y31" i="16" s="1"/>
  <c r="X40" i="16"/>
  <c r="Y40" i="16" s="1"/>
  <c r="X94" i="16"/>
  <c r="Y94" i="16" s="1"/>
  <c r="X41" i="16"/>
  <c r="Y41" i="16" s="1"/>
  <c r="X36" i="16"/>
  <c r="Y36" i="16" s="1"/>
  <c r="X28" i="16"/>
  <c r="Y28" i="16" s="1"/>
  <c r="X4" i="16"/>
  <c r="Y4" i="16" s="1"/>
  <c r="M87" i="23"/>
  <c r="X38" i="16"/>
  <c r="Y38" i="16" s="1"/>
  <c r="X95" i="16"/>
  <c r="Y95" i="16" s="1"/>
  <c r="M94" i="23"/>
  <c r="X96" i="16"/>
  <c r="Y96" i="16" s="1"/>
  <c r="M80" i="23"/>
  <c r="M97" i="23"/>
  <c r="M92" i="23"/>
  <c r="Y69" i="16"/>
  <c r="M119" i="23"/>
  <c r="M99" i="23"/>
  <c r="M110" i="23"/>
  <c r="M106" i="23"/>
  <c r="M98" i="23"/>
  <c r="M114" i="23"/>
  <c r="M93" i="23"/>
  <c r="M76" i="23"/>
  <c r="M96" i="23"/>
  <c r="M149" i="23"/>
  <c r="M145" i="23"/>
  <c r="M127" i="23"/>
  <c r="M156" i="23"/>
  <c r="M148" i="23"/>
  <c r="M140" i="23"/>
  <c r="M139" i="23"/>
  <c r="M135" i="23"/>
  <c r="M143" i="23"/>
  <c r="M134" i="23"/>
  <c r="M122" i="23"/>
  <c r="M128" i="23"/>
  <c r="M116" i="23"/>
  <c r="M137" i="23"/>
  <c r="M133" i="23"/>
  <c r="M113" i="23"/>
  <c r="M125" i="23"/>
  <c r="M105" i="23"/>
  <c r="M89" i="23"/>
  <c r="M108" i="23"/>
  <c r="M104" i="23"/>
  <c r="M100" i="23"/>
  <c r="M88" i="23"/>
  <c r="M84" i="23"/>
  <c r="M115" i="23"/>
  <c r="Z103" i="16"/>
  <c r="M102" i="23"/>
  <c r="M129" i="23"/>
  <c r="M109" i="23"/>
  <c r="M85" i="23"/>
  <c r="M131" i="23"/>
  <c r="M83" i="23"/>
  <c r="M157" i="23"/>
  <c r="Z83" i="16" l="1"/>
  <c r="Z82" i="16"/>
  <c r="Z81" i="16"/>
  <c r="Z104" i="16"/>
  <c r="Z105" i="16"/>
  <c r="O193" i="23" l="1"/>
  <c r="O194" i="23"/>
  <c r="O195" i="23"/>
  <c r="O196" i="23"/>
  <c r="O197" i="23"/>
  <c r="O198" i="23"/>
  <c r="O199" i="23"/>
  <c r="O200" i="23"/>
  <c r="F49" i="11" l="1"/>
  <c r="J111" i="38" l="1"/>
  <c r="H162" i="15"/>
  <c r="H163" i="15"/>
  <c r="C147" i="14" s="1"/>
  <c r="H165" i="15"/>
  <c r="C149" i="14" s="1"/>
  <c r="H166" i="15"/>
  <c r="H167" i="15"/>
  <c r="H168" i="15"/>
  <c r="H169" i="15"/>
  <c r="H170" i="15"/>
  <c r="H171" i="15"/>
  <c r="H172" i="15"/>
  <c r="H173" i="15"/>
  <c r="G121" i="16" s="1"/>
  <c r="H174" i="15"/>
  <c r="H121" i="16" s="1"/>
  <c r="F76" i="14" l="1"/>
  <c r="J144" i="14" s="1"/>
  <c r="E76" i="14"/>
  <c r="E132" i="14"/>
  <c r="J149" i="14"/>
  <c r="J150" i="14"/>
  <c r="J151" i="14"/>
  <c r="J152" i="14"/>
  <c r="J153" i="14"/>
  <c r="J154" i="14"/>
  <c r="J155" i="14"/>
  <c r="J156" i="14"/>
  <c r="J148" i="14"/>
  <c r="J76" i="14" l="1"/>
  <c r="H164" i="15" l="1"/>
  <c r="C148" i="14" s="1"/>
  <c r="I136" i="14" l="1"/>
  <c r="D76" i="14"/>
  <c r="Z78" i="16" l="1"/>
  <c r="Z77" i="16"/>
  <c r="Z76" i="16" l="1"/>
  <c r="N55" i="23"/>
  <c r="Z75" i="16"/>
  <c r="N70" i="23"/>
  <c r="W88" i="16"/>
  <c r="K68" i="16" l="1"/>
  <c r="L68" i="16"/>
  <c r="M68" i="16"/>
  <c r="N68" i="16"/>
  <c r="O68" i="16"/>
  <c r="P68" i="16"/>
  <c r="N30" i="23" l="1"/>
  <c r="Z86" i="16"/>
  <c r="Z109" i="16"/>
  <c r="N52" i="23"/>
  <c r="N24" i="23"/>
  <c r="N4" i="23"/>
  <c r="N36" i="23"/>
  <c r="Z66" i="16"/>
  <c r="Z60" i="16"/>
  <c r="Z65" i="16"/>
  <c r="Z59" i="16"/>
  <c r="N7" i="23"/>
  <c r="N107" i="23"/>
  <c r="N46" i="23"/>
  <c r="N23" i="23"/>
  <c r="Z61" i="16"/>
  <c r="Z63" i="16"/>
  <c r="Z62" i="16"/>
  <c r="N27" i="23"/>
  <c r="N14" i="23"/>
  <c r="N45" i="23"/>
  <c r="N10" i="23"/>
  <c r="N9" i="23"/>
  <c r="N113" i="23"/>
  <c r="N122" i="23"/>
  <c r="N68" i="23"/>
  <c r="Z67" i="16"/>
  <c r="N25" i="23"/>
  <c r="Z64" i="16"/>
  <c r="N121" i="23"/>
  <c r="N67" i="23"/>
  <c r="N11" i="23"/>
  <c r="N6" i="23"/>
  <c r="N53" i="23"/>
  <c r="N49" i="23"/>
  <c r="N44" i="23"/>
  <c r="N28" i="23"/>
  <c r="Z110" i="16"/>
  <c r="Z108" i="16"/>
  <c r="N5" i="23"/>
  <c r="Z107" i="16"/>
  <c r="N12" i="23"/>
  <c r="N13" i="23"/>
  <c r="N8" i="23" l="1"/>
  <c r="N80" i="23"/>
  <c r="N51" i="23"/>
  <c r="N82" i="23"/>
  <c r="Z72" i="16"/>
  <c r="N112" i="23"/>
  <c r="N50" i="23"/>
  <c r="N101" i="23"/>
  <c r="N48" i="23"/>
  <c r="Z19" i="16"/>
  <c r="N26" i="23"/>
  <c r="N33" i="23"/>
  <c r="N65" i="23"/>
  <c r="N83" i="23"/>
  <c r="N87" i="23"/>
  <c r="N39" i="23"/>
  <c r="N64" i="23"/>
  <c r="N22" i="23"/>
  <c r="N91" i="23"/>
  <c r="N29" i="23"/>
  <c r="Z74" i="16"/>
  <c r="N111" i="23"/>
  <c r="Z37" i="16"/>
  <c r="Z95" i="16"/>
  <c r="Z7" i="16"/>
  <c r="Z79" i="16"/>
  <c r="Z53" i="16"/>
  <c r="N102" i="23"/>
  <c r="Z96" i="16"/>
  <c r="Z41" i="16"/>
  <c r="Z42" i="16"/>
  <c r="N128" i="23"/>
  <c r="Z106" i="16"/>
  <c r="Z91" i="16"/>
  <c r="Z92" i="16"/>
  <c r="Z93" i="16"/>
  <c r="Z89" i="16"/>
  <c r="Z94" i="16"/>
  <c r="N95" i="23"/>
  <c r="Z97" i="16"/>
  <c r="N124" i="23"/>
  <c r="Z99" i="16"/>
  <c r="N96" i="23"/>
  <c r="Z98" i="16"/>
  <c r="N123" i="23"/>
  <c r="Z100" i="16"/>
  <c r="N151" i="23"/>
  <c r="Z101" i="16"/>
  <c r="Z90" i="16"/>
  <c r="N139" i="23"/>
  <c r="Z102" i="16"/>
  <c r="Z73" i="16"/>
  <c r="Z71" i="16"/>
  <c r="Z70" i="16"/>
  <c r="N141" i="23"/>
  <c r="Z80" i="16"/>
  <c r="Z3" i="16"/>
  <c r="N105" i="23"/>
  <c r="Z46" i="16"/>
  <c r="Z56" i="16"/>
  <c r="N140" i="23"/>
  <c r="N2" i="23"/>
  <c r="Z54" i="16"/>
  <c r="N156" i="23"/>
  <c r="Z28" i="16"/>
  <c r="Z9" i="16"/>
  <c r="N154" i="23"/>
  <c r="Z33" i="16"/>
  <c r="Z22" i="16"/>
  <c r="Z10" i="16"/>
  <c r="Z30" i="16"/>
  <c r="Z25" i="16"/>
  <c r="Z8" i="16"/>
  <c r="Z27" i="16"/>
  <c r="Z52" i="16"/>
  <c r="N127" i="23"/>
  <c r="Z57" i="16"/>
  <c r="N148" i="23"/>
  <c r="Z21" i="16"/>
  <c r="Z24" i="16"/>
  <c r="N135" i="23"/>
  <c r="Z4" i="16"/>
  <c r="Z16" i="16"/>
  <c r="N92" i="23"/>
  <c r="Z20" i="16"/>
  <c r="N117" i="23"/>
  <c r="Z49" i="16"/>
  <c r="N98" i="23"/>
  <c r="Z39" i="16"/>
  <c r="Z17" i="16"/>
  <c r="N88" i="23"/>
  <c r="Z32" i="16"/>
  <c r="N129" i="23"/>
  <c r="Z36" i="16"/>
  <c r="Z5" i="16"/>
  <c r="N76" i="23"/>
  <c r="Z29" i="16"/>
  <c r="N155" i="23"/>
  <c r="Z47" i="16"/>
  <c r="Z26" i="16"/>
  <c r="Z58" i="16"/>
  <c r="N145" i="23"/>
  <c r="Z31" i="16"/>
  <c r="Z13" i="16"/>
  <c r="N77" i="23"/>
  <c r="Z18" i="16"/>
  <c r="Z15" i="16"/>
  <c r="N104" i="23"/>
  <c r="Z44" i="16"/>
  <c r="N99" i="23"/>
  <c r="Z38" i="16"/>
  <c r="N118" i="23"/>
  <c r="Z48" i="16"/>
  <c r="Z55" i="16"/>
  <c r="N149" i="23"/>
  <c r="Z23" i="16"/>
  <c r="Z34" i="16"/>
  <c r="N106" i="23"/>
  <c r="Z45" i="16"/>
  <c r="N97" i="23"/>
  <c r="Z40" i="16"/>
  <c r="Z35" i="16"/>
  <c r="N103" i="23"/>
  <c r="Z43" i="16"/>
  <c r="N133" i="23"/>
  <c r="N134" i="23"/>
  <c r="N100" i="23"/>
  <c r="N115" i="23"/>
  <c r="N114" i="23"/>
  <c r="Z51" i="16"/>
  <c r="Z50" i="16"/>
  <c r="K111" i="38"/>
  <c r="E4" i="11" s="1"/>
  <c r="E5" i="11" s="1"/>
  <c r="M111" i="38" l="1"/>
  <c r="N111" i="38" s="1"/>
  <c r="Z69" i="16" l="1"/>
  <c r="X88" i="16" l="1"/>
  <c r="W111" i="16"/>
  <c r="W87" i="16"/>
  <c r="W68" i="16"/>
  <c r="W115" i="16" l="1"/>
  <c r="S88" i="16"/>
  <c r="S111" i="16" s="1"/>
  <c r="T88" i="16"/>
  <c r="T111" i="16" s="1"/>
  <c r="U111" i="16" l="1"/>
  <c r="U88" i="16"/>
  <c r="N192" i="23" l="1"/>
  <c r="N193" i="23"/>
  <c r="N194" i="23"/>
  <c r="N195" i="23"/>
  <c r="N196" i="23"/>
  <c r="N197" i="23"/>
  <c r="N198" i="23"/>
  <c r="F5" i="37" l="1"/>
  <c r="F6" i="37" s="1"/>
  <c r="F7" i="37" s="1"/>
  <c r="AV14" i="14"/>
  <c r="G46" i="11" l="1"/>
  <c r="G47" i="11"/>
  <c r="Q324" i="23" l="1"/>
  <c r="Q325" i="23"/>
  <c r="Q326" i="23"/>
  <c r="Q327" i="23"/>
  <c r="Q328" i="23"/>
  <c r="Q329" i="23"/>
  <c r="L390" i="23" l="1"/>
  <c r="M390" i="23" s="1"/>
  <c r="N390" i="23"/>
  <c r="L391" i="23"/>
  <c r="M391" i="23" s="1"/>
  <c r="N391" i="23"/>
  <c r="L392" i="23"/>
  <c r="M392" i="23" s="1"/>
  <c r="N392" i="23"/>
  <c r="L393" i="23"/>
  <c r="M393" i="23" s="1"/>
  <c r="N393" i="23"/>
  <c r="I394" i="23"/>
  <c r="J394" i="23"/>
  <c r="N394" i="23"/>
  <c r="S87" i="16" l="1"/>
  <c r="L394" i="23"/>
  <c r="M394" i="23" s="1"/>
  <c r="D50" i="11" l="1"/>
  <c r="D51" i="11" s="1"/>
  <c r="F84" i="8" l="1"/>
  <c r="I192" i="23" l="1"/>
  <c r="J192" i="23"/>
  <c r="J401" i="23" s="1"/>
  <c r="L192" i="23" l="1"/>
  <c r="M192" i="23" s="1"/>
  <c r="Y88" i="16"/>
  <c r="I401" i="23"/>
  <c r="I193" i="23"/>
  <c r="L193" i="23" s="1"/>
  <c r="M193" i="23" s="1"/>
  <c r="M2" i="23"/>
  <c r="I194" i="23" l="1"/>
  <c r="L194" i="23" s="1"/>
  <c r="M194" i="23" s="1"/>
  <c r="L399" i="23" l="1"/>
  <c r="J157" i="14" l="1"/>
  <c r="J145" i="14" l="1"/>
  <c r="C146" i="14"/>
  <c r="AN14" i="14"/>
  <c r="F68" i="8" l="1"/>
  <c r="D143" i="14" s="1"/>
  <c r="F69" i="8"/>
  <c r="D144" i="14" s="1"/>
  <c r="F70" i="8"/>
  <c r="D145" i="14" s="1"/>
  <c r="F71" i="8"/>
  <c r="D146" i="14" s="1"/>
  <c r="F146" i="14" s="1"/>
  <c r="F72" i="8"/>
  <c r="D147" i="14" s="1"/>
  <c r="F147" i="14" s="1"/>
  <c r="F73" i="8"/>
  <c r="D148" i="14" s="1"/>
  <c r="F148" i="14" s="1"/>
  <c r="H148" i="14" s="1"/>
  <c r="F74" i="8"/>
  <c r="D149" i="14" s="1"/>
  <c r="F75" i="8"/>
  <c r="D150" i="14" s="1"/>
  <c r="F76" i="8"/>
  <c r="D151" i="14" s="1"/>
  <c r="F77" i="8"/>
  <c r="D152" i="14" s="1"/>
  <c r="F78" i="8"/>
  <c r="D153" i="14" s="1"/>
  <c r="F79" i="8"/>
  <c r="D154" i="14" s="1"/>
  <c r="F80" i="8"/>
  <c r="D155" i="14" s="1"/>
  <c r="F81" i="8"/>
  <c r="D156" i="14" s="1"/>
  <c r="F82" i="8"/>
  <c r="D157" i="14" s="1"/>
  <c r="F83" i="8"/>
  <c r="D158" i="14" s="1"/>
  <c r="F67" i="8"/>
  <c r="H159" i="15"/>
  <c r="H160" i="15"/>
  <c r="H161" i="15"/>
  <c r="H158" i="15"/>
  <c r="G147" i="14" l="1"/>
  <c r="H147" i="14" s="1"/>
  <c r="H175" i="15"/>
  <c r="AJ14" i="14"/>
  <c r="AK14" i="14"/>
  <c r="AL14" i="14"/>
  <c r="AM14" i="14"/>
  <c r="B14" i="11"/>
  <c r="B15" i="11"/>
  <c r="B16" i="11"/>
  <c r="B17" i="11"/>
  <c r="B18" i="11"/>
  <c r="B24" i="11"/>
  <c r="C21" i="11"/>
  <c r="C143" i="14"/>
  <c r="F143" i="14" s="1"/>
  <c r="H143" i="14" s="1"/>
  <c r="C144" i="14"/>
  <c r="F144" i="14" s="1"/>
  <c r="H144" i="14" s="1"/>
  <c r="C145" i="14"/>
  <c r="F145" i="14" s="1"/>
  <c r="H145" i="14" s="1"/>
  <c r="C150" i="14"/>
  <c r="C151" i="14"/>
  <c r="C152" i="14"/>
  <c r="C153" i="14"/>
  <c r="C154" i="14"/>
  <c r="C155" i="14"/>
  <c r="C156" i="14"/>
  <c r="C157" i="14"/>
  <c r="C158" i="14"/>
  <c r="D142" i="14"/>
  <c r="C142" i="14"/>
  <c r="E64" i="8"/>
  <c r="D64" i="8"/>
  <c r="G156" i="15"/>
  <c r="H1" i="8"/>
  <c r="F156" i="15"/>
  <c r="F158" i="14" l="1"/>
  <c r="H158" i="14" s="1"/>
  <c r="C18" i="11"/>
  <c r="D159" i="14"/>
  <c r="F157" i="14"/>
  <c r="H157" i="14" s="1"/>
  <c r="F153" i="14"/>
  <c r="F149" i="14"/>
  <c r="C17" i="11"/>
  <c r="F155" i="14"/>
  <c r="H155" i="14" s="1"/>
  <c r="F151" i="14"/>
  <c r="C19" i="11"/>
  <c r="C15" i="11"/>
  <c r="F154" i="14"/>
  <c r="F150" i="14"/>
  <c r="H150" i="14" s="1"/>
  <c r="F156" i="14"/>
  <c r="H156" i="14" s="1"/>
  <c r="F152" i="14"/>
  <c r="H152" i="14" s="1"/>
  <c r="C26" i="11"/>
  <c r="C16" i="11"/>
  <c r="F142" i="14"/>
  <c r="C159" i="14"/>
  <c r="C20" i="11" l="1"/>
  <c r="C24" i="11"/>
  <c r="C23" i="11"/>
  <c r="C22" i="11" s="1"/>
  <c r="H154" i="14"/>
  <c r="C14" i="11"/>
  <c r="C13" i="11" s="1"/>
  <c r="H142" i="14"/>
  <c r="C31" i="11"/>
  <c r="C27" i="11"/>
  <c r="C28" i="11"/>
  <c r="G153" i="14"/>
  <c r="H153" i="14" s="1"/>
  <c r="X68" i="16" l="1"/>
  <c r="H136" i="14" l="1"/>
  <c r="J136" i="14"/>
  <c r="AI14" i="14"/>
  <c r="R193" i="23"/>
  <c r="L149" i="14" l="1"/>
  <c r="L150" i="14"/>
  <c r="L151" i="14"/>
  <c r="L152" i="14"/>
  <c r="L153" i="14"/>
  <c r="L154" i="14"/>
  <c r="L155" i="14"/>
  <c r="L156" i="14"/>
  <c r="L148" i="14"/>
  <c r="X111" i="16" l="1"/>
  <c r="X87" i="16"/>
  <c r="Q115" i="16" l="1"/>
  <c r="R115" i="16"/>
  <c r="T87" i="16" l="1"/>
  <c r="U87" i="16" s="1"/>
  <c r="V88" i="16"/>
  <c r="S68" i="16"/>
  <c r="U68" i="16" s="1"/>
  <c r="N81" i="23" l="1"/>
  <c r="V111" i="16"/>
  <c r="N78" i="23"/>
  <c r="N31" i="23"/>
  <c r="N3" i="23"/>
  <c r="N57" i="23"/>
  <c r="Z88" i="16"/>
  <c r="V87" i="16"/>
  <c r="Z87" i="16" s="1"/>
  <c r="X115" i="16"/>
  <c r="V68" i="16"/>
  <c r="Z68" i="16" l="1"/>
  <c r="U112" i="16"/>
  <c r="N114" i="16"/>
  <c r="N115" i="16" s="1"/>
  <c r="C30" i="11" l="1"/>
  <c r="C33" i="11"/>
  <c r="C36" i="11" s="1"/>
  <c r="E13" i="11" l="1"/>
  <c r="G151" i="14"/>
  <c r="H151" i="14" s="1"/>
  <c r="G149" i="14"/>
  <c r="H149" i="14" s="1"/>
  <c r="G146" i="14"/>
  <c r="H146" i="14" s="1"/>
  <c r="F159" i="14"/>
  <c r="G159" i="14" l="1"/>
  <c r="C37" i="11" s="1"/>
  <c r="H163" i="14"/>
  <c r="AA14" i="14" l="1"/>
  <c r="T113" i="16" l="1"/>
  <c r="J114" i="16"/>
  <c r="K114" i="16"/>
  <c r="K115" i="16" s="1"/>
  <c r="G122" i="16" s="1"/>
  <c r="G123" i="16" s="1"/>
  <c r="L114" i="16"/>
  <c r="L115" i="16" s="1"/>
  <c r="M114" i="16"/>
  <c r="M115" i="16" s="1"/>
  <c r="N116" i="16"/>
  <c r="O114" i="16"/>
  <c r="O115" i="16" s="1"/>
  <c r="P114" i="16"/>
  <c r="P115" i="16" s="1"/>
  <c r="P116" i="16" s="1"/>
  <c r="H115" i="16"/>
  <c r="I115" i="16"/>
  <c r="L116" i="16" l="1"/>
  <c r="H122" i="16"/>
  <c r="H123" i="16" s="1"/>
  <c r="H119" i="16"/>
  <c r="Q149" i="23"/>
  <c r="R149" i="23" s="1"/>
  <c r="M116" i="16"/>
  <c r="J115" i="16"/>
  <c r="J117" i="16" s="1"/>
  <c r="O116" i="16"/>
  <c r="U113" i="16"/>
  <c r="K116" i="16"/>
  <c r="F126" i="16"/>
  <c r="T114" i="16"/>
  <c r="S114" i="16"/>
  <c r="X113" i="16"/>
  <c r="L398" i="23" l="1"/>
  <c r="D4" i="11"/>
  <c r="D5" i="11" s="1"/>
  <c r="Y113" i="16"/>
  <c r="T115" i="16"/>
  <c r="S115" i="16"/>
  <c r="T116" i="16" l="1"/>
  <c r="T120" i="16"/>
  <c r="S116" i="16"/>
  <c r="S120" i="16"/>
  <c r="V115" i="16"/>
  <c r="U115" i="16"/>
  <c r="U116" i="16" s="1"/>
  <c r="N21" i="23" l="1"/>
  <c r="V116" i="16"/>
  <c r="Y119" i="16"/>
  <c r="N20" i="23" l="1"/>
  <c r="C50" i="11" l="1"/>
  <c r="C11" i="11" l="1"/>
  <c r="C10" i="11"/>
  <c r="E50" i="11" l="1"/>
  <c r="C9" i="11" l="1"/>
  <c r="C8" i="11" s="1"/>
  <c r="C35" i="11" s="1"/>
  <c r="K119" i="16" l="1"/>
  <c r="D36" i="11" l="1"/>
  <c r="C39" i="11" s="1"/>
  <c r="C40" i="11"/>
  <c r="C38" i="11"/>
  <c r="D25" i="11" l="1"/>
  <c r="D26" i="11"/>
  <c r="D27" i="11"/>
  <c r="D15" i="11"/>
  <c r="D19" i="11"/>
  <c r="D18" i="11"/>
  <c r="D22" i="11"/>
  <c r="D24" i="11"/>
  <c r="D17" i="11"/>
  <c r="D23" i="11"/>
  <c r="D21" i="11"/>
  <c r="D14" i="11"/>
  <c r="D20" i="11"/>
  <c r="D16" i="11"/>
  <c r="S117" i="16"/>
  <c r="S118" i="16" s="1"/>
  <c r="E30" i="11" l="1"/>
  <c r="F30" i="11" s="1"/>
  <c r="W116" i="16"/>
  <c r="T118" i="16"/>
  <c r="B33" i="11" l="1"/>
  <c r="D30" i="11" l="1"/>
  <c r="D8" i="11" l="1"/>
  <c r="E8" i="11" s="1"/>
  <c r="D33" i="11" l="1"/>
  <c r="D9" i="11" l="1"/>
  <c r="D10" i="11"/>
  <c r="D11" i="11"/>
  <c r="D13" i="11" l="1"/>
</calcChain>
</file>

<file path=xl/sharedStrings.xml><?xml version="1.0" encoding="utf-8"?>
<sst xmlns="http://schemas.openxmlformats.org/spreadsheetml/2006/main" count="3488" uniqueCount="1197">
  <si>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</si>
  <si>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</si>
  <si>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</si>
  <si>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</si>
  <si>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</si>
  <si>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</si>
  <si>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</si>
  <si>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</si>
  <si>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</si>
  <si>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</si>
  <si>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</si>
  <si>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</si>
  <si>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</si>
  <si>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</si>
  <si>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</si>
  <si>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</si>
  <si>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</si>
  <si>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</si>
  <si>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</si>
  <si>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</si>
  <si>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</si>
  <si>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</si>
  <si>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</si>
  <si>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</si>
  <si>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</si>
  <si>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</si>
  <si>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</si>
  <si>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</si>
  <si>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</si>
  <si>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</si>
  <si>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</si>
  <si>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</si>
  <si>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</si>
  <si>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</si>
  <si>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</si>
  <si>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</si>
  <si>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</si>
  <si>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</si>
  <si>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</si>
  <si>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</si>
  <si>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</si>
  <si>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</si>
  <si>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</si>
  <si>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</si>
  <si>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</si>
  <si>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</si>
  <si>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</si>
  <si>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</si>
  <si>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</si>
  <si>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</si>
  <si>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</si>
  <si>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</si>
  <si>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</si>
  <si>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</si>
  <si>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</si>
  <si>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</si>
  <si>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</si>
  <si>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</si>
  <si>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</si>
  <si>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</si>
  <si>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</si>
  <si>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</si>
  <si>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</si>
  <si>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</si>
  <si>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</si>
  <si>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</si>
  <si>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</si>
  <si>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</si>
  <si>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</si>
  <si>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</si>
  <si>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</si>
  <si>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</si>
  <si>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</si>
  <si>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</si>
  <si>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</si>
  <si>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</si>
  <si>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</si>
  <si>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</si>
  <si>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</si>
  <si>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</si>
  <si>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</si>
  <si>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</si>
  <si>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</si>
  <si>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</si>
  <si>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</si>
  <si>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</si>
  <si>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</si>
  <si>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</si>
  <si>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</si>
  <si>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</si>
  <si>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</si>
  <si>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</si>
  <si>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</si>
  <si>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</si>
  <si>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</si>
  <si>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</si>
  <si>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</si>
  <si>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</si>
  <si>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</si>
  <si>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</si>
  <si>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</si>
  <si>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</si>
  <si>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</si>
  <si>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</si>
  <si>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</si>
  <si>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</si>
  <si>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</si>
  <si>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</si>
  <si>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</si>
  <si>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</si>
  <si>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</si>
  <si>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</si>
  <si>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</si>
  <si>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</si>
  <si>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</si>
  <si>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</si>
  <si>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</si>
  <si>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</si>
  <si>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</si>
  <si>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</si>
  <si>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</si>
  <si>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</si>
  <si>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</si>
  <si>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</si>
  <si>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</si>
  <si>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</si>
  <si>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</si>
  <si>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</si>
  <si>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</si>
  <si>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</si>
  <si>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</si>
  <si>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</si>
  <si>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</si>
  <si>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</si>
  <si>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</si>
  <si>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</si>
  <si>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</si>
  <si>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</si>
  <si>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</si>
  <si>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</si>
  <si>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</si>
  <si>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</si>
  <si>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</si>
  <si>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</si>
  <si>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</si>
  <si>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</si>
  <si>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</si>
  <si>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</si>
  <si>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16.259.043-K</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</si>
  <si>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</si>
  <si>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</si>
  <si>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</si>
  <si>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</si>
  <si>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</si>
  <si>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</si>
  <si>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</si>
  <si>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</si>
  <si>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</si>
  <si>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</si>
  <si>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</si>
  <si>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</si>
  <si>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</si>
  <si>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</si>
  <si>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</si>
  <si>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</si>
  <si>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</si>
  <si>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</si>
  <si>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Se anulo</t>
  </si>
  <si>
    <t>Revisar</t>
  </si>
  <si>
    <t>Jose barbado</t>
  </si>
  <si>
    <t>Lista de Clases</t>
  </si>
  <si>
    <t>Comisión otras</t>
  </si>
  <si>
    <t>Comisión Bco</t>
  </si>
  <si>
    <t>Fondos a Rendir</t>
  </si>
  <si>
    <t>Gastos Operación</t>
  </si>
  <si>
    <t>Gastos Admininstración</t>
  </si>
  <si>
    <t>Servicos</t>
  </si>
  <si>
    <t>Ventas deposito $</t>
  </si>
  <si>
    <t>Ventas deposito USD</t>
  </si>
  <si>
    <t xml:space="preserve"> </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</si>
  <si>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</si>
  <si>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</si>
  <si>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</si>
  <si>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</si>
  <si>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</si>
  <si>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</si>
  <si>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</si>
  <si>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</si>
  <si>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</si>
  <si>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</si>
  <si>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</si>
  <si>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</si>
  <si>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</si>
  <si>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</si>
  <si>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</si>
  <si>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</si>
  <si>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</si>
  <si>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</si>
  <si>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</si>
  <si>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Nule</t>
  </si>
  <si>
    <t>|</t>
  </si>
  <si>
    <t>23.590.575-2</t>
  </si>
  <si>
    <t>anulacion</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</si>
  <si>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</si>
  <si>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</si>
  <si>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</si>
  <si>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</si>
  <si>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</si>
  <si>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</si>
  <si>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</si>
  <si>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</si>
  <si>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</si>
  <si>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</si>
  <si>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</si>
  <si>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</si>
  <si>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</si>
  <si>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</si>
  <si>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</si>
  <si>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</si>
  <si>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</si>
  <si>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</si>
  <si>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</si>
  <si>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</si>
  <si>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</si>
  <si>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</si>
  <si>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25173415</t>
  </si>
  <si>
    <t>Deposito En Efectivo Por Caja</t>
  </si>
  <si>
    <t>71507092</t>
  </si>
  <si>
    <t xml:space="preserve">Mara Jose Paez Zumaran                       </t>
  </si>
  <si>
    <t xml:space="preserve">SCOTIABANK                         </t>
  </si>
  <si>
    <t>AGRO</t>
  </si>
  <si>
    <t>MALL</t>
  </si>
  <si>
    <t>BKNG</t>
  </si>
  <si>
    <t>30905830</t>
  </si>
  <si>
    <t>30975278</t>
  </si>
  <si>
    <t>Mes anterior</t>
  </si>
  <si>
    <t>PRESTAMOS CUOTA FIJA</t>
  </si>
  <si>
    <t xml:space="preserve">Luis Arias                                   </t>
  </si>
  <si>
    <t>12.567.334-1</t>
  </si>
  <si>
    <t>12567334</t>
  </si>
  <si>
    <t xml:space="preserve">Ana Cruz Varas                               </t>
  </si>
  <si>
    <t>24.589.336-1</t>
  </si>
  <si>
    <t>24589336</t>
  </si>
  <si>
    <t xml:space="preserve">Leticia Alessi                               </t>
  </si>
  <si>
    <t>anuldada</t>
  </si>
  <si>
    <t>Channel</t>
  </si>
  <si>
    <t>Booking.com</t>
  </si>
  <si>
    <t>Expedia</t>
  </si>
  <si>
    <t>BookingButton</t>
  </si>
  <si>
    <t>BB</t>
  </si>
  <si>
    <t>LIDER</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</si>
  <si>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</si>
  <si>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</si>
  <si>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</si>
  <si>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</si>
  <si>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</si>
  <si>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</si>
  <si>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</si>
  <si>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</si>
  <si>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</si>
  <si>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</si>
  <si>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</si>
  <si>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</si>
  <si>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</si>
  <si>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</si>
  <si>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</si>
  <si>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</si>
  <si>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96.982.330-6</t>
  </si>
  <si>
    <t>21066477</t>
  </si>
  <si>
    <t xml:space="preserve">CESPA Ltda                                   </t>
  </si>
  <si>
    <t>72.809.800-7</t>
  </si>
  <si>
    <t>54003610</t>
  </si>
  <si>
    <t xml:space="preserve">Comite de Agua San Pedro de Atacama          </t>
  </si>
  <si>
    <t>SODIMAC</t>
  </si>
  <si>
    <t>VALIMPORT</t>
  </si>
  <si>
    <t>BERTITA</t>
  </si>
  <si>
    <t>SITEMINDER</t>
  </si>
  <si>
    <t>WWW.HOTELOGIX.COM</t>
  </si>
  <si>
    <t>Abono Por Transf De Fondos Autoservicio</t>
  </si>
  <si>
    <t>Retiros Acumulados 2018-Angelica</t>
  </si>
  <si>
    <t>Retiros Acumulados 2018-Maria</t>
  </si>
  <si>
    <t>Retiros Acumulados 2018-Sergio</t>
  </si>
  <si>
    <t>Retiros Acumulados 2018-Carlos</t>
  </si>
  <si>
    <t>Pago1</t>
  </si>
  <si>
    <t>Pago2</t>
  </si>
  <si>
    <t>Pago3</t>
  </si>
  <si>
    <t>transbank</t>
  </si>
  <si>
    <t>975172031</t>
  </si>
  <si>
    <t xml:space="preserve">Carlos Moscoso                               </t>
  </si>
  <si>
    <t>76.572.506-2</t>
  </si>
  <si>
    <t>70792372</t>
  </si>
  <si>
    <t xml:space="preserve">Panaderia La Franchuteria                    </t>
  </si>
  <si>
    <t>76.248.923-6</t>
  </si>
  <si>
    <t xml:space="preserve">BANCO ITAU                         </t>
  </si>
  <si>
    <t>212890774</t>
  </si>
  <si>
    <t xml:space="preserve">Pagos y Servicios Astropay Ltda              </t>
  </si>
  <si>
    <t>96.591.760-8</t>
  </si>
  <si>
    <t xml:space="preserve">BANCO DE CHILE-EDWARDS             </t>
  </si>
  <si>
    <t>1787215104</t>
  </si>
  <si>
    <t xml:space="preserve">Truly Nolen Chile SA                         </t>
  </si>
  <si>
    <t>EL SALVADOR</t>
  </si>
  <si>
    <t>- MC ****8447  $160.836  Fecha de venta: 27-12-2018 Fecha anulación: 08-01</t>
  </si>
  <si>
    <t>96.919.050-8</t>
  </si>
  <si>
    <t>1638114</t>
  </si>
  <si>
    <t xml:space="preserve">Acepta.com                                   </t>
  </si>
  <si>
    <t>A-Hotels.com</t>
  </si>
  <si>
    <t>hotelpascualandinodirect</t>
  </si>
  <si>
    <t>A-Expedia</t>
  </si>
  <si>
    <t>16.189.852-K</t>
  </si>
  <si>
    <t>16189852</t>
  </si>
  <si>
    <t xml:space="preserve">Norma Gavia                                  </t>
  </si>
  <si>
    <t xml:space="preserve">BANCO BICE                         </t>
  </si>
  <si>
    <t>Ingesos por Venta  BB</t>
  </si>
  <si>
    <t>23.487.541-8</t>
  </si>
  <si>
    <t>87353130</t>
  </si>
  <si>
    <t xml:space="preserve">Ausberto Vilacagua Lenis                     </t>
  </si>
  <si>
    <t>LAN COM SANTIAGO</t>
  </si>
  <si>
    <t>EBDIT</t>
  </si>
  <si>
    <t>COMPRA DE DIVISAS</t>
  </si>
  <si>
    <t>1087</t>
  </si>
  <si>
    <t>TRANSVIP MOVIL CALAMA</t>
  </si>
  <si>
    <t>DEV. CB VIAJES 1</t>
  </si>
  <si>
    <t>13.421.228-4</t>
  </si>
  <si>
    <t>64034740</t>
  </si>
  <si>
    <t xml:space="preserve">MIGUEL ANGEL NIEVAS                          </t>
  </si>
  <si>
    <t>371715XXXXXX1011</t>
  </si>
  <si>
    <t>12</t>
  </si>
  <si>
    <t>374940XXXXXX4000</t>
  </si>
  <si>
    <t>27</t>
  </si>
  <si>
    <t>525303XXXXXXX1210</t>
  </si>
  <si>
    <t>457307XXXXXXX8019</t>
  </si>
  <si>
    <t>522688XXXXXXX1261</t>
  </si>
  <si>
    <t>553636XXXXXXX0778</t>
  </si>
  <si>
    <t>521397XXXXXXX7692</t>
  </si>
  <si>
    <t>452002XXXXXXX1710</t>
  </si>
  <si>
    <t>477873XXXXXXX1094</t>
  </si>
  <si>
    <t>64</t>
  </si>
  <si>
    <t>548984XXXXXXX8038</t>
  </si>
  <si>
    <t>453211XXXXXXX4139</t>
  </si>
  <si>
    <t>438857XXXXXXX9677</t>
  </si>
  <si>
    <t>491675XXXXXXX6424</t>
  </si>
  <si>
    <t>553636XXXXXXX7405</t>
  </si>
  <si>
    <t>521892XXXXXXX8653</t>
  </si>
  <si>
    <t>490744XXXXXXX9018</t>
  </si>
  <si>
    <t>409308XXXXXXX5807</t>
  </si>
  <si>
    <t>515601XXXXXXX3736</t>
  </si>
  <si>
    <t>497043XXXXXXX4040</t>
  </si>
  <si>
    <t>498408XXXXXXX4773</t>
  </si>
  <si>
    <t>462263XXXXXXX0745</t>
  </si>
  <si>
    <t>414720XXXXXXX0187</t>
  </si>
  <si>
    <t>522832XXXXXXX1526</t>
  </si>
  <si>
    <t>536805XXXXXXX7906</t>
  </si>
  <si>
    <t>521892XXXXXXX6571</t>
  </si>
  <si>
    <t>540385XXXXXXX4304</t>
  </si>
  <si>
    <t>Comisión Cuenta Corriente Moneda Extranjera</t>
  </si>
  <si>
    <t>TRASPASO DEUDA INTERNACIONAL</t>
  </si>
  <si>
    <t>IMPUESTO DECRETO LEY 3475 TASA 0,066%</t>
  </si>
  <si>
    <t>INTERESES ROTATIVOS</t>
  </si>
  <si>
    <t>PC FACTORY</t>
  </si>
  <si>
    <t>A-Expedia Affiliate Network</t>
  </si>
  <si>
    <t>Calculo de Noches</t>
  </si>
  <si>
    <t>Hoja Reservas</t>
  </si>
  <si>
    <t>Diferencia</t>
  </si>
  <si>
    <t>01/07/2019 10:45</t>
  </si>
  <si>
    <t>552350XXXXXXX1265</t>
  </si>
  <si>
    <t>000131</t>
  </si>
  <si>
    <t>02/07/2019 09:04</t>
  </si>
  <si>
    <t>379967XXXXXX8407</t>
  </si>
  <si>
    <t>66</t>
  </si>
  <si>
    <t>03/07/2019 13:51</t>
  </si>
  <si>
    <t>497490XXXXXXX4246</t>
  </si>
  <si>
    <t>973565</t>
  </si>
  <si>
    <t>03/07/2019 14:30</t>
  </si>
  <si>
    <t>414734XXXXXXX8974</t>
  </si>
  <si>
    <t>02019D</t>
  </si>
  <si>
    <t>03/07/2019 19:49</t>
  </si>
  <si>
    <t>33</t>
  </si>
  <si>
    <t>03/07/2019 22:23</t>
  </si>
  <si>
    <t>83</t>
  </si>
  <si>
    <t>04/07/2019 11:27</t>
  </si>
  <si>
    <t>57</t>
  </si>
  <si>
    <t>04/07/2019 14:54</t>
  </si>
  <si>
    <t>522468XXXXXXX9234</t>
  </si>
  <si>
    <t>410674</t>
  </si>
  <si>
    <t>04/07/2019 16:13</t>
  </si>
  <si>
    <t>453903XXXXXXX4844</t>
  </si>
  <si>
    <t>617604</t>
  </si>
  <si>
    <t>04/07/2019 19:03</t>
  </si>
  <si>
    <t>498406XXXXXXX7126</t>
  </si>
  <si>
    <t>068413</t>
  </si>
  <si>
    <t>04/07/2019 19:18</t>
  </si>
  <si>
    <t>H19874</t>
  </si>
  <si>
    <t>04/07/2019 19:51</t>
  </si>
  <si>
    <t>09923C</t>
  </si>
  <si>
    <t>04/07/2019 20:30</t>
  </si>
  <si>
    <t>507293</t>
  </si>
  <si>
    <t>04/07/2019 20:52</t>
  </si>
  <si>
    <t>316648</t>
  </si>
  <si>
    <t>04/07/2019 21:39</t>
  </si>
  <si>
    <t>04277C</t>
  </si>
  <si>
    <t xml:space="preserve">05/07/2019  </t>
  </si>
  <si>
    <t>552352XXXXXXX0131</t>
  </si>
  <si>
    <t>648446</t>
  </si>
  <si>
    <t>05/07/2019 09:55</t>
  </si>
  <si>
    <t>094492</t>
  </si>
  <si>
    <t>05/07/2019 17:39</t>
  </si>
  <si>
    <t>801708</t>
  </si>
  <si>
    <t>05/07/2019 19:23</t>
  </si>
  <si>
    <t>453051</t>
  </si>
  <si>
    <t>06/07/2019 16:53</t>
  </si>
  <si>
    <t>05858N</t>
  </si>
  <si>
    <t>06/07/2019 18:23</t>
  </si>
  <si>
    <t>515676XXXXXXX9550</t>
  </si>
  <si>
    <t>062021</t>
  </si>
  <si>
    <t>06/07/2019 22:28</t>
  </si>
  <si>
    <t>090981</t>
  </si>
  <si>
    <t>07/07/2019 14:27</t>
  </si>
  <si>
    <t>450881XXXXXXX1011</t>
  </si>
  <si>
    <t>582283</t>
  </si>
  <si>
    <t xml:space="preserve">08/07/2019  </t>
  </si>
  <si>
    <t>526227XXXXXXX2573</t>
  </si>
  <si>
    <t>303271</t>
  </si>
  <si>
    <t>885036</t>
  </si>
  <si>
    <t>08/07/2019 12:35</t>
  </si>
  <si>
    <t>003205</t>
  </si>
  <si>
    <t>08/07/2019 13:52</t>
  </si>
  <si>
    <t>528914XXXXXXX0403</t>
  </si>
  <si>
    <t>076044</t>
  </si>
  <si>
    <t>08/07/2019 15:37</t>
  </si>
  <si>
    <t>008198</t>
  </si>
  <si>
    <t xml:space="preserve">09/07/2019  </t>
  </si>
  <si>
    <t>269416</t>
  </si>
  <si>
    <t>09/07/2019 10:58</t>
  </si>
  <si>
    <t>376039XXXXXX2007</t>
  </si>
  <si>
    <t>22</t>
  </si>
  <si>
    <t>09/07/2019 10:59</t>
  </si>
  <si>
    <t>517805XXXXXXX4077</t>
  </si>
  <si>
    <t>03675B</t>
  </si>
  <si>
    <t>10/07/2019 13:48</t>
  </si>
  <si>
    <t>497958XXXXXXX4968</t>
  </si>
  <si>
    <t>861246</t>
  </si>
  <si>
    <t>11/07/2019 15:21</t>
  </si>
  <si>
    <t>521892XXXXXXX1043</t>
  </si>
  <si>
    <t>807745</t>
  </si>
  <si>
    <t>11/07/2019 15:39</t>
  </si>
  <si>
    <t>522832XXXXXXX3320</t>
  </si>
  <si>
    <t>830650</t>
  </si>
  <si>
    <t>11/07/2019 15:40</t>
  </si>
  <si>
    <t>451409XXXXXXX9648</t>
  </si>
  <si>
    <t>065816</t>
  </si>
  <si>
    <t>494025XXXXXXX9523</t>
  </si>
  <si>
    <t>232008</t>
  </si>
  <si>
    <t>11/07/2019 19:11</t>
  </si>
  <si>
    <t>821090</t>
  </si>
  <si>
    <t>12/07/2019 10:38</t>
  </si>
  <si>
    <t>496604XXXXXXX5724</t>
  </si>
  <si>
    <t>914454</t>
  </si>
  <si>
    <t>12/07/2019 10:40</t>
  </si>
  <si>
    <t>426588XXXXXXX3439</t>
  </si>
  <si>
    <t>001243</t>
  </si>
  <si>
    <t>12/07/2019 10:41</t>
  </si>
  <si>
    <t>542550XXXXXXX1003</t>
  </si>
  <si>
    <t>947290</t>
  </si>
  <si>
    <t>13/07/2019 13:16</t>
  </si>
  <si>
    <t>533821XXXXXXX1018</t>
  </si>
  <si>
    <t>192649</t>
  </si>
  <si>
    <t>13/07/2019 15:41</t>
  </si>
  <si>
    <t>456472XXXXXXX5769</t>
  </si>
  <si>
    <t>056311</t>
  </si>
  <si>
    <t>13/07/2019 20:01</t>
  </si>
  <si>
    <t>559800XXXXXXX9263</t>
  </si>
  <si>
    <t>229219</t>
  </si>
  <si>
    <t xml:space="preserve">14/07/2019  </t>
  </si>
  <si>
    <t>538887</t>
  </si>
  <si>
    <t>14/07/2019 11:20</t>
  </si>
  <si>
    <t>486330XXXXXXX0010</t>
  </si>
  <si>
    <t>019980</t>
  </si>
  <si>
    <t>14/07/2019 13:05</t>
  </si>
  <si>
    <t>087455</t>
  </si>
  <si>
    <t>14/07/2019 20:03</t>
  </si>
  <si>
    <t>520387XXXXXXX1813</t>
  </si>
  <si>
    <t>955133</t>
  </si>
  <si>
    <t>14/07/2019 20:23</t>
  </si>
  <si>
    <t>662117</t>
  </si>
  <si>
    <t>15/07/2019 12:44</t>
  </si>
  <si>
    <t>515590XXXXXXX4477</t>
  </si>
  <si>
    <t>463265</t>
  </si>
  <si>
    <t>15/07/2019 12:45</t>
  </si>
  <si>
    <t>492915XXXXXXX9006</t>
  </si>
  <si>
    <t>047191</t>
  </si>
  <si>
    <t>048025</t>
  </si>
  <si>
    <t>16/07/2019 11:23</t>
  </si>
  <si>
    <t>465375XXXXXXX6226</t>
  </si>
  <si>
    <t>415907</t>
  </si>
  <si>
    <t>16/07/2019 13:01</t>
  </si>
  <si>
    <t>513495</t>
  </si>
  <si>
    <t>16/07/2019 17:05</t>
  </si>
  <si>
    <t>004425</t>
  </si>
  <si>
    <t>17/07/2019 14:02</t>
  </si>
  <si>
    <t>549167XXXXXXX6161</t>
  </si>
  <si>
    <t>063509</t>
  </si>
  <si>
    <t>17/07/2019 14:05</t>
  </si>
  <si>
    <t>465375XXXXXXX6277</t>
  </si>
  <si>
    <t>200319</t>
  </si>
  <si>
    <t>17/07/2019 14:06</t>
  </si>
  <si>
    <t>546616XXXXXXX0757</t>
  </si>
  <si>
    <t>99148P</t>
  </si>
  <si>
    <t>17/07/2019 14:07</t>
  </si>
  <si>
    <t>514868XXXXXXX3971</t>
  </si>
  <si>
    <t>086674</t>
  </si>
  <si>
    <t>17/07/2019 16:13</t>
  </si>
  <si>
    <t>415231XXXXXXX6055</t>
  </si>
  <si>
    <t>268276</t>
  </si>
  <si>
    <t>17/07/2019 19:12</t>
  </si>
  <si>
    <t>552486XXXXXXX7186</t>
  </si>
  <si>
    <t>03503Z</t>
  </si>
  <si>
    <t>18/07/2019 10:05</t>
  </si>
  <si>
    <t>605936</t>
  </si>
  <si>
    <t>18/07/2019 18:12</t>
  </si>
  <si>
    <t>074813</t>
  </si>
  <si>
    <t>19/07/2019 09:50</t>
  </si>
  <si>
    <t>458643</t>
  </si>
  <si>
    <t>19/07/2019 10:29</t>
  </si>
  <si>
    <t>375682XXXXXX1004</t>
  </si>
  <si>
    <t>88</t>
  </si>
  <si>
    <t>19/07/2019 15:29</t>
  </si>
  <si>
    <t>464611XXXXXXX8636</t>
  </si>
  <si>
    <t>622134</t>
  </si>
  <si>
    <t>19/07/2019 21:14</t>
  </si>
  <si>
    <t>414720XXXXXXX4209</t>
  </si>
  <si>
    <t>01546I</t>
  </si>
  <si>
    <t>20/07/2019 09:49</t>
  </si>
  <si>
    <t>521675</t>
  </si>
  <si>
    <t>20/07/2019 11:04</t>
  </si>
  <si>
    <t>451461XXXXXXX5228</t>
  </si>
  <si>
    <t>934936</t>
  </si>
  <si>
    <t>21/07/2019 09:23</t>
  </si>
  <si>
    <t>406589XXXXXXX3870</t>
  </si>
  <si>
    <t>077764</t>
  </si>
  <si>
    <t>21/07/2019 10:44</t>
  </si>
  <si>
    <t>073946</t>
  </si>
  <si>
    <t>21/07/2019 14:38</t>
  </si>
  <si>
    <t>498867XXXXXXX4817</t>
  </si>
  <si>
    <t>138944</t>
  </si>
  <si>
    <t>21/07/2019 14:40</t>
  </si>
  <si>
    <t>452421XXXXXXX0835</t>
  </si>
  <si>
    <t>008918</t>
  </si>
  <si>
    <t>21/07/2019 14:42</t>
  </si>
  <si>
    <t>414709XXXXXXX0779</t>
  </si>
  <si>
    <t>03473D</t>
  </si>
  <si>
    <t>22/07/2019 13:13</t>
  </si>
  <si>
    <t>162973</t>
  </si>
  <si>
    <t>22/07/2019 14:02</t>
  </si>
  <si>
    <t>05950I</t>
  </si>
  <si>
    <t>22/07/2019 14:18</t>
  </si>
  <si>
    <t>498408XXXXXXX0051</t>
  </si>
  <si>
    <t>860495</t>
  </si>
  <si>
    <t>23/07/2019 11:59</t>
  </si>
  <si>
    <t>549167XXXXXXX8828</t>
  </si>
  <si>
    <t>064325</t>
  </si>
  <si>
    <t>23/07/2019 12:17</t>
  </si>
  <si>
    <t>966382</t>
  </si>
  <si>
    <t>23/07/2019 14:21</t>
  </si>
  <si>
    <t>498408XXXXXXX7657</t>
  </si>
  <si>
    <t>019918</t>
  </si>
  <si>
    <t>23/07/2019 14:56</t>
  </si>
  <si>
    <t>517805XXXXXXX7489</t>
  </si>
  <si>
    <t>08136P</t>
  </si>
  <si>
    <t>24/07/2019 13:33</t>
  </si>
  <si>
    <t>546056XXXXXXX3765</t>
  </si>
  <si>
    <t>044486</t>
  </si>
  <si>
    <t>24/07/2019 13:35</t>
  </si>
  <si>
    <t>422061XXXXXXX3010</t>
  </si>
  <si>
    <t>374052</t>
  </si>
  <si>
    <t>24/07/2019 13:53</t>
  </si>
  <si>
    <t>498406XXXXXXX7134</t>
  </si>
  <si>
    <t>730578</t>
  </si>
  <si>
    <t>24/07/2019 19:06</t>
  </si>
  <si>
    <t>DB</t>
  </si>
  <si>
    <t>538646XXXXXXX6588</t>
  </si>
  <si>
    <t>-</t>
  </si>
  <si>
    <t>467456</t>
  </si>
  <si>
    <t xml:space="preserve">26/07/2019  </t>
  </si>
  <si>
    <t>377828XXXXXX8995</t>
  </si>
  <si>
    <t>691843</t>
  </si>
  <si>
    <t>641616</t>
  </si>
  <si>
    <t>474227XXXXXXX1302</t>
  </si>
  <si>
    <t>094933</t>
  </si>
  <si>
    <t>26/07/2019 21:04</t>
  </si>
  <si>
    <t>547853</t>
  </si>
  <si>
    <t>27/07/2019 13:49</t>
  </si>
  <si>
    <t>404256XXXXXXX0427</t>
  </si>
  <si>
    <t>372552</t>
  </si>
  <si>
    <t>27/07/2019 13:51</t>
  </si>
  <si>
    <t>522831XXXXXXX0169</t>
  </si>
  <si>
    <t>244223</t>
  </si>
  <si>
    <t>28/07/2019 12:34</t>
  </si>
  <si>
    <t>73589P</t>
  </si>
  <si>
    <t>29/07/2019 08:39</t>
  </si>
  <si>
    <t>623637</t>
  </si>
  <si>
    <t>29/07/2019 10:28</t>
  </si>
  <si>
    <t>089523</t>
  </si>
  <si>
    <t>29/07/2019 10:30</t>
  </si>
  <si>
    <t>406669XXXXXXX3905</t>
  </si>
  <si>
    <t>625024</t>
  </si>
  <si>
    <t>29/07/2019 11:51</t>
  </si>
  <si>
    <t>376475XXXXXX3006</t>
  </si>
  <si>
    <t>29/07/2019 12:28</t>
  </si>
  <si>
    <t>379580XXXXXX1017</t>
  </si>
  <si>
    <t>26</t>
  </si>
  <si>
    <t>29/07/2019 12:31</t>
  </si>
  <si>
    <t>475777XXXXXXX6014</t>
  </si>
  <si>
    <t>002667</t>
  </si>
  <si>
    <t>29/07/2019 17:05</t>
  </si>
  <si>
    <t>462263XXXXXXX7434</t>
  </si>
  <si>
    <t>612827</t>
  </si>
  <si>
    <t>31/07/2019 13:48</t>
  </si>
  <si>
    <t>456442XXXXXXX7128</t>
  </si>
  <si>
    <t>010151</t>
  </si>
  <si>
    <t>31/07/2019 13:49</t>
  </si>
  <si>
    <t>553636XXXXXXX7902</t>
  </si>
  <si>
    <t>028181</t>
  </si>
  <si>
    <t>03/07/2019</t>
  </si>
  <si>
    <t>04/07/2019</t>
  </si>
  <si>
    <t>08/07/2019</t>
  </si>
  <si>
    <t>18/07/2019</t>
  </si>
  <si>
    <t>26/07/2019</t>
  </si>
  <si>
    <t>29/07/2019</t>
  </si>
  <si>
    <t>96.568.740-8</t>
  </si>
  <si>
    <t>1610169807</t>
  </si>
  <si>
    <t xml:space="preserve">GASCO GLP S.A                                </t>
  </si>
  <si>
    <t>96.604.460-8</t>
  </si>
  <si>
    <t>9800727</t>
  </si>
  <si>
    <t xml:space="preserve">ECOLAB                                       </t>
  </si>
  <si>
    <t>9.694.297-4</t>
  </si>
  <si>
    <t>6706983</t>
  </si>
  <si>
    <t xml:space="preserve">Jorge Baez Rojas                             </t>
  </si>
  <si>
    <t>15.255.151-7</t>
  </si>
  <si>
    <t>15255151</t>
  </si>
  <si>
    <t xml:space="preserve">Johana Manzilla                              </t>
  </si>
  <si>
    <t>16.339.235-6</t>
  </si>
  <si>
    <t>16339235</t>
  </si>
  <si>
    <t xml:space="preserve">Diego Maldonado                              </t>
  </si>
  <si>
    <t>DEV. CB COMB/CONS 3</t>
  </si>
  <si>
    <t>ABONO POR PAGO A COMERCIO POR TARJETA D</t>
  </si>
  <si>
    <t>NORTEVERDE</t>
  </si>
  <si>
    <t>EASY</t>
  </si>
  <si>
    <t>01-8-2019</t>
  </si>
  <si>
    <t>JEAN MARIE LAMBERT</t>
  </si>
  <si>
    <t>MAURICIO GONZALES</t>
  </si>
  <si>
    <t>OLIVIER DELOBBE</t>
  </si>
  <si>
    <t>Harish Gohil</t>
  </si>
  <si>
    <t>Nitin Gohil</t>
  </si>
  <si>
    <t>Andre Paes Leonardo Pereira</t>
  </si>
  <si>
    <t>Mei yin Ho</t>
  </si>
  <si>
    <t>Mauricio Flores</t>
  </si>
  <si>
    <t>Marcio Balthazar</t>
  </si>
  <si>
    <t>Rumyana Grozeva</t>
  </si>
  <si>
    <t>MARC SINIGAGLIA</t>
  </si>
  <si>
    <t>Amos Diehl</t>
  </si>
  <si>
    <t>Stacy Bailey</t>
  </si>
  <si>
    <t>Yu Hin Tang</t>
  </si>
  <si>
    <t>Andrea Albera</t>
  </si>
  <si>
    <t>Andre Lima</t>
  </si>
  <si>
    <t>Luiza Franca Gomes</t>
  </si>
  <si>
    <t>Eliane Antelmi</t>
  </si>
  <si>
    <t>Anna Lincke</t>
  </si>
  <si>
    <t>Tao Tao Zhang/Tao Tao Zhang</t>
  </si>
  <si>
    <t>Geraldo Massaro</t>
  </si>
  <si>
    <t>Nelly BOCHER</t>
  </si>
  <si>
    <t>CAROLINA HOLTZ</t>
  </si>
  <si>
    <t>Elizabeth Prado</t>
  </si>
  <si>
    <t>James Round</t>
  </si>
  <si>
    <t>Paula Rodriguez</t>
  </si>
  <si>
    <t>ALBERTO ROMERA</t>
  </si>
  <si>
    <t>lilian saez</t>
  </si>
  <si>
    <t>Alejandro Tardel Bustamnate</t>
  </si>
  <si>
    <t>Alexey Abramov</t>
  </si>
  <si>
    <t>Gustavo Ferrari Chauffaille</t>
  </si>
  <si>
    <t>Valdir bighetti/Leandro Bighetti</t>
  </si>
  <si>
    <t>Debora Luzinete De Almeida Severo</t>
  </si>
  <si>
    <t>Mauricio Gonzalez M.</t>
  </si>
  <si>
    <t>Diana Pecar</t>
  </si>
  <si>
    <t>Kelsey Bruckner &amp; Mark Granger</t>
  </si>
  <si>
    <t>Hsiu chien Tsui</t>
  </si>
  <si>
    <t>Edgar Ortiz</t>
  </si>
  <si>
    <t>jean marie lambert/jean marie lambert</t>
  </si>
  <si>
    <t>Elizabeth Cisternas Villacura</t>
  </si>
  <si>
    <t>claudia gomez</t>
  </si>
  <si>
    <t>gabriela garcia maldonado</t>
  </si>
  <si>
    <t>David Groves</t>
  </si>
  <si>
    <t>Egon Jose Treml Neto</t>
  </si>
  <si>
    <t>Fernando Lucas Cunha Guerreiro</t>
  </si>
  <si>
    <t>Alejandro Pina Gonzalez</t>
  </si>
  <si>
    <t>Sidnei Momesso junior</t>
  </si>
  <si>
    <t>Dani Mandujano</t>
  </si>
  <si>
    <t>Susanna Rossello</t>
  </si>
  <si>
    <t>Ben Leong/Nikaela Lim</t>
  </si>
  <si>
    <t>Alsony Liren Khoo</t>
  </si>
  <si>
    <t>Andrew Nguyen</t>
  </si>
  <si>
    <t>Antonia Oliveira</t>
  </si>
  <si>
    <t>jean-marie LAMBERT/jean-marie LAMBERT</t>
  </si>
  <si>
    <t>ANDREW NGUYEN</t>
  </si>
  <si>
    <t>BEN LEONG</t>
  </si>
  <si>
    <t>ALSONY KHOO</t>
  </si>
  <si>
    <t>ANTONIA OLIVEIRA</t>
  </si>
  <si>
    <t xml:space="preserve">LILIAN SAEZ </t>
  </si>
  <si>
    <t>ELIANE ANTELMI</t>
  </si>
  <si>
    <t xml:space="preserve">OLIVIER DELOBBE </t>
  </si>
  <si>
    <t>HARISH GOHIL</t>
  </si>
  <si>
    <t>NITIN GOHIL</t>
  </si>
  <si>
    <t>ANDRE PAES LEONARDO</t>
  </si>
  <si>
    <t>MEI YIN HO</t>
  </si>
  <si>
    <t>MAURICIO FLORES</t>
  </si>
  <si>
    <t>RUMYANA GROZEVA</t>
  </si>
  <si>
    <t>AMOS DIEHL</t>
  </si>
  <si>
    <t>STACY BAILEY</t>
  </si>
  <si>
    <t>YU HIN TANG</t>
  </si>
  <si>
    <t>ANDREA ALBERA</t>
  </si>
  <si>
    <t>LUIZA FRANCA GOMES</t>
  </si>
  <si>
    <t xml:space="preserve">TAO TAO ZHANG </t>
  </si>
  <si>
    <t>GERALDO MASSARO</t>
  </si>
  <si>
    <t>NELLY BOCHER</t>
  </si>
  <si>
    <t>ELIZABETH PRADO</t>
  </si>
  <si>
    <t>JAMES ROUND</t>
  </si>
  <si>
    <t>PAULA RODRIGUEZ</t>
  </si>
  <si>
    <t>ALEJANDRO TARDEL BUSTAMANTE</t>
  </si>
  <si>
    <t>ALEXEY ABRAMOV</t>
  </si>
  <si>
    <t>GUSTAVO FERRARI CHAUFAILLE</t>
  </si>
  <si>
    <t>VALDIR BIGHETTI</t>
  </si>
  <si>
    <t>DEBORA LUZINETE DE ALMEIDA</t>
  </si>
  <si>
    <t>KELSEY BRUCKNER</t>
  </si>
  <si>
    <t>HSIU CHIEN TSUI</t>
  </si>
  <si>
    <t>ELIZABETH CISTERNAS</t>
  </si>
  <si>
    <t>CLAUDIA GOMEZ</t>
  </si>
  <si>
    <t>GABRIELA GARCIA</t>
  </si>
  <si>
    <t>DAVID GROVES</t>
  </si>
  <si>
    <t>EGON JOSE TREML NETO</t>
  </si>
  <si>
    <t xml:space="preserve">FERNANDO LUCAS CUNHA </t>
  </si>
  <si>
    <t>MARINA PAIVA</t>
  </si>
  <si>
    <t>SIDNEI MOMESSO</t>
  </si>
  <si>
    <t>DANIELA MANDUJANO</t>
  </si>
  <si>
    <t>SUSANNA ROSSELLO</t>
  </si>
  <si>
    <t>01/08/2019 16:09</t>
  </si>
  <si>
    <t>826334</t>
  </si>
  <si>
    <t>02/08/2019 11:57</t>
  </si>
  <si>
    <t>830414</t>
  </si>
  <si>
    <t>02/08/2019 16:55</t>
  </si>
  <si>
    <t>038971</t>
  </si>
  <si>
    <t>03/08/2019 10:47</t>
  </si>
  <si>
    <t>456282XXXXXXX7436</t>
  </si>
  <si>
    <t>173052</t>
  </si>
  <si>
    <t>03/08/2019 11:07</t>
  </si>
  <si>
    <t>406655XXXXXXX5906</t>
  </si>
  <si>
    <t>600704</t>
  </si>
  <si>
    <t>406655XXXXXXX7256</t>
  </si>
  <si>
    <t>612939</t>
  </si>
  <si>
    <t>03/08/2019 21:21</t>
  </si>
  <si>
    <t>521892XXXXXXX6606</t>
  </si>
  <si>
    <t>919907</t>
  </si>
  <si>
    <t>03/08/2019 21:22</t>
  </si>
  <si>
    <t>553636XXXXXXX4570</t>
  </si>
  <si>
    <t>081678</t>
  </si>
  <si>
    <t>03/08/2019 21:24</t>
  </si>
  <si>
    <t>434956XXXXXXX9210</t>
  </si>
  <si>
    <t>858867</t>
  </si>
  <si>
    <t>03/08/2019 21:27</t>
  </si>
  <si>
    <t>449335</t>
  </si>
  <si>
    <t>04/08/2019 12:10</t>
  </si>
  <si>
    <t>425943XXXXXXX9288</t>
  </si>
  <si>
    <t>002693</t>
  </si>
  <si>
    <t>04/08/2019 21:58</t>
  </si>
  <si>
    <t>858622</t>
  </si>
  <si>
    <t>05/08/2019 18:11</t>
  </si>
  <si>
    <t>05371D</t>
  </si>
  <si>
    <t xml:space="preserve">06/08/2019  </t>
  </si>
  <si>
    <t>523421XXXXXXX0757</t>
  </si>
  <si>
    <t>746034</t>
  </si>
  <si>
    <t>552305XXXXXXX7850</t>
  </si>
  <si>
    <t>625649</t>
  </si>
  <si>
    <t>453211XXXXXXX0195</t>
  </si>
  <si>
    <t>613023</t>
  </si>
  <si>
    <t>598691</t>
  </si>
  <si>
    <t>452421XXXXXXX3322</t>
  </si>
  <si>
    <t>007275</t>
  </si>
  <si>
    <t xml:space="preserve">07/08/2019  </t>
  </si>
  <si>
    <t>522964XXXXXXX9412</t>
  </si>
  <si>
    <t>901743</t>
  </si>
  <si>
    <t>546616XXXXXXX8216</t>
  </si>
  <si>
    <t>95270P</t>
  </si>
  <si>
    <t>08/08/2019 11:14</t>
  </si>
  <si>
    <t>453211XXXXXXX5043</t>
  </si>
  <si>
    <t>650030</t>
  </si>
  <si>
    <t>08/08/2019 11:20</t>
  </si>
  <si>
    <t>490172XXXXXXX7906</t>
  </si>
  <si>
    <t>040737</t>
  </si>
  <si>
    <t>08/08/2019 11:24</t>
  </si>
  <si>
    <t>414720XXXXXXX9161</t>
  </si>
  <si>
    <t>05517D</t>
  </si>
  <si>
    <t>09/08/2019 10:37</t>
  </si>
  <si>
    <t>232051</t>
  </si>
  <si>
    <t>09/08/2019 15:18</t>
  </si>
  <si>
    <t>214914</t>
  </si>
  <si>
    <t>10/08/2019 11:51</t>
  </si>
  <si>
    <t>840516</t>
  </si>
  <si>
    <t>10/08/2019 14:49</t>
  </si>
  <si>
    <t>456299XXXXXXX5385</t>
  </si>
  <si>
    <t>713642</t>
  </si>
  <si>
    <t>10/08/2019 14:51</t>
  </si>
  <si>
    <t>371795XXXXXX1004</t>
  </si>
  <si>
    <t>10/08/2019 14:54</t>
  </si>
  <si>
    <t>523937XXXXXXX6353</t>
  </si>
  <si>
    <t>140575</t>
  </si>
  <si>
    <t>10/08/2019 14:55</t>
  </si>
  <si>
    <t>376418XXXXXX6010</t>
  </si>
  <si>
    <t>94</t>
  </si>
  <si>
    <t>10/08/2019 14:56</t>
  </si>
  <si>
    <t>414720XXXXXXX4546</t>
  </si>
  <si>
    <t>01585I</t>
  </si>
  <si>
    <t>10/08/2019 19:08</t>
  </si>
  <si>
    <t>007369</t>
  </si>
  <si>
    <t>10/08/2019 19:38</t>
  </si>
  <si>
    <t>697793</t>
  </si>
  <si>
    <t>11/08/2019 10:46</t>
  </si>
  <si>
    <t>CFE</t>
  </si>
  <si>
    <t>386540</t>
  </si>
  <si>
    <t>11/08/2019 15:31</t>
  </si>
  <si>
    <t>422061XXXXXXX7671</t>
  </si>
  <si>
    <t>313451</t>
  </si>
  <si>
    <t>12/08/2019 13:28</t>
  </si>
  <si>
    <t>498407XXXXXXX0243</t>
  </si>
  <si>
    <t>035823</t>
  </si>
  <si>
    <t>12/08/2019 15:08</t>
  </si>
  <si>
    <t>496604XXXXXXX5863</t>
  </si>
  <si>
    <t>956737</t>
  </si>
  <si>
    <t>13/08/2019 09:44</t>
  </si>
  <si>
    <t>451065</t>
  </si>
  <si>
    <t>13/08/2019 11:19</t>
  </si>
  <si>
    <t>459354XXXXXXX2913</t>
  </si>
  <si>
    <t>005541</t>
  </si>
  <si>
    <t>13/08/2019 13:33</t>
  </si>
  <si>
    <t>034199</t>
  </si>
  <si>
    <t>13/08/2019 13:34</t>
  </si>
  <si>
    <t>035212</t>
  </si>
  <si>
    <t>14/08/2019 08:45</t>
  </si>
  <si>
    <t>377898XXXXXX7026</t>
  </si>
  <si>
    <t>29</t>
  </si>
  <si>
    <t>15/08/2019 10:17</t>
  </si>
  <si>
    <t>095986</t>
  </si>
  <si>
    <t>15/08/2019 12:48</t>
  </si>
  <si>
    <t>409152XXXXXXX3500</t>
  </si>
  <si>
    <t>546269</t>
  </si>
  <si>
    <t>15/08/2019 13:59</t>
  </si>
  <si>
    <t>498401XXXXXXX3279</t>
  </si>
  <si>
    <t>957710</t>
  </si>
  <si>
    <t>15/08/2019 14:01</t>
  </si>
  <si>
    <t>522840XXXXXXX4828</t>
  </si>
  <si>
    <t>014866</t>
  </si>
  <si>
    <t>15/08/2019 14:02</t>
  </si>
  <si>
    <t>410039XXXXXXX8316</t>
  </si>
  <si>
    <t>54174D</t>
  </si>
  <si>
    <t>16/08/2019 08:25</t>
  </si>
  <si>
    <t>437850XXXXXXX2604</t>
  </si>
  <si>
    <t>778958</t>
  </si>
  <si>
    <t>16/08/2019 08:26</t>
  </si>
  <si>
    <t>420522XXXXXXX2745</t>
  </si>
  <si>
    <t>710067</t>
  </si>
  <si>
    <t>16/08/2019 08:27</t>
  </si>
  <si>
    <t>414720XXXXXXX6255</t>
  </si>
  <si>
    <t>02305I</t>
  </si>
  <si>
    <t>17/08/2019 13:08</t>
  </si>
  <si>
    <t>521892XXXXXXX9011</t>
  </si>
  <si>
    <t>001348</t>
  </si>
  <si>
    <t>17/08/2019 13:20</t>
  </si>
  <si>
    <t>405071XXXXXXX3226</t>
  </si>
  <si>
    <t>030181</t>
  </si>
  <si>
    <t>17/08/2019 13:21</t>
  </si>
  <si>
    <t>030211</t>
  </si>
  <si>
    <t>17/08/2019 15:58</t>
  </si>
  <si>
    <t>98</t>
  </si>
  <si>
    <t>17/08/2019 17:23</t>
  </si>
  <si>
    <t>020494</t>
  </si>
  <si>
    <t>18/08/2019 08:28</t>
  </si>
  <si>
    <t>674547</t>
  </si>
  <si>
    <t>18/08/2019 10:00</t>
  </si>
  <si>
    <t>686932</t>
  </si>
  <si>
    <t>18/08/2019 12:00</t>
  </si>
  <si>
    <t>533225XXXXXXX2621</t>
  </si>
  <si>
    <t>748813</t>
  </si>
  <si>
    <t>18/08/2019 12:13</t>
  </si>
  <si>
    <t>743370</t>
  </si>
  <si>
    <t>18/08/2019 12:14</t>
  </si>
  <si>
    <t>540477XXXXXXX1226</t>
  </si>
  <si>
    <t>916365</t>
  </si>
  <si>
    <t>18/08/2019 12:17</t>
  </si>
  <si>
    <t>589710XXXXXXXXX9551</t>
  </si>
  <si>
    <t>002784</t>
  </si>
  <si>
    <t>18/08/2019 14:55</t>
  </si>
  <si>
    <t>446867XXXXXXX2836</t>
  </si>
  <si>
    <t>362145</t>
  </si>
  <si>
    <t>19/08/2019 08:45</t>
  </si>
  <si>
    <t>513286XXXXXXX6446</t>
  </si>
  <si>
    <t>660831</t>
  </si>
  <si>
    <t>19/08/2019 13:20</t>
  </si>
  <si>
    <t>406655XXXXXXX6865</t>
  </si>
  <si>
    <t>612787</t>
  </si>
  <si>
    <t>19/08/2019 18:35</t>
  </si>
  <si>
    <t>023865</t>
  </si>
  <si>
    <t>20/08/2019 11:03</t>
  </si>
  <si>
    <t>450881XXXXXXX9302</t>
  </si>
  <si>
    <t>469653</t>
  </si>
  <si>
    <t>20/08/2019 14:18</t>
  </si>
  <si>
    <t>475776XXXXXXX1063</t>
  </si>
  <si>
    <t>731189</t>
  </si>
  <si>
    <t>20/08/2019 14:19</t>
  </si>
  <si>
    <t>497278XXXXXXX4633</t>
  </si>
  <si>
    <t>358452</t>
  </si>
  <si>
    <t>20/08/2019 17:02</t>
  </si>
  <si>
    <t>07681I</t>
  </si>
  <si>
    <t>20/08/2019 20:22</t>
  </si>
  <si>
    <t>090087</t>
  </si>
  <si>
    <t>21/08/2019 11:30</t>
  </si>
  <si>
    <t>411049XXXXXXX8336</t>
  </si>
  <si>
    <t>056702</t>
  </si>
  <si>
    <t>21/08/2019 11:31</t>
  </si>
  <si>
    <t>059569</t>
  </si>
  <si>
    <t>21/08/2019 14:07</t>
  </si>
  <si>
    <t>545719XXXXXXX1515</t>
  </si>
  <si>
    <t>078003</t>
  </si>
  <si>
    <t>22/08/2019 09:07</t>
  </si>
  <si>
    <t>448165XXXXXXX2542</t>
  </si>
  <si>
    <t>545312</t>
  </si>
  <si>
    <t>22/08/2019 10:05</t>
  </si>
  <si>
    <t>514911XXXXXXX3853</t>
  </si>
  <si>
    <t>661899</t>
  </si>
  <si>
    <t>22/08/2019 13:11</t>
  </si>
  <si>
    <t>528189XXXXXXX2216</t>
  </si>
  <si>
    <t>320838</t>
  </si>
  <si>
    <t>22/08/2019 15:43</t>
  </si>
  <si>
    <t>067430</t>
  </si>
  <si>
    <t>23/08/2019 09:38</t>
  </si>
  <si>
    <t>552273XXXXXXX2526</t>
  </si>
  <si>
    <t>788610</t>
  </si>
  <si>
    <t>376441XXXXXX4004</t>
  </si>
  <si>
    <t>68</t>
  </si>
  <si>
    <t>23/08/2019 22:20</t>
  </si>
  <si>
    <t>376589</t>
  </si>
  <si>
    <t>24/08/2019 11:57</t>
  </si>
  <si>
    <t>014726</t>
  </si>
  <si>
    <t>25/08/2019 11:01</t>
  </si>
  <si>
    <t>540205XXXXXXX3015</t>
  </si>
  <si>
    <t>587826</t>
  </si>
  <si>
    <t>25/08/2019 11:03</t>
  </si>
  <si>
    <t>03075I</t>
  </si>
  <si>
    <t>25/08/2019 11:04</t>
  </si>
  <si>
    <t>411911XXXXXXX6738</t>
  </si>
  <si>
    <t>002711</t>
  </si>
  <si>
    <t>25/08/2019 11:10</t>
  </si>
  <si>
    <t>465901XXXXXXX2012</t>
  </si>
  <si>
    <t>071148</t>
  </si>
  <si>
    <t>451210XXXXXXX0545</t>
  </si>
  <si>
    <t>016360</t>
  </si>
  <si>
    <t>25/08/2019 11:11</t>
  </si>
  <si>
    <t>559800XXXXXXX3701</t>
  </si>
  <si>
    <t>788818</t>
  </si>
  <si>
    <t>25/08/2019 11:13</t>
  </si>
  <si>
    <t>552289XXXXXXX7316</t>
  </si>
  <si>
    <t>015637</t>
  </si>
  <si>
    <t>25/08/2019 11:45</t>
  </si>
  <si>
    <t>412177XXXXXXX1147</t>
  </si>
  <si>
    <t>046131</t>
  </si>
  <si>
    <t>490172XXXXXXX3915</t>
  </si>
  <si>
    <t>065329</t>
  </si>
  <si>
    <t>25/08/2019 11:46</t>
  </si>
  <si>
    <t>456448XXXXXXX4075</t>
  </si>
  <si>
    <t>110794</t>
  </si>
  <si>
    <t>25/08/2019 13:40</t>
  </si>
  <si>
    <t>770354</t>
  </si>
  <si>
    <t>25/08/2019 21:21</t>
  </si>
  <si>
    <t>390887</t>
  </si>
  <si>
    <t>25/08/2019 21:55</t>
  </si>
  <si>
    <t>376039XXXXXX3002</t>
  </si>
  <si>
    <t>27/08/2019 10:52</t>
  </si>
  <si>
    <t>379197XXXXXX6437</t>
  </si>
  <si>
    <t>27/08/2019 13:32</t>
  </si>
  <si>
    <t>553636XXXXXXX2390</t>
  </si>
  <si>
    <t>082356</t>
  </si>
  <si>
    <t>27/08/2019 13:33</t>
  </si>
  <si>
    <t>086431</t>
  </si>
  <si>
    <t>27/08/2019 22:47</t>
  </si>
  <si>
    <t>549167XXXXXXX3979</t>
  </si>
  <si>
    <t>065019</t>
  </si>
  <si>
    <t>28/08/2019 14:31</t>
  </si>
  <si>
    <t>453826XXXXXXX9010</t>
  </si>
  <si>
    <t>413055</t>
  </si>
  <si>
    <t>28/08/2019 14:35</t>
  </si>
  <si>
    <t>458011XXXXXXX7514</t>
  </si>
  <si>
    <t>011140</t>
  </si>
  <si>
    <t>28/08/2019 14:36</t>
  </si>
  <si>
    <t>450949XXXXXXX7705</t>
  </si>
  <si>
    <t>455121</t>
  </si>
  <si>
    <t>29/08/2019 10:30</t>
  </si>
  <si>
    <t>514245</t>
  </si>
  <si>
    <t>29/08/2019 10:40</t>
  </si>
  <si>
    <t>585747</t>
  </si>
  <si>
    <t>29/08/2019 11:33</t>
  </si>
  <si>
    <t>515590XXXXXXX1860</t>
  </si>
  <si>
    <t>342765</t>
  </si>
  <si>
    <t>29/08/2019 13:33</t>
  </si>
  <si>
    <t>637676</t>
  </si>
  <si>
    <t>30/08/2019 10:36</t>
  </si>
  <si>
    <t>470598XXXXXXX6555</t>
  </si>
  <si>
    <t>090045</t>
  </si>
  <si>
    <t>30/08/2019 10:38</t>
  </si>
  <si>
    <t>490172XXXXXXX6221</t>
  </si>
  <si>
    <t>095179</t>
  </si>
  <si>
    <t>30/08/2019 10:39</t>
  </si>
  <si>
    <t>553636XXXXXXX3169</t>
  </si>
  <si>
    <t>096888</t>
  </si>
  <si>
    <t>30/08/2019 14:27</t>
  </si>
  <si>
    <t>451368XXXXXXX6737</t>
  </si>
  <si>
    <t>002875</t>
  </si>
  <si>
    <t>30/08/2019 21:29</t>
  </si>
  <si>
    <t>451134XXXXXXX6023</t>
  </si>
  <si>
    <t>002876</t>
  </si>
  <si>
    <t>31/08/2019 10:51</t>
  </si>
  <si>
    <t>545198XXXXXXX6249</t>
  </si>
  <si>
    <t>03147Z</t>
  </si>
  <si>
    <t>31/08/2019 17:15</t>
  </si>
  <si>
    <t>09459D</t>
  </si>
  <si>
    <t>01/08/2019</t>
  </si>
  <si>
    <t>Pago Deuda Tarjeta Crédito US$</t>
  </si>
  <si>
    <t>02/08/2019</t>
  </si>
  <si>
    <t>05/08/2019</t>
  </si>
  <si>
    <t>06/08/2019</t>
  </si>
  <si>
    <t>07/08/2019</t>
  </si>
  <si>
    <t>09/08/2019</t>
  </si>
  <si>
    <t>13/08/2019</t>
  </si>
  <si>
    <t>16/08/2019</t>
  </si>
  <si>
    <t>Cargo Por Pago De Servicios</t>
  </si>
  <si>
    <t>19/08/2019</t>
  </si>
  <si>
    <t>20/08/2019</t>
  </si>
  <si>
    <t>21/08/2019</t>
  </si>
  <si>
    <t>26/08/2019</t>
  </si>
  <si>
    <t>27/08/2019</t>
  </si>
  <si>
    <t>28/08/2019</t>
  </si>
  <si>
    <t>29/08/2019</t>
  </si>
  <si>
    <t>30/08/2019</t>
  </si>
  <si>
    <t>30-08-2019</t>
  </si>
  <si>
    <t>10770368</t>
  </si>
  <si>
    <t>27-08-2019</t>
  </si>
  <si>
    <t>1288653832</t>
  </si>
  <si>
    <t>26-08-2019</t>
  </si>
  <si>
    <t>10770008</t>
  </si>
  <si>
    <t>06-08-2019</t>
  </si>
  <si>
    <t>TRANSFERENCIA DE FONDO</t>
  </si>
  <si>
    <t>1083</t>
  </si>
  <si>
    <t>1199000236</t>
  </si>
  <si>
    <t>70041249</t>
  </si>
  <si>
    <t>fact 705970</t>
  </si>
  <si>
    <t>70034472</t>
  </si>
  <si>
    <t>70090539</t>
  </si>
  <si>
    <t>fact 637, 894</t>
  </si>
  <si>
    <t>70090560</t>
  </si>
  <si>
    <t>fact 1486438</t>
  </si>
  <si>
    <t>70090577</t>
  </si>
  <si>
    <t>fact 264589</t>
  </si>
  <si>
    <t>70315895</t>
  </si>
  <si>
    <t>99.574.860-6</t>
  </si>
  <si>
    <t>10586601</t>
  </si>
  <si>
    <t xml:space="preserve">Comercial Anwo SA                            </t>
  </si>
  <si>
    <t>Cotizacin 725934</t>
  </si>
  <si>
    <t>70398132</t>
  </si>
  <si>
    <t>26.799.643-1</t>
  </si>
  <si>
    <t>26799643</t>
  </si>
  <si>
    <t xml:space="preserve">Carolin Mariela Cabezas Muñoz                </t>
  </si>
  <si>
    <t>Sueldo Ago 19</t>
  </si>
  <si>
    <t>70505069</t>
  </si>
  <si>
    <t>70681047</t>
  </si>
  <si>
    <t>factura 17350</t>
  </si>
  <si>
    <t>17/08/2019</t>
  </si>
  <si>
    <t>70687777</t>
  </si>
  <si>
    <t>Factura 1542542813</t>
  </si>
  <si>
    <t>70687805</t>
  </si>
  <si>
    <t>Factura 1920812253</t>
  </si>
  <si>
    <t>70687731</t>
  </si>
  <si>
    <t>70785911</t>
  </si>
  <si>
    <t>Contable jul19</t>
  </si>
  <si>
    <t>70785714</t>
  </si>
  <si>
    <t>11.505.642-5</t>
  </si>
  <si>
    <t>6370713</t>
  </si>
  <si>
    <t xml:space="preserve">Sergio Zamora                                </t>
  </si>
  <si>
    <t>Entel Jul19</t>
  </si>
  <si>
    <t>71005309</t>
  </si>
  <si>
    <t>17.651.092-7</t>
  </si>
  <si>
    <t xml:space="preserve">BANCO FALABELLA                    </t>
  </si>
  <si>
    <t>50011469953</t>
  </si>
  <si>
    <t xml:space="preserve">Camila Aranguiz                              </t>
  </si>
  <si>
    <t>71004877</t>
  </si>
  <si>
    <t>71004892</t>
  </si>
  <si>
    <t>71004937</t>
  </si>
  <si>
    <t>71004985</t>
  </si>
  <si>
    <t>71004957</t>
  </si>
  <si>
    <t>71004922</t>
  </si>
  <si>
    <t>71004999</t>
  </si>
  <si>
    <t>71004911</t>
  </si>
  <si>
    <t>71005026</t>
  </si>
  <si>
    <t>71004968</t>
  </si>
  <si>
    <t>71005013</t>
  </si>
  <si>
    <t>71001102</t>
  </si>
  <si>
    <t>Fact  pagos pend</t>
  </si>
  <si>
    <t>70984550</t>
  </si>
  <si>
    <t>fact 15220</t>
  </si>
  <si>
    <t>71043498</t>
  </si>
  <si>
    <t>71024081</t>
  </si>
  <si>
    <t>Fact 1007</t>
  </si>
  <si>
    <t>71076700</t>
  </si>
  <si>
    <t>71154315</t>
  </si>
  <si>
    <t>Fact 8437392</t>
  </si>
  <si>
    <t>71154167</t>
  </si>
  <si>
    <t>Fact 1184, 1333</t>
  </si>
  <si>
    <t>71156223</t>
  </si>
  <si>
    <t>fact 269493</t>
  </si>
  <si>
    <t>71156757</t>
  </si>
  <si>
    <t>Fact 8084,7999, 7762, 7882</t>
  </si>
  <si>
    <t>71117978</t>
  </si>
  <si>
    <t>0807 88242273</t>
  </si>
  <si>
    <t>2907 88554092</t>
  </si>
  <si>
    <t>TAXI M SANTIAGO</t>
  </si>
  <si>
    <t>2907 88678082</t>
  </si>
  <si>
    <t>2907 88543581</t>
  </si>
  <si>
    <t>28/07/2019</t>
  </si>
  <si>
    <t>RODRIGO DIAZ SANTIAGO</t>
  </si>
  <si>
    <t>0508 88418564</t>
  </si>
  <si>
    <t>03/08/2019</t>
  </si>
  <si>
    <t>WORKING APPAREL SANTIAGO</t>
  </si>
  <si>
    <t>0307 00000000</t>
  </si>
  <si>
    <t>0407 00000010</t>
  </si>
  <si>
    <t>DEV. CB RESTO 5</t>
  </si>
  <si>
    <t>0807 00000000</t>
  </si>
  <si>
    <t>1807 00000000</t>
  </si>
  <si>
    <t>2907 00000000</t>
  </si>
  <si>
    <t>0208 00000000</t>
  </si>
  <si>
    <t>0508 00000000</t>
  </si>
  <si>
    <t>0808 24492159219637145687104</t>
  </si>
  <si>
    <t>2708 74232629239003188738064</t>
  </si>
  <si>
    <t>RIM LAM CHILE</t>
  </si>
  <si>
    <t>2808 24492159239637107205883</t>
  </si>
  <si>
    <t>0209 24204299244000529154039</t>
  </si>
  <si>
    <t>GOOGLE LLC</t>
  </si>
  <si>
    <t>OPERACION DE CAMBIOS CLP</t>
  </si>
  <si>
    <t>REVERSA OPERACION DE CAMBIOS CLP</t>
  </si>
  <si>
    <t>REVERSA OPERACIONES DE CAMBIOS CLP</t>
  </si>
  <si>
    <t>2624680-Transacciones operaciones financieras ABONO</t>
  </si>
  <si>
    <t>COMEX ORDEN PAGO ENTRANTE. OPE428495</t>
  </si>
  <si>
    <t>COMEX ORDEN PAGO ENTRANTE. OPE429252</t>
  </si>
  <si>
    <t>COMEX ORDEN PAGO ENTRANTE. OPE429944</t>
  </si>
  <si>
    <t>COMEX ORDEN PAGO ENTRANTE. OPE430494</t>
  </si>
  <si>
    <t>COMEX ORDEN PAGO ENTRANTE. OPE431550</t>
  </si>
  <si>
    <t>2624680-Transacciones operaciones financieras CARGO</t>
  </si>
  <si>
    <t>COMEX ORDEN PAGO ENTRANTE. OPE432215</t>
  </si>
  <si>
    <t>Devolición IVA Credito</t>
  </si>
  <si>
    <t>Compra de USD de Carlos para Trini</t>
  </si>
  <si>
    <t>Daniela Mindajano Pasajera</t>
  </si>
  <si>
    <t>Retiro USD Trini</t>
  </si>
  <si>
    <t>Termostato repuesto calefacción</t>
  </si>
  <si>
    <t>Ropa Trabajo</t>
  </si>
  <si>
    <t>HOMECENTER</t>
  </si>
  <si>
    <t>08/08/2019</t>
  </si>
  <si>
    <t>23/08/2019</t>
  </si>
  <si>
    <t>DANI</t>
  </si>
  <si>
    <t>41714-41715</t>
  </si>
  <si>
    <t>ESTACIONAMIENTO MALL</t>
  </si>
  <si>
    <t>ESTACIONAMIENTO AGRO</t>
  </si>
  <si>
    <t>CAFÉ Y QUESO</t>
  </si>
  <si>
    <t>TOMATE-PALTA</t>
  </si>
  <si>
    <t>HERMANOS VELIZ</t>
  </si>
  <si>
    <t>ESTACIONAMIENTO CENTRO</t>
  </si>
  <si>
    <t>INTERNACIONAL</t>
  </si>
  <si>
    <t>COMERCIALIZADORA VINDA</t>
  </si>
  <si>
    <t>PAN</t>
  </si>
  <si>
    <t>PAN DE MOLDEX2 - HUEVOS 30 UN</t>
  </si>
  <si>
    <t>PAN-TOMATE-MERMELADA-HUEVOS</t>
  </si>
  <si>
    <t>PAN-ACEITE-YOGHURT-TOMATE</t>
  </si>
  <si>
    <t>DILUYENTE</t>
  </si>
  <si>
    <t>FERRETERIA SPA</t>
  </si>
  <si>
    <t>PULVERIZADOR 1L</t>
  </si>
  <si>
    <t>CHOFER</t>
  </si>
  <si>
    <t>CARLOS MOSCOSO</t>
  </si>
  <si>
    <t xml:space="preserve">DILUYENTE </t>
  </si>
  <si>
    <t>FERRETERIA PEREZ Y REYES</t>
  </si>
  <si>
    <t>BEBIDA VEGETAL ALMENDRA</t>
  </si>
  <si>
    <t>PAN BERTITA</t>
  </si>
  <si>
    <t>MIRANDA</t>
  </si>
  <si>
    <t>Ventas deposito Informe</t>
  </si>
  <si>
    <t>Ventas deposito Banco</t>
  </si>
  <si>
    <t>Frigo bar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</si>
</sst>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s>
  <fonts count="48"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
      <b/>
      <sz val="7"/>
      <color theme="1"/>
      <name val="Arial"/>
      <family val="2"/>
    </font>
    <font>
      <b/>
      <sz val="12"/>
      <color rgb="FF333333"/>
      <name val="Arial"/>
      <family val="2"/>
    </font>
    <font>
      <sz val="8"/>
      <color theme="1"/>
      <name val="Arial"/>
      <family val="2"/>
    </font>
    <font>
      <b/>
      <sz val="8"/>
      <color theme="1"/>
      <name val="Arial"/>
      <family val="2"/>
    </font>
  </fonts>
  <fills count="40">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
      <left style="medium">
        <color indexed="64"/>
      </left>
      <right/>
      <top/>
      <bottom style="medium">
        <color indexed="64"/>
      </bottom>
      <diagonal/>
    </border>
    <border>
      <left/>
      <right style="medium">
        <color indexed="64"/>
      </right>
      <top/>
      <bottom style="medium">
        <color indexed="64"/>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11" applyNumberFormat="0" applyAlignment="0" applyProtection="0"/>
    <xf numFmtId="0" fontId="29" fillId="12" borderId="12" applyNumberFormat="0" applyAlignment="0" applyProtection="0"/>
    <xf numFmtId="0" fontId="30" fillId="12" borderId="11" applyNumberFormat="0" applyAlignment="0" applyProtection="0"/>
    <xf numFmtId="0" fontId="31" fillId="0" borderId="13" applyNumberFormat="0" applyFill="0" applyAlignment="0" applyProtection="0"/>
    <xf numFmtId="0" fontId="32" fillId="13" borderId="14" applyNumberFormat="0" applyAlignment="0" applyProtection="0"/>
    <xf numFmtId="0" fontId="2" fillId="0" borderId="0" applyNumberFormat="0" applyFill="0" applyBorder="0" applyAlignment="0" applyProtection="0"/>
    <xf numFmtId="0" fontId="1" fillId="14" borderId="15" applyNumberFormat="0" applyFont="0" applyAlignment="0" applyProtection="0"/>
    <xf numFmtId="0" fontId="33" fillId="0" borderId="0" applyNumberFormat="0" applyFill="0" applyBorder="0" applyAlignment="0" applyProtection="0"/>
    <xf numFmtId="0" fontId="13" fillId="0" borderId="16" applyNumberFormat="0" applyFill="0" applyAlignment="0" applyProtection="0"/>
    <xf numFmtId="0" fontId="34"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4" fillId="38" borderId="0" applyNumberFormat="0" applyBorder="0" applyAlignment="0" applyProtection="0"/>
    <xf numFmtId="0" fontId="36" fillId="0" borderId="0"/>
    <xf numFmtId="41" fontId="1" fillId="0" borderId="0" applyFont="0" applyFill="0" applyBorder="0" applyAlignment="0" applyProtection="0"/>
  </cellStyleXfs>
  <cellXfs count="344">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168" fontId="8" fillId="0" borderId="0" xfId="2" applyNumberFormat="1" applyFont="1" applyFill="1"/>
    <xf numFmtId="0" fontId="8" fillId="0" borderId="0" xfId="0" applyFont="1" applyFill="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164" fontId="3" fillId="0" borderId="0" xfId="3" applyNumberFormat="1"/>
    <xf numFmtId="1" fontId="0" fillId="0" borderId="0" xfId="0" applyNumberFormat="1"/>
    <xf numFmtId="167" fontId="0" fillId="0" borderId="0" xfId="1" applyNumberFormat="1" applyFont="1" applyFill="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39"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4" fontId="39" fillId="0" borderId="17" xfId="0" applyNumberFormat="1" applyFont="1" applyBorder="1" applyAlignment="1">
      <alignment horizontal="left" vertical="center" wrapText="1"/>
    </xf>
    <xf numFmtId="0" fontId="39" fillId="0" borderId="17" xfId="0" applyFont="1" applyBorder="1" applyAlignment="1">
      <alignment horizontal="left" vertical="center" wrapText="1"/>
    </xf>
    <xf numFmtId="167" fontId="39" fillId="0" borderId="17" xfId="1" applyNumberFormat="1" applyFont="1" applyBorder="1" applyAlignment="1">
      <alignment horizontal="left" vertical="center" wrapText="1"/>
    </xf>
    <xf numFmtId="3" fontId="39" fillId="0" borderId="17" xfId="0" applyNumberFormat="1" applyFont="1" applyBorder="1" applyAlignment="1">
      <alignment horizontal="right" vertical="center" wrapText="1"/>
    </xf>
    <xf numFmtId="22" fontId="39" fillId="0" borderId="17" xfId="0" applyNumberFormat="1" applyFont="1" applyBorder="1" applyAlignment="1">
      <alignment horizontal="left" vertical="center" wrapText="1"/>
    </xf>
    <xf numFmtId="167" fontId="39" fillId="0" borderId="17"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5" fontId="0" fillId="2" borderId="0" xfId="0" applyNumberFormat="1" applyFill="1"/>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7"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0" fontId="42" fillId="0" borderId="19" xfId="0" applyFont="1" applyBorder="1" applyAlignment="1">
      <alignment horizontal="right" vertical="center" wrapText="1"/>
    </xf>
    <xf numFmtId="0" fontId="42" fillId="0" borderId="20"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167" fontId="7" fillId="6" borderId="1" xfId="1" applyNumberFormat="1" applyFont="1" applyFill="1" applyBorder="1"/>
    <xf numFmtId="0" fontId="7" fillId="6" borderId="1" xfId="1" applyNumberFormat="1" applyFont="1" applyFill="1" applyBorder="1"/>
    <xf numFmtId="167" fontId="7" fillId="5" borderId="1" xfId="1" applyNumberFormat="1" applyFont="1" applyFill="1" applyBorder="1" applyAlignment="1">
      <alignment horizontal="center"/>
    </xf>
    <xf numFmtId="14" fontId="7" fillId="5" borderId="1" xfId="0" applyNumberFormat="1" applyFont="1" applyFill="1" applyBorder="1" applyAlignment="1">
      <alignment horizontal="center"/>
    </xf>
    <xf numFmtId="0" fontId="7" fillId="5" borderId="1" xfId="0" applyFont="1" applyFill="1" applyBorder="1" applyAlignment="1">
      <alignment horizontal="center"/>
    </xf>
    <xf numFmtId="167" fontId="7" fillId="5" borderId="1" xfId="1" applyNumberFormat="1" applyFont="1" applyFill="1" applyBorder="1"/>
    <xf numFmtId="41" fontId="7" fillId="5" borderId="1" xfId="49" applyFont="1" applyFill="1" applyBorder="1" applyAlignment="1">
      <alignment horizontal="center"/>
    </xf>
    <xf numFmtId="0" fontId="42" fillId="0" borderId="21"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14" fontId="42" fillId="0" borderId="25" xfId="0" applyNumberFormat="1" applyFont="1" applyBorder="1" applyAlignment="1">
      <alignment horizontal="left" vertical="center" wrapText="1"/>
    </xf>
    <xf numFmtId="0" fontId="42" fillId="0" borderId="25" xfId="0" applyFont="1" applyBorder="1" applyAlignment="1">
      <alignment horizontal="left" vertical="center" wrapText="1"/>
    </xf>
    <xf numFmtId="0" fontId="44" fillId="0" borderId="25" xfId="0" applyFont="1" applyBorder="1" applyAlignment="1">
      <alignment horizontal="right" vertical="center" wrapText="1"/>
    </xf>
    <xf numFmtId="167" fontId="8" fillId="7" borderId="1" xfId="0" applyNumberFormat="1" applyFont="1" applyFill="1" applyBorder="1"/>
    <xf numFmtId="0" fontId="45" fillId="0" borderId="0" xfId="0" applyFont="1"/>
    <xf numFmtId="167" fontId="7" fillId="2" borderId="1"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0" fontId="7" fillId="2" borderId="1" xfId="1" applyNumberFormat="1" applyFont="1" applyFill="1" applyBorder="1"/>
    <xf numFmtId="0" fontId="46" fillId="0" borderId="21" xfId="0" applyFont="1" applyBorder="1" applyAlignment="1">
      <alignment horizontal="left" vertical="center" wrapText="1"/>
    </xf>
    <xf numFmtId="14" fontId="46" fillId="0" borderId="22" xfId="0" applyNumberFormat="1" applyFont="1" applyBorder="1" applyAlignment="1">
      <alignment horizontal="left" vertical="center" wrapText="1"/>
    </xf>
    <xf numFmtId="0" fontId="46" fillId="0" borderId="22" xfId="0" applyFont="1" applyBorder="1" applyAlignment="1">
      <alignment horizontal="left" vertical="center" wrapText="1"/>
    </xf>
    <xf numFmtId="0" fontId="47" fillId="0" borderId="22" xfId="0" applyFont="1" applyBorder="1" applyAlignment="1">
      <alignment horizontal="right" vertical="center" wrapText="1"/>
    </xf>
    <xf numFmtId="0" fontId="46" fillId="0" borderId="18" xfId="0" applyFont="1" applyBorder="1" applyAlignment="1">
      <alignment horizontal="right" vertical="center" wrapText="1"/>
    </xf>
    <xf numFmtId="0" fontId="46" fillId="0" borderId="24" xfId="0" applyFont="1" applyBorder="1" applyAlignment="1">
      <alignment horizontal="left" vertical="center" wrapText="1"/>
    </xf>
    <xf numFmtId="14" fontId="46" fillId="0" borderId="25" xfId="0" applyNumberFormat="1" applyFont="1" applyBorder="1" applyAlignment="1">
      <alignment horizontal="left" vertical="center" wrapText="1"/>
    </xf>
    <xf numFmtId="0" fontId="46" fillId="0" borderId="25" xfId="0" applyFont="1" applyBorder="1" applyAlignment="1">
      <alignment horizontal="left" vertical="center" wrapText="1"/>
    </xf>
    <xf numFmtId="0" fontId="47" fillId="0" borderId="25" xfId="0" applyFont="1" applyBorder="1" applyAlignment="1">
      <alignment horizontal="right" vertical="center" wrapText="1"/>
    </xf>
    <xf numFmtId="0" fontId="46" fillId="0" borderId="20" xfId="0" applyFont="1" applyBorder="1" applyAlignment="1">
      <alignment horizontal="right" vertical="center" wrapText="1"/>
    </xf>
    <xf numFmtId="170" fontId="19" fillId="4" borderId="1" xfId="1" applyNumberFormat="1" applyFont="1" applyFill="1" applyBorder="1"/>
    <xf numFmtId="167" fontId="19" fillId="4" borderId="1" xfId="1" applyNumberFormat="1" applyFont="1" applyFill="1" applyBorder="1"/>
    <xf numFmtId="41" fontId="19" fillId="4" borderId="1" xfId="49" applyFont="1" applyFill="1" applyBorder="1"/>
    <xf numFmtId="0" fontId="37" fillId="4" borderId="1" xfId="0" applyFont="1" applyFill="1" applyBorder="1"/>
    <xf numFmtId="1" fontId="3" fillId="0" borderId="0" xfId="3" applyNumberFormat="1"/>
    <xf numFmtId="167" fontId="17" fillId="0" borderId="0" xfId="1" applyNumberFormat="1" applyFont="1" applyFill="1"/>
    <xf numFmtId="0" fontId="2" fillId="2" borderId="0" xfId="0" applyFont="1" applyFill="1"/>
    <xf numFmtId="0" fontId="2" fillId="0" borderId="0" xfId="0" applyFont="1"/>
    <xf numFmtId="0" fontId="17" fillId="5" borderId="1" xfId="0" applyFont="1" applyFill="1" applyBorder="1"/>
    <xf numFmtId="14" fontId="17" fillId="5" borderId="1" xfId="0" applyNumberFormat="1" applyFont="1" applyFill="1" applyBorder="1" applyAlignment="1">
      <alignment horizontal="center"/>
    </xf>
    <xf numFmtId="41" fontId="17" fillId="5" borderId="1" xfId="49" applyFont="1" applyFill="1" applyBorder="1"/>
    <xf numFmtId="14" fontId="8" fillId="0" borderId="0" xfId="0" applyNumberFormat="1" applyFont="1" applyFill="1"/>
    <xf numFmtId="167" fontId="17" fillId="5" borderId="1" xfId="1" applyNumberFormat="1" applyFont="1" applyFill="1" applyBorder="1" applyAlignment="1">
      <alignment horizontal="right"/>
    </xf>
    <xf numFmtId="1" fontId="17" fillId="0" borderId="1" xfId="3" applyNumberFormat="1" applyFont="1" applyFill="1" applyBorder="1"/>
    <xf numFmtId="1" fontId="17" fillId="0" borderId="1" xfId="1" applyNumberFormat="1" applyFont="1" applyFill="1" applyBorder="1"/>
    <xf numFmtId="4" fontId="45" fillId="0" borderId="0" xfId="0" applyNumberFormat="1" applyFont="1"/>
    <xf numFmtId="168" fontId="20" fillId="0" borderId="26" xfId="2" applyNumberFormat="1" applyFont="1" applyFill="1" applyBorder="1"/>
    <xf numFmtId="167" fontId="20" fillId="0" borderId="27" xfId="1" applyNumberFormat="1" applyFont="1" applyFill="1" applyBorder="1"/>
    <xf numFmtId="167" fontId="17" fillId="7" borderId="1" xfId="0" applyNumberFormat="1" applyFont="1" applyFill="1" applyBorder="1"/>
    <xf numFmtId="167" fontId="17" fillId="7" borderId="1" xfId="0" applyNumberFormat="1" applyFont="1" applyFill="1" applyBorder="1" applyAlignment="1">
      <alignment horizontal="center"/>
    </xf>
    <xf numFmtId="167" fontId="11" fillId="4" borderId="0" xfId="1" applyNumberFormat="1" applyFont="1" applyFill="1"/>
    <xf numFmtId="167" fontId="19" fillId="7" borderId="1" xfId="1" applyNumberFormat="1" applyFont="1" applyFill="1" applyBorder="1"/>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1"/>
  <sheetViews>
    <sheetView tabSelected="1" workbookViewId="0">
      <selection activeCell="F16" sqref="F16"/>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647</v>
      </c>
    </row>
    <row r="2" spans="2:8" ht="15.75" x14ac:dyDescent="0.25">
      <c r="B2" s="6" t="s">
        <v>14</v>
      </c>
      <c r="C2" s="6"/>
      <c r="D2" s="76">
        <v>713.2</v>
      </c>
      <c r="F2" s="300"/>
    </row>
    <row r="3" spans="2:8" ht="15.75" x14ac:dyDescent="0.25">
      <c r="B3" s="6" t="s">
        <v>20</v>
      </c>
      <c r="C3" s="6"/>
      <c r="D3" s="37">
        <v>27993.08</v>
      </c>
      <c r="F3" s="331"/>
    </row>
    <row r="4" spans="2:8" x14ac:dyDescent="0.25">
      <c r="B4" s="6" t="s">
        <v>13</v>
      </c>
      <c r="C4" s="6"/>
      <c r="D4" s="6">
        <f>Ago!J115</f>
        <v>191</v>
      </c>
      <c r="E4" s="71">
        <f>+Siteminder!K111</f>
        <v>189</v>
      </c>
    </row>
    <row r="5" spans="2:8" x14ac:dyDescent="0.25">
      <c r="B5" s="6" t="s">
        <v>15</v>
      </c>
      <c r="C5" s="6"/>
      <c r="D5" s="142">
        <f>D4/(31*10)</f>
        <v>0.61612903225806448</v>
      </c>
      <c r="E5" s="142">
        <f>E4/(31*10)</f>
        <v>0.60967741935483866</v>
      </c>
      <c r="G5" s="278"/>
    </row>
    <row r="6" spans="2:8" x14ac:dyDescent="0.25">
      <c r="D6" s="9"/>
      <c r="E6" s="1"/>
    </row>
    <row r="7" spans="2:8" x14ac:dyDescent="0.25">
      <c r="C7" t="s">
        <v>17</v>
      </c>
      <c r="D7" t="s">
        <v>12</v>
      </c>
    </row>
    <row r="8" spans="2:8" x14ac:dyDescent="0.25">
      <c r="B8" s="6" t="s">
        <v>9</v>
      </c>
      <c r="C8" s="7">
        <f>SUM(C9:C11)</f>
        <v>29066552.601156071</v>
      </c>
      <c r="D8" s="8">
        <f>C8/D4</f>
        <v>152180.90367097419</v>
      </c>
      <c r="E8" s="5">
        <f>+D8/D2</f>
        <v>213.37759908998063</v>
      </c>
      <c r="F8" s="5"/>
      <c r="H8" s="273"/>
    </row>
    <row r="9" spans="2:8" x14ac:dyDescent="0.25">
      <c r="B9" t="s">
        <v>7</v>
      </c>
      <c r="C9" s="1">
        <f>Ago!V68/(1.038)</f>
        <v>22068829.479768787</v>
      </c>
      <c r="D9" s="9">
        <f>C9/$C$8</f>
        <v>0.75925170014455168</v>
      </c>
    </row>
    <row r="10" spans="2:8" x14ac:dyDescent="0.25">
      <c r="B10" t="s">
        <v>312</v>
      </c>
      <c r="C10" s="1">
        <f>Ago!V87/(1.038)</f>
        <v>2724657.6107899812</v>
      </c>
      <c r="D10" s="9">
        <f>C10/$C$8</f>
        <v>9.3738588410433393E-2</v>
      </c>
    </row>
    <row r="11" spans="2:8" x14ac:dyDescent="0.25">
      <c r="B11" t="s">
        <v>61</v>
      </c>
      <c r="C11" s="1">
        <f>Ago!V111/(1.038)</f>
        <v>4273065.5105973026</v>
      </c>
      <c r="D11" s="9">
        <f>C11/$C$8</f>
        <v>0.14700971144501496</v>
      </c>
      <c r="E11" s="1"/>
    </row>
    <row r="13" spans="2:8" x14ac:dyDescent="0.25">
      <c r="B13" s="6" t="s">
        <v>8</v>
      </c>
      <c r="C13" s="8">
        <f>SUM(C14:C21)</f>
        <v>14716942.800000001</v>
      </c>
      <c r="D13" s="8">
        <f>C13/D4</f>
        <v>77052.056544502615</v>
      </c>
      <c r="E13" s="5">
        <f>C13+C22+C27+C30</f>
        <v>30530367.800000001</v>
      </c>
      <c r="F13" s="81"/>
      <c r="G13" s="93"/>
    </row>
    <row r="14" spans="2:8" x14ac:dyDescent="0.25">
      <c r="B14" t="str">
        <f>'BCI FondRendir'!B142</f>
        <v>Comisión Bco</v>
      </c>
      <c r="C14" s="1">
        <f>'BCI FondRendir'!F142</f>
        <v>52345</v>
      </c>
      <c r="D14" s="5">
        <f>C14/$D$4</f>
        <v>274.05759162303667</v>
      </c>
      <c r="E14" s="5"/>
    </row>
    <row r="15" spans="2:8" x14ac:dyDescent="0.25">
      <c r="B15" t="str">
        <f>'BCI FondRendir'!B143</f>
        <v>Comisión Booking</v>
      </c>
      <c r="C15" s="1">
        <f>+'BCI FondRendir'!F143</f>
        <v>4129345</v>
      </c>
      <c r="D15" s="5">
        <f t="shared" ref="D15:D23" si="0">C15/$D$4</f>
        <v>21619.607329842933</v>
      </c>
      <c r="E15" s="5"/>
    </row>
    <row r="16" spans="2:8" x14ac:dyDescent="0.25">
      <c r="B16" t="str">
        <f>'BCI FondRendir'!B144</f>
        <v>Comisión Expedia</v>
      </c>
      <c r="C16" s="1">
        <f>+'BCI FondRendir'!F144</f>
        <v>489997</v>
      </c>
      <c r="D16" s="5">
        <f t="shared" si="0"/>
        <v>2565.4293193717276</v>
      </c>
      <c r="E16" s="5"/>
    </row>
    <row r="17" spans="2:6" x14ac:dyDescent="0.25">
      <c r="B17" t="str">
        <f>'BCI FondRendir'!B145</f>
        <v>Comisión otras</v>
      </c>
      <c r="C17" s="1">
        <f>+'BCI FondRendir'!F145</f>
        <v>252247.8</v>
      </c>
      <c r="D17" s="5">
        <f t="shared" si="0"/>
        <v>1320.6691099476438</v>
      </c>
      <c r="E17" s="5"/>
    </row>
    <row r="18" spans="2:6" x14ac:dyDescent="0.25">
      <c r="B18" t="str">
        <f>'BCI FondRendir'!B146</f>
        <v>Costos Directos</v>
      </c>
      <c r="C18" s="1">
        <f>+'BCI FondRendir'!F146</f>
        <v>4283232</v>
      </c>
      <c r="D18" s="5">
        <f t="shared" si="0"/>
        <v>22425.298429319373</v>
      </c>
      <c r="E18" s="5"/>
    </row>
    <row r="19" spans="2:6" x14ac:dyDescent="0.25">
      <c r="C19" s="1">
        <f>+'BCI FondRendir'!F147</f>
        <v>3790000</v>
      </c>
      <c r="D19" s="5">
        <f t="shared" si="0"/>
        <v>19842.931937172776</v>
      </c>
      <c r="E19" s="5"/>
    </row>
    <row r="20" spans="2:6" x14ac:dyDescent="0.25">
      <c r="B20" t="s">
        <v>176</v>
      </c>
      <c r="C20" s="1">
        <f>'BCI FondRendir'!F153</f>
        <v>1719776</v>
      </c>
      <c r="D20" s="5">
        <f>C20/$D$4</f>
        <v>9004.0628272251306</v>
      </c>
      <c r="E20" s="5"/>
    </row>
    <row r="21" spans="2:6" x14ac:dyDescent="0.25">
      <c r="B21" t="s">
        <v>53</v>
      </c>
      <c r="C21" s="1">
        <f>'BCI FondRendir'!H159</f>
        <v>0</v>
      </c>
      <c r="D21" s="5">
        <f t="shared" si="0"/>
        <v>0</v>
      </c>
    </row>
    <row r="22" spans="2:6" x14ac:dyDescent="0.25">
      <c r="B22" s="6" t="s">
        <v>10</v>
      </c>
      <c r="C22" s="8">
        <f>SUM(C23:C26)</f>
        <v>10557231</v>
      </c>
      <c r="D22" s="8">
        <f>C22/D4</f>
        <v>55273.460732984291</v>
      </c>
      <c r="E22" s="5"/>
      <c r="F22" s="5"/>
    </row>
    <row r="23" spans="2:6" x14ac:dyDescent="0.25">
      <c r="B23" t="s">
        <v>30</v>
      </c>
      <c r="C23" s="1">
        <f>'BCI FondRendir'!F154</f>
        <v>8739112</v>
      </c>
      <c r="D23" s="5">
        <f t="shared" si="0"/>
        <v>45754.513089005239</v>
      </c>
    </row>
    <row r="24" spans="2:6" s="194" customFormat="1" x14ac:dyDescent="0.25">
      <c r="B24" t="str">
        <f>'BCI FondRendir'!B149</f>
        <v>Gastos Operación</v>
      </c>
      <c r="C24" s="1">
        <f>+'BCI FondRendir'!F149</f>
        <v>1187970</v>
      </c>
      <c r="D24" s="5">
        <f>C24/$D$4</f>
        <v>6219.7382198952882</v>
      </c>
      <c r="E24" s="5">
        <f>+C23+C24</f>
        <v>9927082</v>
      </c>
    </row>
    <row r="25" spans="2:6" x14ac:dyDescent="0.25">
      <c r="B25" s="14" t="s">
        <v>21</v>
      </c>
      <c r="C25" s="15"/>
      <c r="D25" s="5">
        <f t="shared" ref="D25:D26" si="1">C25/$D$4</f>
        <v>0</v>
      </c>
    </row>
    <row r="26" spans="2:6" x14ac:dyDescent="0.25">
      <c r="B26" s="14" t="s">
        <v>39</v>
      </c>
      <c r="C26" s="1">
        <f>'BCI FondRendir'!F148</f>
        <v>630149</v>
      </c>
      <c r="D26" s="5">
        <f t="shared" si="1"/>
        <v>3299.2094240837696</v>
      </c>
    </row>
    <row r="27" spans="2:6" x14ac:dyDescent="0.25">
      <c r="B27" s="6" t="s">
        <v>18</v>
      </c>
      <c r="C27" s="8">
        <f>SUM(C28:C29)</f>
        <v>5256194</v>
      </c>
      <c r="D27" s="8">
        <f>C27/D4</f>
        <v>27519.340314136127</v>
      </c>
    </row>
    <row r="28" spans="2:6" x14ac:dyDescent="0.25">
      <c r="B28" t="s">
        <v>19</v>
      </c>
      <c r="C28" s="1">
        <f>+'BCI FondRendir'!F152</f>
        <v>5256194</v>
      </c>
      <c r="E28" s="109"/>
    </row>
    <row r="29" spans="2:6" x14ac:dyDescent="0.25">
      <c r="C29" s="1"/>
    </row>
    <row r="30" spans="2:6" x14ac:dyDescent="0.25">
      <c r="B30" s="6" t="s">
        <v>11</v>
      </c>
      <c r="C30" s="7">
        <f>SUM(C31:C32)</f>
        <v>0</v>
      </c>
      <c r="D30" s="8">
        <f>C30/D4</f>
        <v>0</v>
      </c>
      <c r="E30" s="5">
        <f>+D27+D22</f>
        <v>82792.801047120418</v>
      </c>
      <c r="F30">
        <f>+E30/650</f>
        <v>127.37354007249296</v>
      </c>
    </row>
    <row r="31" spans="2:6" x14ac:dyDescent="0.25">
      <c r="B31" t="s">
        <v>11</v>
      </c>
      <c r="C31" s="1">
        <f>-'BCI FondRendir'!F151</f>
        <v>0</v>
      </c>
    </row>
    <row r="32" spans="2:6" x14ac:dyDescent="0.25">
      <c r="B32" t="s">
        <v>110</v>
      </c>
      <c r="C32" s="1"/>
    </row>
    <row r="33" spans="2:13" x14ac:dyDescent="0.25">
      <c r="B33" t="str">
        <f>'BCI FondRendir'!B150</f>
        <v>Impuestos</v>
      </c>
      <c r="C33" s="1">
        <f>+'BCI FondRendir'!F150</f>
        <v>1801131</v>
      </c>
      <c r="D33" s="5">
        <f>C33/$D$4</f>
        <v>9430.0052356020951</v>
      </c>
    </row>
    <row r="35" spans="2:13" x14ac:dyDescent="0.25">
      <c r="B35" s="2" t="s">
        <v>317</v>
      </c>
      <c r="C35" s="10">
        <f>C8-C13-C22-C30-C27</f>
        <v>-1463815.1988439299</v>
      </c>
    </row>
    <row r="36" spans="2:13" x14ac:dyDescent="0.25">
      <c r="B36" s="2" t="s">
        <v>32</v>
      </c>
      <c r="C36" s="10">
        <f>C33</f>
        <v>1801131</v>
      </c>
      <c r="D36" s="10">
        <f>C35*0.25</f>
        <v>-365953.79971098248</v>
      </c>
    </row>
    <row r="37" spans="2:13" x14ac:dyDescent="0.25">
      <c r="B37" s="2" t="s">
        <v>85</v>
      </c>
      <c r="C37" s="10">
        <f>'BCI FondRendir'!G159</f>
        <v>2086385.82</v>
      </c>
    </row>
    <row r="38" spans="2:13" x14ac:dyDescent="0.25">
      <c r="B38" s="2" t="s">
        <v>86</v>
      </c>
      <c r="C38" s="10">
        <f>Ago!F126</f>
        <v>640806.54</v>
      </c>
    </row>
    <row r="39" spans="2:13" x14ac:dyDescent="0.25">
      <c r="B39" s="16" t="s">
        <v>16</v>
      </c>
      <c r="C39" s="17">
        <f>C35-D36</f>
        <v>-1097861.3991329474</v>
      </c>
    </row>
    <row r="40" spans="2:13" x14ac:dyDescent="0.25">
      <c r="B40" s="16" t="s">
        <v>122</v>
      </c>
      <c r="C40" s="10">
        <f>C8-C13-C22</f>
        <v>3792378.8011560701</v>
      </c>
      <c r="J40" s="80"/>
      <c r="K40" s="80"/>
      <c r="L40" s="80"/>
      <c r="M40" s="80"/>
    </row>
    <row r="41" spans="2:13" x14ac:dyDescent="0.25">
      <c r="C41" s="20" t="s">
        <v>42</v>
      </c>
      <c r="D41" s="20" t="s">
        <v>43</v>
      </c>
      <c r="E41" s="20" t="s">
        <v>258</v>
      </c>
      <c r="F41" s="20" t="s">
        <v>40</v>
      </c>
      <c r="G41" s="20" t="s">
        <v>41</v>
      </c>
      <c r="J41" s="81"/>
    </row>
    <row r="42" spans="2:13" x14ac:dyDescent="0.25">
      <c r="B42" s="2" t="s">
        <v>33</v>
      </c>
      <c r="C42" s="10"/>
      <c r="D42" s="10"/>
      <c r="E42" s="10"/>
      <c r="F42" s="10"/>
      <c r="G42" s="10"/>
    </row>
    <row r="43" spans="2:13" x14ac:dyDescent="0.25">
      <c r="B43" s="2" t="s">
        <v>47</v>
      </c>
      <c r="C43" s="10"/>
      <c r="D43" s="10"/>
      <c r="E43" s="10"/>
      <c r="F43" s="10"/>
      <c r="G43" s="10"/>
    </row>
    <row r="44" spans="2:13" x14ac:dyDescent="0.25">
      <c r="B44" s="2" t="s">
        <v>34</v>
      </c>
      <c r="C44" s="10"/>
      <c r="D44" s="10"/>
      <c r="E44" s="10"/>
      <c r="F44" s="10"/>
      <c r="G44" s="10"/>
    </row>
    <row r="45" spans="2:13" x14ac:dyDescent="0.25">
      <c r="B45" s="2" t="s">
        <v>35</v>
      </c>
      <c r="C45" s="10"/>
      <c r="D45" s="10"/>
      <c r="E45" s="10"/>
      <c r="F45" s="10"/>
      <c r="G45" s="89"/>
      <c r="I45" s="150"/>
    </row>
    <row r="46" spans="2:13" x14ac:dyDescent="0.25">
      <c r="B46" s="2" t="s">
        <v>279</v>
      </c>
      <c r="C46" s="10"/>
      <c r="D46" s="10"/>
      <c r="E46" s="10"/>
      <c r="F46" s="10"/>
      <c r="G46" s="10">
        <f t="shared" ref="G46:G47" si="2">F46*$D$3</f>
        <v>0</v>
      </c>
      <c r="H46" s="253"/>
      <c r="I46" s="253"/>
      <c r="J46" s="253"/>
      <c r="K46" s="150"/>
      <c r="L46" s="150"/>
      <c r="M46" s="150"/>
    </row>
    <row r="47" spans="2:13" x14ac:dyDescent="0.25">
      <c r="B47" s="2" t="s">
        <v>280</v>
      </c>
      <c r="C47" s="10"/>
      <c r="D47" s="10"/>
      <c r="E47" s="10"/>
      <c r="F47" s="10"/>
      <c r="G47" s="10">
        <f t="shared" si="2"/>
        <v>0</v>
      </c>
      <c r="H47" s="253"/>
      <c r="I47" s="253"/>
      <c r="J47" s="253"/>
      <c r="K47" s="150"/>
      <c r="L47" s="150"/>
      <c r="M47" s="150"/>
    </row>
    <row r="48" spans="2:13" x14ac:dyDescent="0.25">
      <c r="B48" s="2" t="s">
        <v>281</v>
      </c>
      <c r="C48" s="10"/>
      <c r="D48" s="10"/>
      <c r="E48" s="10"/>
      <c r="F48" s="10"/>
      <c r="G48" s="10"/>
      <c r="H48" s="253"/>
      <c r="I48" s="253"/>
      <c r="J48" s="253"/>
      <c r="K48" s="150"/>
      <c r="L48" s="226"/>
      <c r="M48" s="150"/>
    </row>
    <row r="49" spans="1:15" x14ac:dyDescent="0.25">
      <c r="B49" s="2" t="s">
        <v>282</v>
      </c>
      <c r="C49" s="10"/>
      <c r="D49" s="10"/>
      <c r="E49" s="10"/>
      <c r="F49" s="10">
        <f>30000000/26561.4-4000000/26798.14-13500000/27558.46</f>
        <v>490.32672565966504</v>
      </c>
      <c r="G49" s="10">
        <f>F49*$D$3</f>
        <v>13725755.257529058</v>
      </c>
      <c r="H49" s="253"/>
      <c r="I49" s="253"/>
      <c r="J49" s="253"/>
      <c r="K49" s="150"/>
      <c r="L49" s="226"/>
      <c r="M49" s="150"/>
    </row>
    <row r="50" spans="1:15" x14ac:dyDescent="0.25">
      <c r="B50" s="88" t="s">
        <v>81</v>
      </c>
      <c r="C50" s="89">
        <f>SUM(C42:C49)</f>
        <v>0</v>
      </c>
      <c r="D50" s="89">
        <f>SUM(D42:D49)</f>
        <v>0</v>
      </c>
      <c r="E50" s="89">
        <f>SUM(E42:E49)</f>
        <v>0</v>
      </c>
      <c r="F50" s="89"/>
      <c r="G50" s="89"/>
      <c r="H50" s="253"/>
      <c r="I50" s="253"/>
      <c r="J50" s="253"/>
      <c r="K50" s="150"/>
      <c r="L50" s="150"/>
      <c r="M50" s="150"/>
    </row>
    <row r="51" spans="1:15" x14ac:dyDescent="0.25">
      <c r="B51" s="88"/>
      <c r="C51" s="89"/>
      <c r="D51" s="89">
        <f>D50*D3</f>
        <v>0</v>
      </c>
      <c r="E51" s="89"/>
      <c r="F51" s="89"/>
      <c r="G51" s="89"/>
      <c r="I51" s="150"/>
      <c r="J51" s="194"/>
      <c r="K51" s="194"/>
      <c r="L51" s="194"/>
      <c r="M51" s="194"/>
      <c r="N51" s="194"/>
      <c r="O51" s="194"/>
    </row>
    <row r="52" spans="1:15" x14ac:dyDescent="0.25">
      <c r="I52" s="150"/>
      <c r="J52" s="194"/>
      <c r="K52" s="194"/>
      <c r="L52" s="194"/>
      <c r="M52" s="194"/>
      <c r="N52" s="194"/>
      <c r="O52" s="194"/>
    </row>
    <row r="55" spans="1:15" x14ac:dyDescent="0.25">
      <c r="A55" s="109"/>
      <c r="B55" s="109"/>
      <c r="C55" s="109"/>
      <c r="D55" s="109"/>
      <c r="E55" s="109"/>
      <c r="F55" s="109"/>
    </row>
    <row r="56" spans="1:15" x14ac:dyDescent="0.25">
      <c r="A56" s="109"/>
      <c r="B56" s="109"/>
      <c r="C56" s="109"/>
      <c r="D56" s="109"/>
      <c r="E56" s="109"/>
      <c r="F56" s="109"/>
    </row>
    <row r="57" spans="1:15" x14ac:dyDescent="0.25">
      <c r="A57" s="109"/>
      <c r="B57" s="109"/>
      <c r="C57" s="109"/>
      <c r="D57" s="109"/>
      <c r="E57" s="109"/>
      <c r="F57" s="109"/>
    </row>
    <row r="58" spans="1:15" x14ac:dyDescent="0.25">
      <c r="A58" s="109"/>
      <c r="B58" s="109"/>
      <c r="C58" s="109"/>
      <c r="D58" s="109"/>
      <c r="E58" s="109"/>
      <c r="F58" s="109"/>
    </row>
    <row r="59" spans="1:15" x14ac:dyDescent="0.25">
      <c r="A59" s="109"/>
      <c r="B59" s="109"/>
      <c r="C59" s="109"/>
      <c r="D59" s="109"/>
      <c r="E59" s="109"/>
      <c r="F59" s="109"/>
    </row>
    <row r="60" spans="1:15" x14ac:dyDescent="0.25">
      <c r="A60" s="109"/>
      <c r="B60" s="109"/>
      <c r="C60" s="109"/>
      <c r="D60" s="109"/>
      <c r="E60" s="109"/>
      <c r="F60" s="109"/>
    </row>
    <row r="61" spans="1:15" x14ac:dyDescent="0.25">
      <c r="A61" s="109"/>
      <c r="B61" s="109"/>
      <c r="C61" s="109"/>
      <c r="D61" s="109"/>
      <c r="E61" s="109"/>
      <c r="F61" s="109"/>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XEZ188"/>
  <sheetViews>
    <sheetView topLeftCell="A88" zoomScale="85" zoomScaleNormal="85" workbookViewId="0">
      <selection activeCell="K119" sqref="K119:M119"/>
    </sheetView>
  </sheetViews>
  <sheetFormatPr baseColWidth="10" defaultColWidth="11.28515625" defaultRowHeight="15" outlineLevelCol="1" x14ac:dyDescent="0.25"/>
  <cols>
    <col min="1" max="1" width="14.140625" style="32" customWidth="1"/>
    <col min="2" max="4" width="9.5703125" style="132" customWidth="1"/>
    <col min="5" max="5" width="26.7109375" style="32" customWidth="1"/>
    <col min="6" max="6" width="10.5703125" style="32" customWidth="1"/>
    <col min="7" max="7" width="16" style="32" customWidth="1"/>
    <col min="8" max="9" width="14.140625" style="34" customWidth="1"/>
    <col min="10" max="10" width="12.5703125" style="32" customWidth="1"/>
    <col min="11" max="11" width="13.7109375" style="33" customWidth="1" outlineLevel="1"/>
    <col min="12" max="12" width="9.5703125" customWidth="1" outlineLevel="1"/>
    <col min="13" max="13" width="12.5703125" style="33" customWidth="1" outlineLevel="1"/>
    <col min="14" max="18" width="9.5703125" style="33" customWidth="1" outlineLevel="1"/>
    <col min="19" max="19" width="13" style="32" customWidth="1"/>
    <col min="20" max="20" width="12.5703125" style="32" customWidth="1"/>
    <col min="21" max="21" width="10.140625" style="35" customWidth="1"/>
    <col min="22" max="22" width="13.28515625" style="32" customWidth="1"/>
    <col min="23" max="23" width="14.28515625" style="132" customWidth="1"/>
    <col min="24" max="24" width="15.28515625" style="132" customWidth="1"/>
    <col min="25" max="25" width="14" style="132" customWidth="1"/>
    <col min="26" max="26" width="21.7109375" style="32" customWidth="1"/>
    <col min="27" max="27" width="11.28515625" style="32"/>
    <col min="28" max="28" width="13.140625" style="32" bestFit="1" customWidth="1"/>
    <col min="29" max="30" width="10.28515625" style="32" bestFit="1" customWidth="1"/>
    <col min="31" max="31" width="15.85546875" style="32" bestFit="1" customWidth="1"/>
    <col min="32" max="16384" width="11.28515625" style="32"/>
  </cols>
  <sheetData>
    <row r="1" spans="1:33" ht="15" customHeight="1" x14ac:dyDescent="0.2">
      <c r="A1" s="227"/>
      <c r="B1" s="338" t="s">
        <v>286</v>
      </c>
      <c r="C1" s="339"/>
      <c r="D1" s="340"/>
      <c r="E1" s="227"/>
      <c r="F1" s="227"/>
      <c r="G1" s="227"/>
      <c r="H1" s="228"/>
      <c r="I1" s="228"/>
      <c r="J1" s="227"/>
      <c r="K1" s="343" t="s">
        <v>78</v>
      </c>
      <c r="L1" s="343"/>
      <c r="M1" s="343" t="s">
        <v>79</v>
      </c>
      <c r="N1" s="343"/>
      <c r="O1" s="343" t="s">
        <v>80</v>
      </c>
      <c r="P1" s="343"/>
      <c r="Q1" s="343" t="s">
        <v>142</v>
      </c>
      <c r="R1" s="343"/>
      <c r="S1" s="227"/>
      <c r="T1" s="227"/>
      <c r="U1" s="231"/>
      <c r="V1" s="227"/>
      <c r="W1" s="227"/>
      <c r="X1" s="227"/>
      <c r="Y1" s="227"/>
    </row>
    <row r="2" spans="1:33" ht="30" customHeight="1" x14ac:dyDescent="0.2">
      <c r="A2" s="227" t="s">
        <v>72</v>
      </c>
      <c r="B2" s="227" t="s">
        <v>283</v>
      </c>
      <c r="C2" s="227" t="s">
        <v>284</v>
      </c>
      <c r="D2" s="227" t="s">
        <v>285</v>
      </c>
      <c r="E2" s="227" t="s">
        <v>0</v>
      </c>
      <c r="F2" s="227" t="s">
        <v>44</v>
      </c>
      <c r="G2" s="227" t="s">
        <v>73</v>
      </c>
      <c r="H2" s="228" t="s">
        <v>1</v>
      </c>
      <c r="I2" s="228" t="s">
        <v>2</v>
      </c>
      <c r="J2" s="228" t="s">
        <v>3</v>
      </c>
      <c r="K2" s="229" t="s">
        <v>74</v>
      </c>
      <c r="L2" s="230" t="s">
        <v>48</v>
      </c>
      <c r="M2" s="229" t="s">
        <v>74</v>
      </c>
      <c r="N2" s="229" t="s">
        <v>48</v>
      </c>
      <c r="O2" s="229" t="s">
        <v>74</v>
      </c>
      <c r="P2" s="229" t="s">
        <v>48</v>
      </c>
      <c r="Q2" s="229" t="s">
        <v>74</v>
      </c>
      <c r="R2" s="229" t="s">
        <v>48</v>
      </c>
      <c r="S2" s="227" t="s">
        <v>75</v>
      </c>
      <c r="T2" s="227" t="s">
        <v>77</v>
      </c>
      <c r="U2" s="231" t="s">
        <v>45</v>
      </c>
      <c r="V2" s="227" t="s">
        <v>143</v>
      </c>
      <c r="W2" s="227" t="s">
        <v>44</v>
      </c>
      <c r="X2" s="227" t="s">
        <v>6</v>
      </c>
      <c r="Y2" s="227" t="s">
        <v>6</v>
      </c>
    </row>
    <row r="3" spans="1:33" s="132" customFormat="1" ht="15" customHeight="1" x14ac:dyDescent="0.25">
      <c r="A3" s="243">
        <v>4031</v>
      </c>
      <c r="B3" s="276">
        <v>1551</v>
      </c>
      <c r="C3" s="276"/>
      <c r="D3" s="276"/>
      <c r="E3" s="244" t="s">
        <v>719</v>
      </c>
      <c r="F3" s="244" t="s">
        <v>232</v>
      </c>
      <c r="G3" s="244">
        <v>2189018281</v>
      </c>
      <c r="H3" s="245">
        <v>43678</v>
      </c>
      <c r="I3" s="245">
        <v>43681</v>
      </c>
      <c r="J3" s="244">
        <v>3</v>
      </c>
      <c r="K3" s="246"/>
      <c r="L3" s="247">
        <v>390</v>
      </c>
      <c r="M3" s="246"/>
      <c r="N3" s="246"/>
      <c r="O3" s="246"/>
      <c r="P3" s="246"/>
      <c r="Q3" s="246"/>
      <c r="R3" s="246">
        <v>195</v>
      </c>
      <c r="S3" s="137">
        <f t="shared" ref="S3:S70" si="0">L3+N3+P3+R3</f>
        <v>585</v>
      </c>
      <c r="T3" s="137">
        <f t="shared" ref="T3:T67" si="1">M3+O3+K3+Q3</f>
        <v>0</v>
      </c>
      <c r="U3" s="135">
        <f>IF(J3=0,(S3+T3/EERR!$D$2/1.19),(S3+T3/EERR!$D$2/1.19)/J3)</f>
        <v>195</v>
      </c>
      <c r="V3" s="137">
        <f>T3+S3*EERR!$D$2</f>
        <v>417222</v>
      </c>
      <c r="W3" s="132">
        <f ca="1">SUMIF(Siteminder!$A$5:$J$164,Ago!G3,Siteminder!$M$5:$M$164)</f>
        <v>3</v>
      </c>
      <c r="X3" s="250">
        <f>SUMIF(Transbank!$A$2:$A$472,B3,Transbank!$L$2:$L$472)+SUMIF(Transbank!$A$2:$A$472,C3,Transbank!$L$2:$L$472)+SUMIF(Transbank!$A$2:$A$472,D3,Transbank!$L$2:$L$472)+(K3+O3)+(L3+P3)*EERR!$D$2</f>
        <v>411929.69999999995</v>
      </c>
      <c r="Y3" s="250">
        <f>X3/EERR!$D$2</f>
        <v>577.57950084127867</v>
      </c>
      <c r="Z3" s="260">
        <f t="shared" ref="Z3:Z70" si="2">+X3-V3</f>
        <v>-5292.3000000000466</v>
      </c>
      <c r="AF3" s="132">
        <v>700</v>
      </c>
      <c r="AG3" s="132">
        <v>3</v>
      </c>
    </row>
    <row r="4" spans="1:33" s="132" customFormat="1" ht="15" customHeight="1" x14ac:dyDescent="0.25">
      <c r="A4" s="243">
        <v>4033</v>
      </c>
      <c r="B4" s="276">
        <v>1472</v>
      </c>
      <c r="C4" s="276">
        <v>1570</v>
      </c>
      <c r="D4" s="276"/>
      <c r="E4" s="244" t="s">
        <v>722</v>
      </c>
      <c r="F4" s="244" t="s">
        <v>232</v>
      </c>
      <c r="G4" s="244">
        <v>2332363240</v>
      </c>
      <c r="H4" s="245">
        <v>43678</v>
      </c>
      <c r="I4" s="245">
        <v>43681</v>
      </c>
      <c r="J4" s="244">
        <v>3</v>
      </c>
      <c r="K4" s="246"/>
      <c r="L4" s="247"/>
      <c r="M4" s="246"/>
      <c r="N4" s="246">
        <v>440</v>
      </c>
      <c r="O4" s="246"/>
      <c r="P4" s="246"/>
      <c r="Q4" s="246"/>
      <c r="R4" s="246">
        <v>220</v>
      </c>
      <c r="S4" s="137">
        <f t="shared" ref="S4:S42" si="3">L4+N4+P4+R4</f>
        <v>660</v>
      </c>
      <c r="T4" s="137">
        <f t="shared" ref="T4:T42" si="4">M4+O4+K4+Q4</f>
        <v>0</v>
      </c>
      <c r="U4" s="135">
        <f>IF(J4=0,(S4+T4/EERR!$D$2/1.19),(S4+T4/EERR!$D$2/1.19)/J4)</f>
        <v>220</v>
      </c>
      <c r="V4" s="137">
        <f>T4+S4*EERR!$D$2</f>
        <v>470712.00000000006</v>
      </c>
      <c r="W4" s="132">
        <f ca="1">SUMIF(Siteminder!$A$5:$J$164,Ago!G4,Siteminder!$M$5:$M$164)</f>
        <v>3</v>
      </c>
      <c r="X4" s="250">
        <f>SUMIF(Transbank!$A$2:$A$472,B4,Transbank!$L$2:$L$472)+SUMIF(Transbank!$A$2:$A$472,C4,Transbank!$L$2:$L$472)+SUMIF(Transbank!$A$2:$A$472,D4,Transbank!$L$2:$L$472)+(K4+O4)+(L4+P4)*EERR!$D$2</f>
        <v>464741.19999999995</v>
      </c>
      <c r="Y4" s="250">
        <f>X4/EERR!$D$2</f>
        <v>651.62815479528876</v>
      </c>
      <c r="Z4" s="260">
        <f t="shared" si="2"/>
        <v>-5970.8000000001048</v>
      </c>
      <c r="AF4" s="132">
        <v>700</v>
      </c>
      <c r="AG4" s="132">
        <v>3</v>
      </c>
    </row>
    <row r="5" spans="1:33" s="132" customFormat="1" ht="15" customHeight="1" x14ac:dyDescent="0.25">
      <c r="A5" s="243">
        <v>4035</v>
      </c>
      <c r="B5" s="276">
        <v>1471</v>
      </c>
      <c r="C5" s="276">
        <v>1574</v>
      </c>
      <c r="D5" s="276">
        <v>1575</v>
      </c>
      <c r="E5" s="244" t="s">
        <v>739</v>
      </c>
      <c r="F5" s="244" t="s">
        <v>232</v>
      </c>
      <c r="G5" s="244">
        <v>3881801071</v>
      </c>
      <c r="H5" s="245">
        <v>43678</v>
      </c>
      <c r="I5" s="245">
        <v>43680</v>
      </c>
      <c r="J5" s="244">
        <v>2</v>
      </c>
      <c r="K5" s="246"/>
      <c r="L5" s="247">
        <v>400</v>
      </c>
      <c r="M5" s="246"/>
      <c r="N5" s="246">
        <v>40</v>
      </c>
      <c r="O5" s="246"/>
      <c r="P5" s="246"/>
      <c r="Q5" s="246"/>
      <c r="R5" s="246">
        <v>220</v>
      </c>
      <c r="S5" s="137">
        <f t="shared" si="3"/>
        <v>660</v>
      </c>
      <c r="T5" s="137">
        <f t="shared" si="4"/>
        <v>0</v>
      </c>
      <c r="U5" s="135">
        <f>IF(J5=0,(S5+T5/EERR!$D$2/1.19),(S5+T5/EERR!$D$2/1.19)/J5)</f>
        <v>330</v>
      </c>
      <c r="V5" s="137">
        <f>T5+S5*EERR!$D$2</f>
        <v>470712.00000000006</v>
      </c>
      <c r="W5" s="132">
        <f ca="1">SUMIF(Siteminder!$A$5:$J$164,Ago!G5,Siteminder!$M$5:$M$164)</f>
        <v>0</v>
      </c>
      <c r="X5" s="336">
        <f>SUMIF(Transbank!$A$2:$A$472,B5,Transbank!$L$2:$L$472)+SUMIF(Transbank!$A$2:$A$472,C5,Transbank!$L$2:$L$472)+SUMIF(Transbank!$A$2:$A$472,D5,Transbank!$L$2:$L$472)+(K5+O5)+(L5+P5)*EERR!$D$2</f>
        <v>464741.19999999995</v>
      </c>
      <c r="Y5" s="250">
        <f>X5/EERR!$D$2</f>
        <v>651.62815479528876</v>
      </c>
      <c r="Z5" s="260">
        <f t="shared" si="2"/>
        <v>-5970.8000000001048</v>
      </c>
      <c r="AF5" s="132">
        <v>660</v>
      </c>
      <c r="AG5" s="132">
        <v>3</v>
      </c>
    </row>
    <row r="6" spans="1:33" s="132" customFormat="1" ht="15" customHeight="1" x14ac:dyDescent="0.25">
      <c r="A6" s="328">
        <v>4034</v>
      </c>
      <c r="B6" s="276">
        <v>1479</v>
      </c>
      <c r="C6" s="276">
        <v>1572</v>
      </c>
      <c r="D6" s="276"/>
      <c r="E6" s="244" t="s">
        <v>663</v>
      </c>
      <c r="F6" s="244" t="s">
        <v>232</v>
      </c>
      <c r="G6" s="244">
        <v>2049529471</v>
      </c>
      <c r="H6" s="245">
        <v>43679</v>
      </c>
      <c r="I6" s="245">
        <v>43684</v>
      </c>
      <c r="J6" s="244">
        <v>5</v>
      </c>
      <c r="K6" s="246"/>
      <c r="L6" s="247"/>
      <c r="M6" s="246"/>
      <c r="N6" s="246">
        <v>880</v>
      </c>
      <c r="O6" s="246"/>
      <c r="P6" s="246"/>
      <c r="Q6" s="246"/>
      <c r="R6" s="246">
        <v>220</v>
      </c>
      <c r="S6" s="137">
        <f t="shared" si="3"/>
        <v>1100</v>
      </c>
      <c r="T6" s="137">
        <f t="shared" si="4"/>
        <v>0</v>
      </c>
      <c r="U6" s="135">
        <f>IF(J6=0,(S6+T6/EERR!$D$2/1.19),(S6+T6/EERR!$D$2/1.19)/J6)</f>
        <v>220</v>
      </c>
      <c r="V6" s="137">
        <f>T6+S6*EERR!$D$2</f>
        <v>784520</v>
      </c>
      <c r="W6" s="132">
        <f ca="1">SUMIF(Siteminder!$A$5:$J$164,Ago!G6,Siteminder!$M$5:$M$164)</f>
        <v>5</v>
      </c>
      <c r="X6" s="250">
        <f>SUMIF(Transbank!$A$2:$A$472,B6,Transbank!$L$2:$L$472)+SUMIF(Transbank!$A$2:$A$472,C6,Transbank!$L$2:$L$472)+SUMIF(Transbank!$A$2:$A$472,D6,Transbank!$L$2:$L$472)+(K6+O6)+(L6+P6)*EERR!$D$2</f>
        <v>778549.2</v>
      </c>
      <c r="Y6" s="250">
        <f>X6/EERR!$D$2</f>
        <v>1091.6281547952888</v>
      </c>
      <c r="Z6" s="260"/>
    </row>
    <row r="7" spans="1:33" s="132" customFormat="1" ht="15" customHeight="1" x14ac:dyDescent="0.25">
      <c r="A7" s="243">
        <v>46209</v>
      </c>
      <c r="B7" s="276">
        <v>1492</v>
      </c>
      <c r="C7" s="276">
        <v>1571</v>
      </c>
      <c r="D7" s="276"/>
      <c r="E7" s="244" t="s">
        <v>723</v>
      </c>
      <c r="F7" s="244" t="s">
        <v>232</v>
      </c>
      <c r="G7" s="244">
        <v>2486046209</v>
      </c>
      <c r="H7" s="245">
        <v>43679</v>
      </c>
      <c r="I7" s="245">
        <v>43681</v>
      </c>
      <c r="J7" s="244">
        <v>2</v>
      </c>
      <c r="K7" s="246"/>
      <c r="L7" s="247"/>
      <c r="M7" s="246">
        <v>184538</v>
      </c>
      <c r="N7" s="246"/>
      <c r="O7" s="246"/>
      <c r="P7" s="246"/>
      <c r="Q7" s="246">
        <v>177500</v>
      </c>
      <c r="R7" s="246"/>
      <c r="S7" s="137">
        <f t="shared" si="3"/>
        <v>0</v>
      </c>
      <c r="T7" s="137">
        <f t="shared" si="4"/>
        <v>362038</v>
      </c>
      <c r="U7" s="135">
        <f>IF(J7=0,(S7+T7/EERR!$D$2/1.19),(S7+T7/EERR!$D$2/1.19)/J7)</f>
        <v>213.28772675643449</v>
      </c>
      <c r="V7" s="137">
        <f>T7+S7*EERR!$D$2</f>
        <v>362038</v>
      </c>
      <c r="W7" s="132">
        <f ca="1">SUMIF(Siteminder!$A$5:$J$164,Ago!G7,Siteminder!$M$5:$M$164)</f>
        <v>2</v>
      </c>
      <c r="X7" s="250">
        <f>SUMIF(Transbank!$A$2:$A$472,B7,Transbank!$L$2:$L$472)+SUMIF(Transbank!$A$2:$A$472,C7,Transbank!$L$2:$L$472)+SUMIF(Transbank!$A$2:$A$472,D7,Transbank!$L$2:$L$472)+(K7+O7)+(L7+P7)*EERR!$D$2</f>
        <v>362038</v>
      </c>
      <c r="Y7" s="250">
        <f>X7/EERR!$D$2</f>
        <v>507.62478968031405</v>
      </c>
      <c r="Z7" s="260">
        <f t="shared" si="2"/>
        <v>0</v>
      </c>
      <c r="AF7" s="132">
        <v>1120</v>
      </c>
      <c r="AG7" s="132">
        <v>5</v>
      </c>
    </row>
    <row r="8" spans="1:33" s="132" customFormat="1" ht="15" customHeight="1" x14ac:dyDescent="0.25">
      <c r="A8" s="243">
        <v>4500660</v>
      </c>
      <c r="B8" s="276">
        <v>1512</v>
      </c>
      <c r="C8" s="276"/>
      <c r="D8" s="276"/>
      <c r="E8" s="244" t="s">
        <v>733</v>
      </c>
      <c r="F8" s="244" t="s">
        <v>232</v>
      </c>
      <c r="G8" s="244">
        <v>3570450660</v>
      </c>
      <c r="H8" s="245">
        <v>43680</v>
      </c>
      <c r="I8" s="245">
        <v>43681</v>
      </c>
      <c r="J8" s="244">
        <v>1</v>
      </c>
      <c r="K8" s="246"/>
      <c r="L8" s="247"/>
      <c r="M8" s="246">
        <v>158490</v>
      </c>
      <c r="N8" s="246"/>
      <c r="O8" s="246"/>
      <c r="P8" s="246"/>
      <c r="Q8" s="246"/>
      <c r="R8" s="246"/>
      <c r="S8" s="137">
        <f t="shared" si="3"/>
        <v>0</v>
      </c>
      <c r="T8" s="137">
        <f t="shared" si="4"/>
        <v>158490</v>
      </c>
      <c r="U8" s="135">
        <f>IF(J8=0,(S8+T8/EERR!$D$2/1.19),(S8+T8/EERR!$D$2/1.19)/J8)</f>
        <v>186.74267239144675</v>
      </c>
      <c r="V8" s="137">
        <f>T8+S8*EERR!$D$2</f>
        <v>158490</v>
      </c>
      <c r="W8" s="132">
        <f ca="1">SUMIF(Siteminder!$A$5:$J$164,Ago!G8,Siteminder!$M$5:$M$164)</f>
        <v>1</v>
      </c>
      <c r="X8" s="250">
        <f>SUMIF(Transbank!$A$2:$A$472,B8,Transbank!$L$2:$L$472)+SUMIF(Transbank!$A$2:$A$472,C8,Transbank!$L$2:$L$472)+SUMIF(Transbank!$A$2:$A$472,D8,Transbank!$L$2:$L$472)+(K8+O8)+(L8+P8)*EERR!$D$2</f>
        <v>158490</v>
      </c>
      <c r="Y8" s="250">
        <f>X8/EERR!$D$2</f>
        <v>222.22378014582162</v>
      </c>
      <c r="Z8" s="260">
        <f t="shared" si="2"/>
        <v>0</v>
      </c>
      <c r="AC8" s="327"/>
      <c r="AD8" s="327"/>
      <c r="AF8" s="132">
        <v>960</v>
      </c>
      <c r="AG8" s="132">
        <v>4</v>
      </c>
    </row>
    <row r="9" spans="1:33" s="132" customFormat="1" ht="15" customHeight="1" x14ac:dyDescent="0.25">
      <c r="A9" s="243">
        <v>4038</v>
      </c>
      <c r="B9" s="276">
        <v>1542</v>
      </c>
      <c r="C9" s="276">
        <v>1582</v>
      </c>
      <c r="D9" s="276"/>
      <c r="E9" s="244" t="s">
        <v>727</v>
      </c>
      <c r="F9" s="244" t="s">
        <v>232</v>
      </c>
      <c r="G9" s="244">
        <v>2866766234</v>
      </c>
      <c r="H9" s="245">
        <v>43682</v>
      </c>
      <c r="I9" s="245">
        <v>43685</v>
      </c>
      <c r="J9" s="244">
        <v>3</v>
      </c>
      <c r="K9" s="246"/>
      <c r="L9" s="247"/>
      <c r="M9" s="246"/>
      <c r="N9" s="246">
        <v>390</v>
      </c>
      <c r="O9" s="246"/>
      <c r="P9" s="246"/>
      <c r="Q9" s="246"/>
      <c r="R9" s="246">
        <v>195</v>
      </c>
      <c r="S9" s="137">
        <f t="shared" si="3"/>
        <v>585</v>
      </c>
      <c r="T9" s="137">
        <f t="shared" si="4"/>
        <v>0</v>
      </c>
      <c r="U9" s="135">
        <f>IF(J9=0,(S9+T9/EERR!$D$2/1.19),(S9+T9/EERR!$D$2/1.19)/J9)</f>
        <v>195</v>
      </c>
      <c r="V9" s="137">
        <f>T9+S9*EERR!$D$2</f>
        <v>417222</v>
      </c>
      <c r="W9" s="132">
        <f ca="1">SUMIF(Siteminder!$A$5:$J$164,Ago!G9,Siteminder!$M$5:$M$164)</f>
        <v>3</v>
      </c>
      <c r="X9" s="250">
        <f>SUMIF(Transbank!$A$2:$A$472,B9,Transbank!$L$2:$L$472)+SUMIF(Transbank!$A$2:$A$472,C9,Transbank!$L$2:$L$472)+SUMIF(Transbank!$A$2:$A$472,D9,Transbank!$L$2:$L$472)+(K9+O9)+(L9+P9)*EERR!$D$2</f>
        <v>411929.69999999995</v>
      </c>
      <c r="Y9" s="250">
        <f>X9/EERR!$D$2</f>
        <v>577.57950084127867</v>
      </c>
      <c r="Z9" s="260">
        <f t="shared" si="2"/>
        <v>-5292.3000000000466</v>
      </c>
      <c r="AB9" s="132">
        <v>1279844007</v>
      </c>
      <c r="AC9" s="327">
        <v>43705</v>
      </c>
      <c r="AD9" s="327">
        <v>43711</v>
      </c>
      <c r="AE9" s="132" t="s">
        <v>656</v>
      </c>
      <c r="AF9" s="132">
        <v>1320</v>
      </c>
      <c r="AG9" s="132">
        <v>6</v>
      </c>
    </row>
    <row r="10" spans="1:33" s="132" customFormat="1" ht="15" customHeight="1" x14ac:dyDescent="0.25">
      <c r="A10" s="243">
        <v>4037</v>
      </c>
      <c r="B10" s="276">
        <v>1541</v>
      </c>
      <c r="C10" s="276">
        <v>1583</v>
      </c>
      <c r="D10" s="276"/>
      <c r="E10" s="244" t="s">
        <v>735</v>
      </c>
      <c r="F10" s="244" t="s">
        <v>232</v>
      </c>
      <c r="G10" s="244">
        <v>3597499300</v>
      </c>
      <c r="H10" s="245">
        <v>43683</v>
      </c>
      <c r="I10" s="245">
        <v>43687</v>
      </c>
      <c r="J10" s="244">
        <v>4</v>
      </c>
      <c r="K10" s="246"/>
      <c r="L10" s="247"/>
      <c r="M10" s="246"/>
      <c r="N10" s="246">
        <v>585</v>
      </c>
      <c r="O10" s="246"/>
      <c r="P10" s="246"/>
      <c r="Q10" s="246"/>
      <c r="R10" s="246">
        <v>195</v>
      </c>
      <c r="S10" s="137">
        <f t="shared" si="3"/>
        <v>780</v>
      </c>
      <c r="T10" s="137">
        <f t="shared" si="4"/>
        <v>0</v>
      </c>
      <c r="U10" s="135">
        <f>IF(J10=0,(S10+T10/EERR!$D$2/1.19),(S10+T10/EERR!$D$2/1.19)/J10)</f>
        <v>195</v>
      </c>
      <c r="V10" s="137">
        <f>T10+S10*EERR!$D$2</f>
        <v>556296</v>
      </c>
      <c r="W10" s="132">
        <f ca="1">SUMIF(Siteminder!$A$5:$J$164,Ago!G10,Siteminder!$M$5:$M$164)</f>
        <v>4</v>
      </c>
      <c r="X10" s="250">
        <f>SUMIF(Transbank!$A$2:$A$472,B10,Transbank!$L$2:$L$472)+SUMIF(Transbank!$A$2:$A$472,C10,Transbank!$L$2:$L$472)+SUMIF(Transbank!$A$2:$A$472,D10,Transbank!$L$2:$L$472)+(K10+O10)+(L10+P10)*EERR!$D$2</f>
        <v>551003.69999999995</v>
      </c>
      <c r="Y10" s="250">
        <f>X10/EERR!$D$2</f>
        <v>772.57950084127867</v>
      </c>
      <c r="Z10" s="260">
        <f t="shared" si="2"/>
        <v>-5292.3000000000466</v>
      </c>
      <c r="AC10" s="327"/>
      <c r="AD10" s="327"/>
      <c r="AF10" s="132">
        <v>195</v>
      </c>
      <c r="AG10" s="132">
        <v>1</v>
      </c>
    </row>
    <row r="11" spans="1:33" s="132" customFormat="1" ht="15" customHeight="1" x14ac:dyDescent="0.25">
      <c r="A11" s="243">
        <v>4039</v>
      </c>
      <c r="B11" s="276">
        <v>1494</v>
      </c>
      <c r="C11" s="276">
        <v>1584</v>
      </c>
      <c r="D11" s="276"/>
      <c r="E11" s="244" t="s">
        <v>718</v>
      </c>
      <c r="F11" s="244" t="s">
        <v>232</v>
      </c>
      <c r="G11" s="244">
        <v>1786870662</v>
      </c>
      <c r="H11" s="245">
        <v>43683</v>
      </c>
      <c r="I11" s="245">
        <v>43685</v>
      </c>
      <c r="J11" s="244">
        <v>2</v>
      </c>
      <c r="K11" s="246"/>
      <c r="L11" s="247"/>
      <c r="M11" s="246"/>
      <c r="N11" s="246">
        <v>205</v>
      </c>
      <c r="O11" s="246"/>
      <c r="P11" s="246"/>
      <c r="Q11" s="246"/>
      <c r="R11" s="246">
        <v>205</v>
      </c>
      <c r="S11" s="137">
        <f t="shared" si="3"/>
        <v>410</v>
      </c>
      <c r="T11" s="137">
        <f t="shared" si="4"/>
        <v>0</v>
      </c>
      <c r="U11" s="135">
        <f>IF(J11=0,(S11+T11/EERR!$D$2/1.19),(S11+T11/EERR!$D$2/1.19)/J11)</f>
        <v>205</v>
      </c>
      <c r="V11" s="137">
        <f>T11+S11*EERR!$D$2</f>
        <v>292412</v>
      </c>
      <c r="W11" s="132">
        <f ca="1">SUMIF(Siteminder!$A$5:$J$164,Ago!G11,Siteminder!$M$5:$M$164)</f>
        <v>2</v>
      </c>
      <c r="X11" s="250">
        <f>SUMIF(Transbank!$A$2:$A$472,B11,Transbank!$L$2:$L$472)+SUMIF(Transbank!$A$2:$A$472,C11,Transbank!$L$2:$L$472)+SUMIF(Transbank!$A$2:$A$472,D11,Transbank!$L$2:$L$472)+(K11+O11)+(L11+P11)*EERR!$D$2</f>
        <v>286848.3</v>
      </c>
      <c r="Y11" s="250">
        <f>X11/EERR!$D$2</f>
        <v>402.19896242288274</v>
      </c>
      <c r="Z11" s="260"/>
      <c r="AB11" s="132">
        <v>1305097443</v>
      </c>
      <c r="AC11" s="327">
        <v>43678</v>
      </c>
      <c r="AD11" s="327">
        <v>43679</v>
      </c>
      <c r="AE11" s="132" t="s">
        <v>659</v>
      </c>
      <c r="AF11" s="132">
        <v>195</v>
      </c>
      <c r="AG11" s="132">
        <v>1</v>
      </c>
    </row>
    <row r="12" spans="1:33" s="132" customFormat="1" ht="15" customHeight="1" x14ac:dyDescent="0.25">
      <c r="A12" s="243">
        <v>4041</v>
      </c>
      <c r="B12" s="276">
        <v>1588</v>
      </c>
      <c r="C12" s="276"/>
      <c r="D12" s="276"/>
      <c r="E12" s="244" t="s">
        <v>720</v>
      </c>
      <c r="F12" s="244" t="s">
        <v>232</v>
      </c>
      <c r="G12" s="244">
        <v>2305614267</v>
      </c>
      <c r="H12" s="245">
        <v>43684</v>
      </c>
      <c r="I12" s="245">
        <v>43686</v>
      </c>
      <c r="J12" s="244">
        <v>4</v>
      </c>
      <c r="K12" s="246"/>
      <c r="L12" s="247"/>
      <c r="M12" s="246"/>
      <c r="N12" s="246">
        <v>780</v>
      </c>
      <c r="O12" s="246"/>
      <c r="P12" s="246"/>
      <c r="Q12" s="246"/>
      <c r="R12" s="246"/>
      <c r="S12" s="137">
        <f t="shared" si="3"/>
        <v>780</v>
      </c>
      <c r="T12" s="137">
        <f t="shared" si="4"/>
        <v>0</v>
      </c>
      <c r="U12" s="135">
        <f>IF(J12=0,(S12+T12/EERR!$D$2/1.19),(S12+T12/EERR!$D$2/1.19)/J12)</f>
        <v>195</v>
      </c>
      <c r="V12" s="137">
        <f>T12+S12*EERR!$D$2</f>
        <v>556296</v>
      </c>
      <c r="W12" s="132">
        <f ca="1">SUMIF(Siteminder!$A$5:$J$164,Ago!G12,Siteminder!$M$5:$M$164)</f>
        <v>4</v>
      </c>
      <c r="X12" s="250">
        <f>SUMIF(Transbank!$A$2:$A$472,B12,Transbank!$L$2:$L$472)+SUMIF(Transbank!$A$2:$A$472,C12,Transbank!$L$2:$L$472)+SUMIF(Transbank!$A$2:$A$472,D12,Transbank!$L$2:$L$472)+(K12+O12)+(L12+P12)*EERR!$D$2</f>
        <v>556296</v>
      </c>
      <c r="Y12" s="250">
        <f>X12/EERR!$D$2</f>
        <v>780</v>
      </c>
      <c r="Z12" s="260"/>
      <c r="AC12" s="327"/>
      <c r="AD12" s="327"/>
    </row>
    <row r="13" spans="1:33" s="132" customFormat="1" ht="15" customHeight="1" x14ac:dyDescent="0.25">
      <c r="A13" s="243">
        <v>65969</v>
      </c>
      <c r="B13" s="276">
        <v>1502</v>
      </c>
      <c r="C13" s="276">
        <v>1603</v>
      </c>
      <c r="D13" s="276"/>
      <c r="E13" s="244" t="s">
        <v>726</v>
      </c>
      <c r="F13" s="244" t="s">
        <v>232</v>
      </c>
      <c r="G13" s="244">
        <v>2831165969</v>
      </c>
      <c r="H13" s="245">
        <v>43685</v>
      </c>
      <c r="I13" s="245">
        <v>43688</v>
      </c>
      <c r="J13" s="244">
        <v>3</v>
      </c>
      <c r="K13" s="246"/>
      <c r="L13" s="247"/>
      <c r="M13" s="246">
        <v>374897</v>
      </c>
      <c r="N13" s="246"/>
      <c r="O13" s="246"/>
      <c r="P13" s="246"/>
      <c r="Q13" s="246">
        <v>180380</v>
      </c>
      <c r="R13" s="246"/>
      <c r="S13" s="137">
        <f t="shared" si="3"/>
        <v>0</v>
      </c>
      <c r="T13" s="137">
        <f t="shared" si="4"/>
        <v>555277</v>
      </c>
      <c r="U13" s="135">
        <f>IF(J13=0,(S13+T13/EERR!$D$2/1.19),(S13+T13/EERR!$D$2/1.19)/J13)</f>
        <v>218.0871787862649</v>
      </c>
      <c r="V13" s="137">
        <f>T13+S13*EERR!$D$2</f>
        <v>555277</v>
      </c>
      <c r="W13" s="132">
        <f ca="1">SUMIF(Siteminder!$A$5:$J$164,Ago!G13,Siteminder!$M$5:$M$164)</f>
        <v>3</v>
      </c>
      <c r="X13" s="250">
        <f>SUMIF(Transbank!$A$2:$A$472,B13,Transbank!$L$2:$L$472)+SUMIF(Transbank!$A$2:$A$472,C13,Transbank!$L$2:$L$472)+SUMIF(Transbank!$A$2:$A$472,D13,Transbank!$L$2:$L$472)+(K13+O13)+(L13+P13)*EERR!$D$2</f>
        <v>555277</v>
      </c>
      <c r="Y13" s="250">
        <f>X13/EERR!$D$2</f>
        <v>778.5712282669657</v>
      </c>
      <c r="Z13" s="260">
        <f t="shared" si="2"/>
        <v>0</v>
      </c>
      <c r="AC13" s="327"/>
      <c r="AD13" s="327"/>
    </row>
    <row r="14" spans="1:33" s="132" customFormat="1" ht="15" customHeight="1" x14ac:dyDescent="0.25">
      <c r="A14" s="243">
        <v>4043</v>
      </c>
      <c r="B14" s="276">
        <v>1505</v>
      </c>
      <c r="C14" s="276">
        <v>1593</v>
      </c>
      <c r="D14" s="276"/>
      <c r="E14" s="244" t="s">
        <v>708</v>
      </c>
      <c r="F14" s="244" t="s">
        <v>232</v>
      </c>
      <c r="G14" s="244">
        <v>1008873184</v>
      </c>
      <c r="H14" s="245">
        <v>43686</v>
      </c>
      <c r="I14" s="245">
        <v>43690</v>
      </c>
      <c r="J14" s="244">
        <v>4</v>
      </c>
      <c r="K14" s="246"/>
      <c r="L14" s="247"/>
      <c r="M14" s="246"/>
      <c r="N14" s="246">
        <v>615</v>
      </c>
      <c r="O14" s="246"/>
      <c r="P14" s="246"/>
      <c r="Q14" s="246"/>
      <c r="R14" s="246">
        <v>205</v>
      </c>
      <c r="S14" s="137">
        <f t="shared" si="3"/>
        <v>820</v>
      </c>
      <c r="T14" s="137">
        <f t="shared" si="4"/>
        <v>0</v>
      </c>
      <c r="U14" s="135">
        <f>IF(J14=0,(S14+T14/EERR!$D$2/1.19),(S14+T14/EERR!$D$2/1.19)/J14)</f>
        <v>205</v>
      </c>
      <c r="V14" s="137">
        <f>T14+S14*EERR!$D$2</f>
        <v>584824</v>
      </c>
      <c r="W14" s="132">
        <f ca="1">SUMIF(Siteminder!$A$5:$J$164,Ago!G14,Siteminder!$M$5:$M$164)</f>
        <v>4</v>
      </c>
      <c r="X14" s="250">
        <f>SUMIF(Transbank!$A$2:$A$472,B14,Transbank!$L$2:$L$472)+SUMIF(Transbank!$A$2:$A$472,C14,Transbank!$L$2:$L$472)+SUMIF(Transbank!$A$2:$A$472,D14,Transbank!$L$2:$L$472)+(K14+O14)+(L14+P14)*EERR!$D$2</f>
        <v>579260.30000000005</v>
      </c>
      <c r="Y14" s="250">
        <f>X14/EERR!$D$2</f>
        <v>812.1989624228828</v>
      </c>
      <c r="Z14" s="260"/>
      <c r="AC14" s="327"/>
      <c r="AD14" s="327"/>
    </row>
    <row r="15" spans="1:33" s="132" customFormat="1" ht="15" customHeight="1" x14ac:dyDescent="0.25">
      <c r="A15" s="243">
        <v>4044</v>
      </c>
      <c r="B15" s="276">
        <v>1504</v>
      </c>
      <c r="C15" s="276"/>
      <c r="D15" s="276"/>
      <c r="E15" s="244" t="s">
        <v>716</v>
      </c>
      <c r="F15" s="244" t="s">
        <v>232</v>
      </c>
      <c r="G15" s="244">
        <v>3065413635</v>
      </c>
      <c r="H15" s="245">
        <v>43686</v>
      </c>
      <c r="I15" s="245">
        <v>43687</v>
      </c>
      <c r="J15" s="244">
        <v>1</v>
      </c>
      <c r="K15" s="246"/>
      <c r="L15" s="247"/>
      <c r="M15" s="246"/>
      <c r="N15" s="246"/>
      <c r="O15" s="246"/>
      <c r="P15" s="246"/>
      <c r="Q15" s="246"/>
      <c r="R15" s="246">
        <v>220</v>
      </c>
      <c r="S15" s="137">
        <f t="shared" si="3"/>
        <v>220</v>
      </c>
      <c r="T15" s="137">
        <f t="shared" si="4"/>
        <v>0</v>
      </c>
      <c r="U15" s="135">
        <f>IF(J15=0,(S15+T15/EERR!$D$2/1.19),(S15+T15/EERR!$D$2/1.19)/J15)</f>
        <v>220</v>
      </c>
      <c r="V15" s="137">
        <f>T15+S15*EERR!$D$2</f>
        <v>156904</v>
      </c>
      <c r="W15" s="132">
        <f ca="1">SUMIF(Siteminder!$A$5:$J$164,Ago!G15,Siteminder!$M$5:$M$164)</f>
        <v>1</v>
      </c>
      <c r="X15" s="250">
        <f>SUMIF(Transbank!$A$2:$A$472,B15,Transbank!$L$2:$L$472)+SUMIF(Transbank!$A$2:$A$472,C15,Transbank!$L$2:$L$472)+SUMIF(Transbank!$A$2:$A$472,D15,Transbank!$L$2:$L$472)+(K15+O15)+(L15+P15)*EERR!$D$2</f>
        <v>150933.19999999998</v>
      </c>
      <c r="Y15" s="250">
        <f>X15/EERR!$D$2</f>
        <v>211.62815479528879</v>
      </c>
      <c r="Z15" s="260">
        <f t="shared" si="2"/>
        <v>-5970.8000000000175</v>
      </c>
    </row>
    <row r="16" spans="1:33" s="132" customFormat="1" ht="15" customHeight="1" x14ac:dyDescent="0.25">
      <c r="A16" s="243">
        <v>23396</v>
      </c>
      <c r="B16" s="276">
        <v>1503</v>
      </c>
      <c r="C16" s="276">
        <v>1594</v>
      </c>
      <c r="D16" s="276"/>
      <c r="E16" s="244" t="s">
        <v>734</v>
      </c>
      <c r="F16" s="244" t="s">
        <v>232</v>
      </c>
      <c r="G16" s="244">
        <v>3572923396</v>
      </c>
      <c r="H16" s="245">
        <v>43686</v>
      </c>
      <c r="I16" s="245">
        <v>43689</v>
      </c>
      <c r="J16" s="244">
        <v>3</v>
      </c>
      <c r="K16" s="246"/>
      <c r="L16" s="247"/>
      <c r="M16" s="246">
        <v>375944</v>
      </c>
      <c r="N16" s="246"/>
      <c r="O16" s="246"/>
      <c r="P16" s="246"/>
      <c r="Q16" s="246">
        <v>179333</v>
      </c>
      <c r="R16" s="246"/>
      <c r="S16" s="137">
        <f t="shared" si="3"/>
        <v>0</v>
      </c>
      <c r="T16" s="137">
        <f t="shared" si="4"/>
        <v>555277</v>
      </c>
      <c r="U16" s="135">
        <f>IF(J16=0,(S16+T16/EERR!$D$2/1.19),(S16+T16/EERR!$D$2/1.19)/J16)</f>
        <v>218.0871787862649</v>
      </c>
      <c r="V16" s="137">
        <f>T16+S16*EERR!$D$2</f>
        <v>555277</v>
      </c>
      <c r="W16" s="132">
        <f ca="1">SUMIF(Siteminder!$A$5:$J$164,Ago!G16,Siteminder!$M$5:$M$164)</f>
        <v>3</v>
      </c>
      <c r="X16" s="250">
        <f>SUMIF(Transbank!$A$2:$A$472,B16,Transbank!$L$2:$L$472)+SUMIF(Transbank!$A$2:$A$472,C16,Transbank!$L$2:$L$472)+SUMIF(Transbank!$A$2:$A$472,D16,Transbank!$L$2:$L$472)+(K16+O16)+(L16+P16)*EERR!$D$2</f>
        <v>555277</v>
      </c>
      <c r="Y16" s="250">
        <f>X16/EERR!$D$2</f>
        <v>778.5712282669657</v>
      </c>
      <c r="Z16" s="260">
        <f t="shared" si="2"/>
        <v>0</v>
      </c>
    </row>
    <row r="17" spans="1:26" s="132" customFormat="1" ht="15" customHeight="1" x14ac:dyDescent="0.25">
      <c r="A17" s="243">
        <v>4046</v>
      </c>
      <c r="B17" s="276">
        <v>1573</v>
      </c>
      <c r="C17" s="276"/>
      <c r="D17" s="276"/>
      <c r="E17" s="244" t="s">
        <v>648</v>
      </c>
      <c r="F17" s="244" t="s">
        <v>232</v>
      </c>
      <c r="G17" s="244">
        <v>3502032801</v>
      </c>
      <c r="H17" s="245">
        <v>43688</v>
      </c>
      <c r="I17" s="245">
        <v>43692</v>
      </c>
      <c r="J17" s="244">
        <v>8</v>
      </c>
      <c r="K17" s="246"/>
      <c r="L17" s="247">
        <v>1455</v>
      </c>
      <c r="M17" s="246"/>
      <c r="N17" s="246"/>
      <c r="O17" s="246"/>
      <c r="P17" s="246"/>
      <c r="Q17" s="246"/>
      <c r="R17" s="246">
        <v>195</v>
      </c>
      <c r="S17" s="137">
        <f t="shared" si="3"/>
        <v>1650</v>
      </c>
      <c r="T17" s="137">
        <f t="shared" si="4"/>
        <v>0</v>
      </c>
      <c r="U17" s="135">
        <f>IF(J17=0,(S17+T17/EERR!$D$2/1.19),(S17+T17/EERR!$D$2/1.19)/J17)</f>
        <v>206.25</v>
      </c>
      <c r="V17" s="137">
        <f>T17+S17*EERR!$D$2</f>
        <v>1176780</v>
      </c>
      <c r="W17" s="132">
        <f ca="1">SUMIF(Siteminder!$A$5:$J$164,Ago!G17,Siteminder!$M$5:$M$164)</f>
        <v>8</v>
      </c>
      <c r="X17" s="250">
        <f>SUMIF(Transbank!$A$2:$A$472,B17,Transbank!$L$2:$L$472)+SUMIF(Transbank!$A$2:$A$472,C17,Transbank!$L$2:$L$472)+SUMIF(Transbank!$A$2:$A$472,D17,Transbank!$L$2:$L$472)+(K17+O17)+(L17+P17)*EERR!$D$2</f>
        <v>1176780</v>
      </c>
      <c r="Y17" s="250">
        <f>X17/EERR!$D$2</f>
        <v>1650</v>
      </c>
      <c r="Z17" s="260">
        <f t="shared" si="2"/>
        <v>0</v>
      </c>
    </row>
    <row r="18" spans="1:26" s="132" customFormat="1" ht="15" customHeight="1" x14ac:dyDescent="0.25">
      <c r="A18" s="243">
        <v>4051</v>
      </c>
      <c r="B18" s="276">
        <v>1513</v>
      </c>
      <c r="C18" s="276">
        <v>1606</v>
      </c>
      <c r="D18" s="276"/>
      <c r="E18" s="244" t="s">
        <v>717</v>
      </c>
      <c r="F18" s="244" t="s">
        <v>232</v>
      </c>
      <c r="G18" s="244">
        <v>1668137141</v>
      </c>
      <c r="H18" s="245">
        <v>43689</v>
      </c>
      <c r="I18" s="245">
        <v>43691</v>
      </c>
      <c r="J18" s="244">
        <v>2</v>
      </c>
      <c r="K18" s="246"/>
      <c r="L18" s="247"/>
      <c r="M18" s="246"/>
      <c r="N18" s="246">
        <v>205</v>
      </c>
      <c r="O18" s="246"/>
      <c r="P18" s="246"/>
      <c r="Q18" s="246"/>
      <c r="R18" s="246">
        <v>205</v>
      </c>
      <c r="S18" s="137">
        <f t="shared" si="3"/>
        <v>410</v>
      </c>
      <c r="T18" s="137">
        <f t="shared" si="4"/>
        <v>0</v>
      </c>
      <c r="U18" s="135">
        <f>IF(J18=0,(S18+T18/EERR!$D$2/1.19),(S18+T18/EERR!$D$2/1.19)/J18)</f>
        <v>205</v>
      </c>
      <c r="V18" s="137">
        <f>T18+S18*EERR!$D$2</f>
        <v>292412</v>
      </c>
      <c r="W18" s="132">
        <f ca="1">SUMIF(Siteminder!$A$5:$J$164,Ago!G18,Siteminder!$M$5:$M$164)</f>
        <v>2</v>
      </c>
      <c r="X18" s="250">
        <f>SUMIF(Transbank!$A$2:$A$472,B18,Transbank!$L$2:$L$472)+SUMIF(Transbank!$A$2:$A$472,C18,Transbank!$L$2:$L$472)+SUMIF(Transbank!$A$2:$A$472,D18,Transbank!$L$2:$L$472)+(K18+O18)+(L18+P18)*EERR!$D$2</f>
        <v>286848.3</v>
      </c>
      <c r="Y18" s="250">
        <f>X18/EERR!$D$2</f>
        <v>402.19896242288274</v>
      </c>
      <c r="Z18" s="260">
        <f t="shared" si="2"/>
        <v>-5563.7000000000116</v>
      </c>
    </row>
    <row r="19" spans="1:26" s="132" customFormat="1" ht="15" customHeight="1" x14ac:dyDescent="0.25">
      <c r="A19" s="243">
        <v>4052</v>
      </c>
      <c r="B19" s="276">
        <v>1518</v>
      </c>
      <c r="C19" s="276">
        <v>1607</v>
      </c>
      <c r="D19" s="276"/>
      <c r="E19" s="244" t="s">
        <v>728</v>
      </c>
      <c r="F19" s="244" t="s">
        <v>232</v>
      </c>
      <c r="G19" s="244">
        <v>2959024502</v>
      </c>
      <c r="H19" s="245">
        <v>43690</v>
      </c>
      <c r="I19" s="245">
        <v>43695</v>
      </c>
      <c r="J19" s="244">
        <v>5</v>
      </c>
      <c r="K19" s="246"/>
      <c r="L19" s="247"/>
      <c r="M19" s="275"/>
      <c r="N19" s="275">
        <v>960</v>
      </c>
      <c r="O19" s="275"/>
      <c r="P19" s="275"/>
      <c r="Q19" s="275"/>
      <c r="R19" s="275">
        <v>220</v>
      </c>
      <c r="S19" s="137">
        <f t="shared" si="3"/>
        <v>1180</v>
      </c>
      <c r="T19" s="137">
        <f t="shared" si="4"/>
        <v>0</v>
      </c>
      <c r="U19" s="135">
        <f>IF(J19=0,(S19+T19/EERR!$D$2/1.19),(S19+T19/EERR!$D$2/1.19)/J19)</f>
        <v>236</v>
      </c>
      <c r="V19" s="137">
        <f>T19+S19*EERR!$D$2</f>
        <v>841576</v>
      </c>
      <c r="W19" s="132">
        <f ca="1">SUMIF(Siteminder!$A$5:$J$164,Ago!G19,Siteminder!$M$5:$M$164)</f>
        <v>5</v>
      </c>
      <c r="X19" s="250">
        <f>SUMIF(Transbank!$A$2:$A$472,B19,Transbank!$L$2:$L$472)+SUMIF(Transbank!$A$2:$A$472,C19,Transbank!$L$2:$L$472)+SUMIF(Transbank!$A$2:$A$472,D19,Transbank!$L$2:$L$472)+(K19+O19)+(L19+P19)*EERR!$D$2</f>
        <v>835605.2</v>
      </c>
      <c r="Y19" s="250">
        <f>X19/EERR!$D$2</f>
        <v>1171.6281547952888</v>
      </c>
      <c r="Z19" s="260">
        <f t="shared" si="2"/>
        <v>-5970.8000000000466</v>
      </c>
    </row>
    <row r="20" spans="1:26" s="132" customFormat="1" ht="15" customHeight="1" x14ac:dyDescent="0.25">
      <c r="A20" s="243">
        <v>34032</v>
      </c>
      <c r="B20" s="276">
        <v>1613</v>
      </c>
      <c r="C20" s="276">
        <v>1628</v>
      </c>
      <c r="D20" s="276">
        <v>1629</v>
      </c>
      <c r="E20" s="244" t="s">
        <v>741</v>
      </c>
      <c r="F20" s="244" t="s">
        <v>232</v>
      </c>
      <c r="G20" s="244">
        <v>3969934032</v>
      </c>
      <c r="H20" s="245">
        <v>43691</v>
      </c>
      <c r="I20" s="245">
        <v>43695</v>
      </c>
      <c r="J20" s="244">
        <v>4</v>
      </c>
      <c r="K20" s="246"/>
      <c r="L20" s="247"/>
      <c r="M20" s="246"/>
      <c r="N20" s="246"/>
      <c r="O20" s="246">
        <v>196493</v>
      </c>
      <c r="P20" s="246"/>
      <c r="Q20" s="246">
        <v>614325</v>
      </c>
      <c r="R20" s="246"/>
      <c r="S20" s="137">
        <f t="shared" si="3"/>
        <v>0</v>
      </c>
      <c r="T20" s="137">
        <f t="shared" si="4"/>
        <v>810818</v>
      </c>
      <c r="U20" s="135">
        <f>IF(J20=0,(S20+T20/EERR!$D$2/1.19),(S20+T20/EERR!$D$2/1.19)/J20)</f>
        <v>238.83891750755265</v>
      </c>
      <c r="V20" s="137">
        <f>T20+S20*EERR!$D$2</f>
        <v>810818</v>
      </c>
      <c r="W20" s="132">
        <f ca="1">SUMIF(Siteminder!$A$5:$J$164,Ago!G20,Siteminder!$M$5:$M$164)</f>
        <v>4</v>
      </c>
      <c r="X20" s="250">
        <f>SUMIF(Transbank!$A$2:$A$472,B20,Transbank!$L$2:$L$472)+SUMIF(Transbank!$A$2:$A$472,C20,Transbank!$L$2:$L$472)+SUMIF(Transbank!$A$2:$A$472,D20,Transbank!$L$2:$L$472)+(K20+O20)+(L20+P20)*EERR!$D$2</f>
        <v>810818</v>
      </c>
      <c r="Y20" s="250">
        <f>X20/EERR!$D$2</f>
        <v>1136.8732473359505</v>
      </c>
      <c r="Z20" s="260">
        <f t="shared" si="2"/>
        <v>0</v>
      </c>
    </row>
    <row r="21" spans="1:26" s="132" customFormat="1" ht="15" customHeight="1" x14ac:dyDescent="0.25">
      <c r="A21" s="243">
        <v>4055</v>
      </c>
      <c r="B21" s="276">
        <v>1524</v>
      </c>
      <c r="C21" s="276">
        <v>1612</v>
      </c>
      <c r="D21" s="276"/>
      <c r="E21" s="244" t="s">
        <v>721</v>
      </c>
      <c r="F21" s="244" t="s">
        <v>232</v>
      </c>
      <c r="G21" s="244">
        <v>2323270127</v>
      </c>
      <c r="H21" s="245">
        <v>43692</v>
      </c>
      <c r="I21" s="245">
        <v>43696</v>
      </c>
      <c r="J21" s="244">
        <v>4</v>
      </c>
      <c r="K21" s="246"/>
      <c r="L21" s="247"/>
      <c r="M21" s="275"/>
      <c r="N21" s="275">
        <v>675</v>
      </c>
      <c r="O21" s="275"/>
      <c r="P21" s="275"/>
      <c r="Q21" s="275"/>
      <c r="R21" s="275">
        <v>240</v>
      </c>
      <c r="S21" s="137">
        <f t="shared" si="3"/>
        <v>915</v>
      </c>
      <c r="T21" s="137">
        <f t="shared" si="4"/>
        <v>0</v>
      </c>
      <c r="U21" s="135">
        <f>IF(J21=0,(S21+T21/EERR!$D$2/1.19),(S21+T21/EERR!$D$2/1.19)/J21)</f>
        <v>228.75</v>
      </c>
      <c r="V21" s="137">
        <f>T21+S21*EERR!$D$2</f>
        <v>652578</v>
      </c>
      <c r="W21" s="132">
        <f ca="1">SUMIF(Siteminder!$A$5:$J$164,Ago!G21,Siteminder!$M$5:$M$164)</f>
        <v>4</v>
      </c>
      <c r="X21" s="250">
        <f>SUMIF(Transbank!$A$2:$A$472,B21,Transbank!$L$2:$L$472)+SUMIF(Transbank!$A$2:$A$472,C21,Transbank!$L$2:$L$472)+SUMIF(Transbank!$A$2:$A$472,D21,Transbank!$L$2:$L$472)+(K21+O21)+(L21+P21)*EERR!$D$2</f>
        <v>646064.4</v>
      </c>
      <c r="Y21" s="250">
        <f>X21/EERR!$D$2</f>
        <v>905.86707795849691</v>
      </c>
      <c r="Z21" s="260">
        <f t="shared" si="2"/>
        <v>-6513.5999999999767</v>
      </c>
    </row>
    <row r="22" spans="1:26" s="132" customFormat="1" ht="15" customHeight="1" x14ac:dyDescent="0.25">
      <c r="A22" s="243">
        <v>48152</v>
      </c>
      <c r="B22" s="276">
        <v>1525</v>
      </c>
      <c r="C22" s="276">
        <v>1625</v>
      </c>
      <c r="D22" s="276"/>
      <c r="E22" s="244" t="s">
        <v>706</v>
      </c>
      <c r="F22" s="244" t="s">
        <v>232</v>
      </c>
      <c r="G22" s="244">
        <v>2749948152</v>
      </c>
      <c r="H22" s="245">
        <v>43692</v>
      </c>
      <c r="I22" s="245">
        <v>43695</v>
      </c>
      <c r="J22" s="244">
        <v>3</v>
      </c>
      <c r="K22" s="246"/>
      <c r="L22" s="247"/>
      <c r="M22" s="246">
        <v>404409</v>
      </c>
      <c r="N22" s="246"/>
      <c r="O22" s="246"/>
      <c r="P22" s="246"/>
      <c r="Q22" s="246">
        <v>193922</v>
      </c>
      <c r="R22" s="246"/>
      <c r="S22" s="137">
        <f t="shared" si="3"/>
        <v>0</v>
      </c>
      <c r="T22" s="137">
        <f t="shared" si="4"/>
        <v>598331</v>
      </c>
      <c r="U22" s="135">
        <f>IF(J22=0,(S22+T22/EERR!$D$2/1.19),(S22+T22/EERR!$D$2/1.19)/J22)</f>
        <v>234.99680298367244</v>
      </c>
      <c r="V22" s="137">
        <f>T22+S22*EERR!$D$2</f>
        <v>598331</v>
      </c>
      <c r="W22" s="132">
        <f ca="1">SUMIF(Siteminder!$A$5:$J$164,Ago!G22,Siteminder!$M$5:$M$164)</f>
        <v>3</v>
      </c>
      <c r="X22" s="250">
        <f>SUMIF(Transbank!$A$2:$A$472,B22,Transbank!$L$2:$L$472)+SUMIF(Transbank!$A$2:$A$472,C22,Transbank!$L$2:$L$472)+SUMIF(Transbank!$A$2:$A$472,D22,Transbank!$L$2:$L$472)+(K22+O22)+(L22+P22)*EERR!$D$2</f>
        <v>598331</v>
      </c>
      <c r="Y22" s="250">
        <f>X22/EERR!$D$2</f>
        <v>838.93858665171058</v>
      </c>
      <c r="Z22" s="260">
        <f t="shared" si="2"/>
        <v>0</v>
      </c>
    </row>
    <row r="23" spans="1:26" s="132" customFormat="1" ht="15" customHeight="1" x14ac:dyDescent="0.25">
      <c r="A23" s="243">
        <v>4059</v>
      </c>
      <c r="B23" s="276">
        <v>1534</v>
      </c>
      <c r="C23" s="276">
        <v>1633</v>
      </c>
      <c r="D23" s="276"/>
      <c r="E23" s="244" t="s">
        <v>729</v>
      </c>
      <c r="F23" s="244" t="s">
        <v>232</v>
      </c>
      <c r="G23" s="244">
        <v>2961000431</v>
      </c>
      <c r="H23" s="245">
        <v>43693</v>
      </c>
      <c r="I23" s="245">
        <v>43696</v>
      </c>
      <c r="J23" s="244">
        <v>6</v>
      </c>
      <c r="K23" s="246"/>
      <c r="L23" s="247"/>
      <c r="M23" s="275"/>
      <c r="N23" s="275">
        <v>870</v>
      </c>
      <c r="O23" s="275"/>
      <c r="P23" s="275"/>
      <c r="Q23" s="275"/>
      <c r="R23" s="275">
        <v>480</v>
      </c>
      <c r="S23" s="137">
        <f t="shared" si="3"/>
        <v>1350</v>
      </c>
      <c r="T23" s="137">
        <f t="shared" si="4"/>
        <v>0</v>
      </c>
      <c r="U23" s="135">
        <f>IF(J23=0,(S23+T23/EERR!$D$2/1.19),(S23+T23/EERR!$D$2/1.19)/J23)</f>
        <v>225</v>
      </c>
      <c r="V23" s="137">
        <f>T23+S23*EERR!$D$2</f>
        <v>962820.00000000012</v>
      </c>
      <c r="W23" s="132">
        <f ca="1">SUMIF(Siteminder!$A$5:$J$164,Ago!G23,Siteminder!$M$5:$M$164)</f>
        <v>6</v>
      </c>
      <c r="X23" s="250">
        <f>SUMIF(Transbank!$A$2:$A$472,B23,Transbank!$L$2:$L$472)+SUMIF(Transbank!$A$2:$A$472,C23,Transbank!$L$2:$L$472)+SUMIF(Transbank!$A$2:$A$472,D23,Transbank!$L$2:$L$472)+(K23+O23)+(L23+P23)*EERR!$D$2</f>
        <v>949792.8</v>
      </c>
      <c r="Y23" s="250">
        <f>X23/EERR!$D$2</f>
        <v>1331.7341559169938</v>
      </c>
      <c r="Z23" s="260">
        <f t="shared" si="2"/>
        <v>-13027.20000000007</v>
      </c>
    </row>
    <row r="24" spans="1:26" s="132" customFormat="1" ht="15" customHeight="1" x14ac:dyDescent="0.25">
      <c r="A24" s="243">
        <v>4056</v>
      </c>
      <c r="B24" s="276">
        <v>1533</v>
      </c>
      <c r="C24" s="276">
        <v>1623</v>
      </c>
      <c r="D24" s="276"/>
      <c r="E24" s="244" t="s">
        <v>674</v>
      </c>
      <c r="F24" s="244" t="s">
        <v>232</v>
      </c>
      <c r="G24" s="244">
        <v>2748037349</v>
      </c>
      <c r="H24" s="245">
        <v>43694</v>
      </c>
      <c r="I24" s="245">
        <v>43699</v>
      </c>
      <c r="J24" s="244">
        <v>5</v>
      </c>
      <c r="K24" s="246"/>
      <c r="L24" s="247"/>
      <c r="M24" s="246"/>
      <c r="N24" s="246">
        <v>920</v>
      </c>
      <c r="O24" s="246"/>
      <c r="P24" s="246"/>
      <c r="Q24" s="246"/>
      <c r="R24" s="246">
        <v>240</v>
      </c>
      <c r="S24" s="137">
        <f t="shared" si="3"/>
        <v>1160</v>
      </c>
      <c r="T24" s="137">
        <f t="shared" si="4"/>
        <v>0</v>
      </c>
      <c r="U24" s="135">
        <f>IF(J24=0,(S24+T24/EERR!$D$2/1.19),(S24+T24/EERR!$D$2/1.19)/J24)</f>
        <v>232</v>
      </c>
      <c r="V24" s="137">
        <f>T24+S24*EERR!$D$2</f>
        <v>827312</v>
      </c>
      <c r="W24" s="132">
        <f ca="1">SUMIF(Siteminder!$A$5:$J$164,Ago!G24,Siteminder!$M$5:$M$164)</f>
        <v>5</v>
      </c>
      <c r="X24" s="250">
        <f>SUMIF(Transbank!$A$2:$A$472,B24,Transbank!$L$2:$L$472)+SUMIF(Transbank!$A$2:$A$472,C24,Transbank!$L$2:$L$472)+SUMIF(Transbank!$A$2:$A$472,D24,Transbank!$L$2:$L$472)+(K24+O24)+(L24+P24)*EERR!$D$2</f>
        <v>820798.4</v>
      </c>
      <c r="Y24" s="250">
        <f>X24/EERR!$D$2</f>
        <v>1150.8670779584968</v>
      </c>
      <c r="Z24" s="260">
        <f t="shared" si="2"/>
        <v>-6513.5999999999767</v>
      </c>
    </row>
    <row r="25" spans="1:26" s="132" customFormat="1" ht="15" customHeight="1" x14ac:dyDescent="0.25">
      <c r="A25" s="243">
        <v>4057</v>
      </c>
      <c r="B25" s="276">
        <v>1554</v>
      </c>
      <c r="C25" s="276">
        <v>1624</v>
      </c>
      <c r="D25" s="276"/>
      <c r="E25" s="244" t="s">
        <v>742</v>
      </c>
      <c r="F25" s="244" t="s">
        <v>232</v>
      </c>
      <c r="G25" s="244">
        <v>3986235635</v>
      </c>
      <c r="H25" s="245">
        <v>43694</v>
      </c>
      <c r="I25" s="245">
        <v>43698</v>
      </c>
      <c r="J25" s="244">
        <v>4</v>
      </c>
      <c r="K25" s="246"/>
      <c r="L25" s="247"/>
      <c r="M25" s="246"/>
      <c r="N25" s="246">
        <v>585</v>
      </c>
      <c r="O25" s="246"/>
      <c r="P25" s="246"/>
      <c r="Q25" s="246"/>
      <c r="R25" s="246">
        <v>240</v>
      </c>
      <c r="S25" s="137">
        <f t="shared" si="3"/>
        <v>825</v>
      </c>
      <c r="T25" s="137">
        <f t="shared" si="4"/>
        <v>0</v>
      </c>
      <c r="U25" s="135">
        <f>IF(J25=0,(S25+T25/EERR!$D$2/1.19),(S25+T25/EERR!$D$2/1.19)/J25)</f>
        <v>206.25</v>
      </c>
      <c r="V25" s="137">
        <f>T25+S25*EERR!$D$2</f>
        <v>588390</v>
      </c>
      <c r="W25" s="132">
        <f ca="1">SUMIF(Siteminder!$A$5:$J$164,Ago!G25,Siteminder!$M$5:$M$164)</f>
        <v>4</v>
      </c>
      <c r="X25" s="250">
        <f>SUMIF(Transbank!$A$2:$A$472,B25,Transbank!$L$2:$L$472)+SUMIF(Transbank!$A$2:$A$472,C25,Transbank!$L$2:$L$472)+SUMIF(Transbank!$A$2:$A$472,D25,Transbank!$L$2:$L$472)+(K25+O25)+(L25+P25)*EERR!$D$2</f>
        <v>581876.4</v>
      </c>
      <c r="Y25" s="250">
        <f>X25/EERR!$D$2</f>
        <v>815.86707795849691</v>
      </c>
      <c r="Z25" s="260">
        <f t="shared" si="2"/>
        <v>-6513.5999999999767</v>
      </c>
    </row>
    <row r="26" spans="1:26" s="132" customFormat="1" ht="15" customHeight="1" x14ac:dyDescent="0.25">
      <c r="A26" s="243">
        <v>4058</v>
      </c>
      <c r="B26" s="276">
        <v>1540</v>
      </c>
      <c r="C26" s="276"/>
      <c r="D26" s="276"/>
      <c r="E26" s="244" t="s">
        <v>736</v>
      </c>
      <c r="F26" s="244" t="s">
        <v>232</v>
      </c>
      <c r="G26" s="244">
        <v>3670381566</v>
      </c>
      <c r="H26" s="245">
        <v>43696</v>
      </c>
      <c r="I26" s="245">
        <v>43697</v>
      </c>
      <c r="J26" s="244">
        <v>1</v>
      </c>
      <c r="K26" s="246"/>
      <c r="L26" s="247"/>
      <c r="M26" s="275"/>
      <c r="N26" s="275"/>
      <c r="O26" s="275"/>
      <c r="P26" s="275"/>
      <c r="Q26" s="275"/>
      <c r="R26" s="275">
        <v>195</v>
      </c>
      <c r="S26" s="137">
        <f t="shared" si="3"/>
        <v>195</v>
      </c>
      <c r="T26" s="137">
        <f t="shared" si="4"/>
        <v>0</v>
      </c>
      <c r="U26" s="135">
        <f>IF(J26=0,(S26+T26/EERR!$D$2/1.19),(S26+T26/EERR!$D$2/1.19)/J26)</f>
        <v>195</v>
      </c>
      <c r="V26" s="137">
        <f>T26+S26*EERR!$D$2</f>
        <v>139074</v>
      </c>
      <c r="W26" s="132">
        <f ca="1">SUMIF(Siteminder!$A$5:$J$164,Ago!G26,Siteminder!$M$5:$M$164)</f>
        <v>1</v>
      </c>
      <c r="X26" s="250">
        <f>SUMIF(Transbank!$A$2:$A$472,B26,Transbank!$L$2:$L$472)+SUMIF(Transbank!$A$2:$A$472,C26,Transbank!$L$2:$L$472)+SUMIF(Transbank!$A$2:$A$472,D26,Transbank!$L$2:$L$472)+(K26+O26)+(L26+P26)*EERR!$D$2</f>
        <v>133781.69999999998</v>
      </c>
      <c r="Y26" s="250">
        <f>X26/EERR!$D$2</f>
        <v>187.5795008412787</v>
      </c>
      <c r="Z26" s="260">
        <f t="shared" si="2"/>
        <v>-5292.3000000000175</v>
      </c>
    </row>
    <row r="27" spans="1:26" s="132" customFormat="1" ht="15" customHeight="1" x14ac:dyDescent="0.25">
      <c r="A27" s="243">
        <v>4060</v>
      </c>
      <c r="B27" s="276">
        <v>1614</v>
      </c>
      <c r="C27" s="276">
        <v>1634</v>
      </c>
      <c r="D27" s="276"/>
      <c r="E27" s="244" t="s">
        <v>738</v>
      </c>
      <c r="F27" s="244" t="s">
        <v>232</v>
      </c>
      <c r="G27" s="244">
        <v>3837019041</v>
      </c>
      <c r="H27" s="245">
        <v>43696</v>
      </c>
      <c r="I27" s="245">
        <v>43701</v>
      </c>
      <c r="J27" s="244">
        <v>5</v>
      </c>
      <c r="K27" s="246"/>
      <c r="L27" s="247"/>
      <c r="M27" s="275"/>
      <c r="N27" s="275">
        <v>805</v>
      </c>
      <c r="O27" s="275"/>
      <c r="P27" s="275"/>
      <c r="Q27" s="275"/>
      <c r="R27" s="275">
        <v>195</v>
      </c>
      <c r="S27" s="137">
        <f t="shared" si="3"/>
        <v>1000</v>
      </c>
      <c r="T27" s="137">
        <f t="shared" si="4"/>
        <v>0</v>
      </c>
      <c r="U27" s="135">
        <f>IF(J27=0,(S27+T27/EERR!$D$2/1.19),(S27+T27/EERR!$D$2/1.19)/J27)</f>
        <v>200</v>
      </c>
      <c r="V27" s="137">
        <f>T27+S27*EERR!$D$2</f>
        <v>713200</v>
      </c>
      <c r="W27" s="132">
        <f ca="1">SUMIF(Siteminder!$A$5:$J$164,Ago!G27,Siteminder!$M$5:$M$164)</f>
        <v>5</v>
      </c>
      <c r="X27" s="250">
        <f>SUMIF(Transbank!$A$2:$A$472,B27,Transbank!$L$2:$L$472)+SUMIF(Transbank!$A$2:$A$472,C27,Transbank!$L$2:$L$472)+SUMIF(Transbank!$A$2:$A$472,D27,Transbank!$L$2:$L$472)+(K27+O27)+(L27+P27)*EERR!$D$2</f>
        <v>713200</v>
      </c>
      <c r="Y27" s="250">
        <f>X27/EERR!$D$2</f>
        <v>999.99999999999989</v>
      </c>
      <c r="Z27" s="260">
        <f t="shared" si="2"/>
        <v>0</v>
      </c>
    </row>
    <row r="28" spans="1:26" s="132" customFormat="1" ht="15" customHeight="1" x14ac:dyDescent="0.25">
      <c r="A28" s="243">
        <v>4062</v>
      </c>
      <c r="B28" s="276">
        <v>1545</v>
      </c>
      <c r="C28" s="276"/>
      <c r="D28" s="276"/>
      <c r="E28" s="244" t="s">
        <v>730</v>
      </c>
      <c r="F28" s="244" t="s">
        <v>232</v>
      </c>
      <c r="G28" s="244">
        <v>3084858693</v>
      </c>
      <c r="H28" s="245">
        <v>43697</v>
      </c>
      <c r="I28" s="245">
        <v>43703</v>
      </c>
      <c r="J28" s="244">
        <v>6</v>
      </c>
      <c r="K28" s="246"/>
      <c r="L28" s="247">
        <v>1100</v>
      </c>
      <c r="M28" s="246"/>
      <c r="N28" s="246"/>
      <c r="O28" s="246"/>
      <c r="P28" s="246"/>
      <c r="Q28" s="246"/>
      <c r="R28" s="246">
        <v>220</v>
      </c>
      <c r="S28" s="137">
        <f t="shared" si="3"/>
        <v>1320</v>
      </c>
      <c r="T28" s="137">
        <f t="shared" si="4"/>
        <v>0</v>
      </c>
      <c r="U28" s="135">
        <f>IF(J28=0,(S28+T28/EERR!$D$2/1.19),(S28+T28/EERR!$D$2/1.19)/J28)</f>
        <v>220</v>
      </c>
      <c r="V28" s="137">
        <f>T28+S28*EERR!$D$2</f>
        <v>941424.00000000012</v>
      </c>
      <c r="W28" s="132">
        <f ca="1">SUMIF(Siteminder!$A$5:$J$164,Ago!G28,Siteminder!$M$5:$M$164)</f>
        <v>6</v>
      </c>
      <c r="X28" s="250">
        <f>SUMIF(Transbank!$A$2:$A$472,B28,Transbank!$L$2:$L$472)+SUMIF(Transbank!$A$2:$A$472,C28,Transbank!$L$2:$L$472)+SUMIF(Transbank!$A$2:$A$472,D28,Transbank!$L$2:$L$472)+(K28+O28)+(L28+P28)*EERR!$D$2</f>
        <v>935453.2</v>
      </c>
      <c r="Y28" s="250">
        <f>X28/EERR!$D$2</f>
        <v>1311.6281547952888</v>
      </c>
      <c r="Z28" s="260">
        <f t="shared" si="2"/>
        <v>-5970.800000000163</v>
      </c>
    </row>
    <row r="29" spans="1:26" s="132" customFormat="1" ht="15" customHeight="1" x14ac:dyDescent="0.25">
      <c r="A29" s="243">
        <v>4063</v>
      </c>
      <c r="B29" s="276">
        <v>1577</v>
      </c>
      <c r="C29" s="276">
        <v>1639</v>
      </c>
      <c r="D29" s="276"/>
      <c r="E29" s="244" t="s">
        <v>737</v>
      </c>
      <c r="F29" s="244" t="s">
        <v>232</v>
      </c>
      <c r="G29" s="244">
        <v>3705067101</v>
      </c>
      <c r="H29" s="245">
        <v>43697</v>
      </c>
      <c r="I29" s="245">
        <v>43703</v>
      </c>
      <c r="J29" s="244">
        <v>6</v>
      </c>
      <c r="K29" s="246"/>
      <c r="L29" s="247"/>
      <c r="M29" s="246"/>
      <c r="N29" s="246">
        <v>1050</v>
      </c>
      <c r="O29" s="246"/>
      <c r="P29" s="246"/>
      <c r="Q29" s="246"/>
      <c r="R29" s="246">
        <v>195</v>
      </c>
      <c r="S29" s="137">
        <f t="shared" si="3"/>
        <v>1245</v>
      </c>
      <c r="T29" s="137">
        <f t="shared" si="4"/>
        <v>0</v>
      </c>
      <c r="U29" s="135">
        <f>IF(J29=0,(S29+T29/EERR!$D$2/1.19),(S29+T29/EERR!$D$2/1.19)/J29)</f>
        <v>207.5</v>
      </c>
      <c r="V29" s="137">
        <f>T29+S29*EERR!$D$2</f>
        <v>887934</v>
      </c>
      <c r="W29" s="132">
        <f ca="1">SUMIF(Siteminder!$A$5:$J$164,Ago!G29,Siteminder!$M$5:$M$164)</f>
        <v>6</v>
      </c>
      <c r="X29" s="250">
        <f>SUMIF(Transbank!$A$2:$A$472,B29,Transbank!$L$2:$L$472)+SUMIF(Transbank!$A$2:$A$472,C29,Transbank!$L$2:$L$472)+SUMIF(Transbank!$A$2:$A$472,D29,Transbank!$L$2:$L$472)+(K29+O29)+(L29+P29)*EERR!$D$2</f>
        <v>887934</v>
      </c>
      <c r="Y29" s="250">
        <f>X29/EERR!$D$2</f>
        <v>1245</v>
      </c>
      <c r="Z29" s="260">
        <f t="shared" si="2"/>
        <v>0</v>
      </c>
    </row>
    <row r="30" spans="1:26" s="132" customFormat="1" ht="15" customHeight="1" x14ac:dyDescent="0.25">
      <c r="A30" s="243">
        <v>4064</v>
      </c>
      <c r="B30" s="276">
        <v>1535</v>
      </c>
      <c r="C30" s="276">
        <v>1544</v>
      </c>
      <c r="D30" s="276">
        <v>1638</v>
      </c>
      <c r="E30" s="244" t="s">
        <v>731</v>
      </c>
      <c r="F30" s="244" t="s">
        <v>232</v>
      </c>
      <c r="G30" s="244">
        <v>3241935629</v>
      </c>
      <c r="H30" s="245">
        <v>43697</v>
      </c>
      <c r="I30" s="245">
        <v>43700</v>
      </c>
      <c r="J30" s="244">
        <v>3</v>
      </c>
      <c r="K30" s="246"/>
      <c r="L30" s="247"/>
      <c r="M30" s="246"/>
      <c r="N30" s="246">
        <v>390</v>
      </c>
      <c r="O30" s="246"/>
      <c r="P30" s="246"/>
      <c r="Q30" s="246"/>
      <c r="R30" s="246">
        <v>195</v>
      </c>
      <c r="S30" s="137">
        <f t="shared" si="3"/>
        <v>585</v>
      </c>
      <c r="T30" s="137">
        <f t="shared" si="4"/>
        <v>0</v>
      </c>
      <c r="U30" s="135">
        <f>IF(J30=0,(S30+T30/EERR!$D$2/1.19),(S30+T30/EERR!$D$2/1.19)/J30)</f>
        <v>195</v>
      </c>
      <c r="V30" s="137">
        <f>T30+S30*EERR!$D$2</f>
        <v>417222</v>
      </c>
      <c r="W30" s="132">
        <f ca="1">SUMIF(Siteminder!$A$5:$J$164,Ago!G30,Siteminder!$M$5:$M$164)</f>
        <v>3</v>
      </c>
      <c r="X30" s="250">
        <f>SUMIF(Transbank!$A$2:$A$472,B30,Transbank!$L$2:$L$472)+SUMIF(Transbank!$A$2:$A$472,C30,Transbank!$L$2:$L$472)+SUMIF(Transbank!$A$2:$A$472,D30,Transbank!$L$2:$L$472)+(K30+O30)+(L30+P30)*EERR!$D$2</f>
        <v>406637.39999999997</v>
      </c>
      <c r="Y30" s="250">
        <f>X30/EERR!$D$2</f>
        <v>570.15900168255735</v>
      </c>
      <c r="Z30" s="260">
        <f t="shared" si="2"/>
        <v>-10584.600000000035</v>
      </c>
    </row>
    <row r="31" spans="1:26" s="132" customFormat="1" ht="15" customHeight="1" x14ac:dyDescent="0.25">
      <c r="A31" s="243">
        <v>4061</v>
      </c>
      <c r="B31" s="276">
        <v>1546</v>
      </c>
      <c r="C31" s="276"/>
      <c r="D31" s="276"/>
      <c r="E31" s="244" t="s">
        <v>707</v>
      </c>
      <c r="F31" s="244" t="s">
        <v>232</v>
      </c>
      <c r="G31" s="244">
        <v>2203602082</v>
      </c>
      <c r="H31" s="245">
        <v>43698</v>
      </c>
      <c r="I31" s="245">
        <v>43704</v>
      </c>
      <c r="J31" s="244">
        <v>6</v>
      </c>
      <c r="K31" s="246"/>
      <c r="L31" s="247">
        <v>1100</v>
      </c>
      <c r="M31" s="246"/>
      <c r="N31" s="246"/>
      <c r="O31" s="246"/>
      <c r="P31" s="246"/>
      <c r="Q31" s="246"/>
      <c r="R31" s="246">
        <v>220</v>
      </c>
      <c r="S31" s="137">
        <f t="shared" si="3"/>
        <v>1320</v>
      </c>
      <c r="T31" s="137">
        <f t="shared" si="4"/>
        <v>0</v>
      </c>
      <c r="U31" s="135">
        <f>IF(J31=0,(S31+T31/EERR!$D$2/1.19),(S31+T31/EERR!$D$2/1.19)/J31)</f>
        <v>220</v>
      </c>
      <c r="V31" s="137">
        <f>T31+S31*EERR!$D$2</f>
        <v>941424.00000000012</v>
      </c>
      <c r="W31" s="132">
        <f ca="1">SUMIF(Siteminder!$A$5:$J$164,Ago!G31,Siteminder!$M$5:$M$164)</f>
        <v>6</v>
      </c>
      <c r="X31" s="250">
        <f>SUMIF(Transbank!$A$2:$A$472,B31,Transbank!$L$2:$L$472)+SUMIF(Transbank!$A$2:$A$472,C31,Transbank!$L$2:$L$472)+SUMIF(Transbank!$A$2:$A$472,D31,Transbank!$L$2:$L$472)+(K31+O31)+(L31+P31)*EERR!$D$2</f>
        <v>935453.2</v>
      </c>
      <c r="Y31" s="250">
        <f>X31/EERR!$D$2</f>
        <v>1311.6281547952888</v>
      </c>
      <c r="Z31" s="260">
        <f t="shared" si="2"/>
        <v>-5970.800000000163</v>
      </c>
    </row>
    <row r="32" spans="1:26" s="132" customFormat="1" ht="15" customHeight="1" x14ac:dyDescent="0.25">
      <c r="A32" s="243">
        <v>4065</v>
      </c>
      <c r="B32" s="276">
        <v>1569</v>
      </c>
      <c r="C32" s="276">
        <v>1640</v>
      </c>
      <c r="D32" s="276">
        <v>1641</v>
      </c>
      <c r="E32" s="244" t="s">
        <v>670</v>
      </c>
      <c r="F32" s="244" t="s">
        <v>232</v>
      </c>
      <c r="G32" s="244">
        <v>2356718871</v>
      </c>
      <c r="H32" s="245">
        <v>43698</v>
      </c>
      <c r="I32" s="245">
        <v>43702</v>
      </c>
      <c r="J32" s="244">
        <v>4</v>
      </c>
      <c r="K32" s="246"/>
      <c r="L32" s="247"/>
      <c r="M32" s="246"/>
      <c r="N32" s="246">
        <v>635</v>
      </c>
      <c r="O32" s="246"/>
      <c r="P32" s="246"/>
      <c r="Q32" s="246"/>
      <c r="R32" s="246">
        <v>195</v>
      </c>
      <c r="S32" s="137">
        <f t="shared" si="3"/>
        <v>830</v>
      </c>
      <c r="T32" s="137">
        <f t="shared" si="4"/>
        <v>0</v>
      </c>
      <c r="U32" s="135">
        <f>IF(J32=0,(S32+T32/EERR!$D$2/1.19),(S32+T32/EERR!$D$2/1.19)/J32)</f>
        <v>207.5</v>
      </c>
      <c r="V32" s="137">
        <f>T32+S32*EERR!$D$2</f>
        <v>591956</v>
      </c>
      <c r="W32" s="132">
        <f ca="1">SUMIF(Siteminder!$A$5:$J$164,Ago!G32,Siteminder!$M$5:$M$164)</f>
        <v>4</v>
      </c>
      <c r="X32" s="250">
        <f>SUMIF(Transbank!$A$2:$A$472,B32,Transbank!$L$2:$L$472)+SUMIF(Transbank!$A$2:$A$472,C32,Transbank!$L$2:$L$472)+SUMIF(Transbank!$A$2:$A$472,D32,Transbank!$L$2:$L$472)+(K32+O32)+(L32+P32)*EERR!$D$2</f>
        <v>586663.69999999995</v>
      </c>
      <c r="Y32" s="250">
        <f>X32/EERR!$D$2</f>
        <v>822.57950084127867</v>
      </c>
      <c r="Z32" s="260">
        <f t="shared" si="2"/>
        <v>-5292.3000000000466</v>
      </c>
    </row>
    <row r="33" spans="1:26" s="132" customFormat="1" ht="15" customHeight="1" x14ac:dyDescent="0.25">
      <c r="A33" s="243">
        <v>4066</v>
      </c>
      <c r="B33" s="276">
        <v>1550</v>
      </c>
      <c r="C33" s="276">
        <v>1646</v>
      </c>
      <c r="D33" s="276"/>
      <c r="E33" s="244" t="s">
        <v>740</v>
      </c>
      <c r="F33" s="244" t="s">
        <v>232</v>
      </c>
      <c r="G33" s="244">
        <v>3928197453</v>
      </c>
      <c r="H33" s="245">
        <v>43699</v>
      </c>
      <c r="I33" s="245">
        <v>43706</v>
      </c>
      <c r="J33" s="244">
        <v>7</v>
      </c>
      <c r="K33" s="246"/>
      <c r="L33" s="247">
        <v>1320</v>
      </c>
      <c r="M33" s="275"/>
      <c r="N33" s="275"/>
      <c r="O33" s="275"/>
      <c r="P33" s="275"/>
      <c r="Q33" s="275"/>
      <c r="R33" s="275">
        <v>220</v>
      </c>
      <c r="S33" s="137">
        <f t="shared" si="3"/>
        <v>1540</v>
      </c>
      <c r="T33" s="137">
        <f t="shared" si="4"/>
        <v>0</v>
      </c>
      <c r="U33" s="135">
        <f>IF(J33=0,(S33+T33/EERR!$D$2/1.19),(S33+T33/EERR!$D$2/1.19)/J33)</f>
        <v>220</v>
      </c>
      <c r="V33" s="137">
        <f>T33+S33*EERR!$D$2</f>
        <v>1098328</v>
      </c>
      <c r="W33" s="132">
        <f ca="1">SUMIF(Siteminder!$A$5:$J$164,Ago!G33,Siteminder!$M$5:$M$164)</f>
        <v>7</v>
      </c>
      <c r="X33" s="336">
        <f>SUMIF(Transbank!$A$2:$A$472,B33,Transbank!$L$2:$L$472)+SUMIF(Transbank!$A$2:$A$472,C33,Transbank!$L$2:$L$472)+SUMIF(Transbank!$A$2:$A$472,D33,Transbank!$L$2:$L$472)+(K33+O33)+(L33+P33)*EERR!$D$2</f>
        <v>2033781.2000000002</v>
      </c>
      <c r="Y33" s="250">
        <f>X33/EERR!$D$2</f>
        <v>2851.628154795289</v>
      </c>
      <c r="Z33" s="260">
        <f t="shared" si="2"/>
        <v>935453.20000000019</v>
      </c>
    </row>
    <row r="34" spans="1:26" s="132" customFormat="1" ht="15" customHeight="1" x14ac:dyDescent="0.25">
      <c r="A34" s="243">
        <v>7757</v>
      </c>
      <c r="B34" s="276">
        <v>1576</v>
      </c>
      <c r="C34" s="276"/>
      <c r="D34" s="276"/>
      <c r="E34" s="244" t="s">
        <v>649</v>
      </c>
      <c r="F34" s="244" t="s">
        <v>232</v>
      </c>
      <c r="G34" s="244">
        <v>3140957757</v>
      </c>
      <c r="H34" s="245">
        <v>43700</v>
      </c>
      <c r="I34" s="245">
        <v>43703</v>
      </c>
      <c r="J34" s="244">
        <v>3</v>
      </c>
      <c r="K34" s="246">
        <v>371756</v>
      </c>
      <c r="L34" s="247"/>
      <c r="M34" s="246"/>
      <c r="N34" s="246"/>
      <c r="O34" s="246"/>
      <c r="P34" s="246"/>
      <c r="Q34" s="275">
        <v>184569</v>
      </c>
      <c r="R34" s="246"/>
      <c r="S34" s="137">
        <f t="shared" si="3"/>
        <v>0</v>
      </c>
      <c r="T34" s="137">
        <f t="shared" si="4"/>
        <v>556325</v>
      </c>
      <c r="U34" s="135">
        <f>IF(J34=0,(S34+T34/EERR!$D$2/1.19),(S34+T34/EERR!$D$2/1.19)/J34)</f>
        <v>218.49878481959243</v>
      </c>
      <c r="V34" s="137">
        <f>T34+S34*EERR!$D$2</f>
        <v>556325</v>
      </c>
      <c r="W34" s="132">
        <f ca="1">SUMIF(Siteminder!$A$5:$J$164,Ago!G34,Siteminder!$M$5:$M$164)</f>
        <v>3</v>
      </c>
      <c r="X34" s="250">
        <f>SUMIF(Transbank!$A$2:$A$472,B34,Transbank!$L$2:$L$472)+SUMIF(Transbank!$A$2:$A$472,C34,Transbank!$L$2:$L$472)+SUMIF(Transbank!$A$2:$A$472,D34,Transbank!$L$2:$L$472)+(K34+O34)+(L34+P34)*EERR!$D$2</f>
        <v>556325</v>
      </c>
      <c r="Y34" s="250">
        <f>X34/EERR!$D$2</f>
        <v>780.04066180594498</v>
      </c>
      <c r="Z34" s="260">
        <f t="shared" si="2"/>
        <v>0</v>
      </c>
    </row>
    <row r="35" spans="1:26" s="132" customFormat="1" ht="15" customHeight="1" x14ac:dyDescent="0.25">
      <c r="A35" s="243">
        <v>4534</v>
      </c>
      <c r="B35" s="276">
        <v>1555</v>
      </c>
      <c r="C35" s="276">
        <v>1649</v>
      </c>
      <c r="D35" s="276"/>
      <c r="E35" s="244" t="s">
        <v>725</v>
      </c>
      <c r="F35" s="244" t="s">
        <v>232</v>
      </c>
      <c r="G35" s="244">
        <v>2741454534</v>
      </c>
      <c r="H35" s="245">
        <v>43700</v>
      </c>
      <c r="I35" s="245">
        <v>43704</v>
      </c>
      <c r="J35" s="244">
        <v>4</v>
      </c>
      <c r="K35" s="246"/>
      <c r="L35" s="247"/>
      <c r="M35" s="246">
        <v>557634</v>
      </c>
      <c r="N35" s="246"/>
      <c r="O35" s="246"/>
      <c r="P35" s="246"/>
      <c r="Q35" s="246">
        <v>181689</v>
      </c>
      <c r="R35" s="246"/>
      <c r="S35" s="137">
        <f t="shared" si="3"/>
        <v>0</v>
      </c>
      <c r="T35" s="137">
        <f t="shared" si="4"/>
        <v>739323</v>
      </c>
      <c r="U35" s="135">
        <f>IF(J35=0,(S35+T35/EERR!$D$2/1.19),(S35+T35/EERR!$D$2/1.19)/J35)</f>
        <v>217.77896520358004</v>
      </c>
      <c r="V35" s="137">
        <f>T35+S35*EERR!$D$2</f>
        <v>739323</v>
      </c>
      <c r="W35" s="132">
        <f ca="1">SUMIF(Siteminder!$A$5:$J$164,Ago!G35,Siteminder!$M$5:$M$164)</f>
        <v>4</v>
      </c>
      <c r="X35" s="250">
        <f>SUMIF(Transbank!$A$2:$A$472,B35,Transbank!$L$2:$L$472)+SUMIF(Transbank!$A$2:$A$472,C35,Transbank!$L$2:$L$472)+SUMIF(Transbank!$A$2:$A$472,D35,Transbank!$L$2:$L$472)+(K35+O35)+(L35+P35)*EERR!$D$2</f>
        <v>739323</v>
      </c>
      <c r="Y35" s="250">
        <f>X35/EERR!$D$2</f>
        <v>1036.6278743690409</v>
      </c>
      <c r="Z35" s="260">
        <f t="shared" si="2"/>
        <v>0</v>
      </c>
    </row>
    <row r="36" spans="1:26" s="132" customFormat="1" ht="15" customHeight="1" x14ac:dyDescent="0.25">
      <c r="A36" s="243">
        <v>4067</v>
      </c>
      <c r="B36" s="276">
        <v>1558</v>
      </c>
      <c r="C36" s="276">
        <v>1661</v>
      </c>
      <c r="D36" s="276"/>
      <c r="E36" s="244" t="s">
        <v>714</v>
      </c>
      <c r="F36" s="244" t="s">
        <v>232</v>
      </c>
      <c r="G36" s="244">
        <v>1294840081</v>
      </c>
      <c r="H36" s="245">
        <v>43702</v>
      </c>
      <c r="I36" s="245">
        <v>43706</v>
      </c>
      <c r="J36" s="244">
        <v>4</v>
      </c>
      <c r="K36" s="246"/>
      <c r="L36" s="247"/>
      <c r="M36" s="246"/>
      <c r="N36" s="246">
        <v>660</v>
      </c>
      <c r="O36" s="246"/>
      <c r="P36" s="246"/>
      <c r="Q36" s="246"/>
      <c r="R36" s="246">
        <v>220</v>
      </c>
      <c r="S36" s="137">
        <f t="shared" si="3"/>
        <v>880</v>
      </c>
      <c r="T36" s="137">
        <f t="shared" si="4"/>
        <v>0</v>
      </c>
      <c r="U36" s="135">
        <f>IF(J36=0,(S36+T36/EERR!$D$2/1.19),(S36+T36/EERR!$D$2/1.19)/J36)</f>
        <v>220</v>
      </c>
      <c r="V36" s="137">
        <f>T36+S36*EERR!$D$2</f>
        <v>627616</v>
      </c>
      <c r="W36" s="132">
        <f ca="1">SUMIF(Siteminder!$A$5:$J$164,Ago!G36,Siteminder!$M$5:$M$164)</f>
        <v>4</v>
      </c>
      <c r="X36" s="250">
        <f>SUMIF(Transbank!$A$2:$A$472,B36,Transbank!$L$2:$L$472)+SUMIF(Transbank!$A$2:$A$472,C36,Transbank!$L$2:$L$472)+SUMIF(Transbank!$A$2:$A$472,D36,Transbank!$L$2:$L$472)+(K36+O36)+(L36+P36)*EERR!$D$2</f>
        <v>621645.20000000007</v>
      </c>
      <c r="Y36" s="250">
        <f>X36/EERR!$D$2</f>
        <v>871.62815479528888</v>
      </c>
      <c r="Z36" s="260">
        <f t="shared" si="2"/>
        <v>-5970.7999999999302</v>
      </c>
    </row>
    <row r="37" spans="1:26" s="132" customFormat="1" ht="15" customHeight="1" x14ac:dyDescent="0.25">
      <c r="A37" s="243">
        <v>4068</v>
      </c>
      <c r="B37" s="276">
        <v>1559</v>
      </c>
      <c r="C37" s="276">
        <v>1662</v>
      </c>
      <c r="D37" s="276"/>
      <c r="E37" s="244" t="s">
        <v>732</v>
      </c>
      <c r="F37" s="244" t="s">
        <v>232</v>
      </c>
      <c r="G37" s="244">
        <v>3285332578</v>
      </c>
      <c r="H37" s="245">
        <v>43702</v>
      </c>
      <c r="I37" s="245">
        <v>43705</v>
      </c>
      <c r="J37" s="244">
        <v>3</v>
      </c>
      <c r="K37" s="246"/>
      <c r="L37" s="247"/>
      <c r="M37" s="246"/>
      <c r="N37" s="246">
        <v>440</v>
      </c>
      <c r="O37" s="246"/>
      <c r="P37" s="246"/>
      <c r="Q37" s="246"/>
      <c r="R37" s="246">
        <v>220</v>
      </c>
      <c r="S37" s="137">
        <f t="shared" si="3"/>
        <v>660</v>
      </c>
      <c r="T37" s="137">
        <f t="shared" si="4"/>
        <v>0</v>
      </c>
      <c r="U37" s="135">
        <f>IF(J37=0,(S37+T37/EERR!$D$2/1.19),(S37+T37/EERR!$D$2/1.19)/J37)</f>
        <v>220</v>
      </c>
      <c r="V37" s="137">
        <f>T37+S37*EERR!$D$2</f>
        <v>470712.00000000006</v>
      </c>
      <c r="W37" s="132">
        <f ca="1">SUMIF(Siteminder!$A$5:$J$164,Ago!G37,Siteminder!$M$5:$M$164)</f>
        <v>3</v>
      </c>
      <c r="X37" s="250">
        <f>SUMIF(Transbank!$A$2:$A$472,B37,Transbank!$L$2:$L$472)+SUMIF(Transbank!$A$2:$A$472,C37,Transbank!$L$2:$L$472)+SUMIF(Transbank!$A$2:$A$472,D37,Transbank!$L$2:$L$472)+(K37+O37)+(L37+P37)*EERR!$D$2</f>
        <v>464741.19999999995</v>
      </c>
      <c r="Y37" s="250">
        <f>X37/EERR!$D$2</f>
        <v>651.62815479528876</v>
      </c>
      <c r="Z37" s="260">
        <f t="shared" si="2"/>
        <v>-5970.8000000001048</v>
      </c>
    </row>
    <row r="38" spans="1:26" s="132" customFormat="1" ht="15" customHeight="1" x14ac:dyDescent="0.25">
      <c r="A38" s="243">
        <v>4069</v>
      </c>
      <c r="B38" s="276">
        <v>1655</v>
      </c>
      <c r="C38" s="276"/>
      <c r="D38" s="276"/>
      <c r="E38" s="244" t="s">
        <v>724</v>
      </c>
      <c r="F38" s="244" t="s">
        <v>232</v>
      </c>
      <c r="G38" s="244">
        <v>2625933785</v>
      </c>
      <c r="H38" s="245">
        <v>43703</v>
      </c>
      <c r="I38" s="245">
        <v>43704</v>
      </c>
      <c r="J38" s="244">
        <v>1</v>
      </c>
      <c r="K38" s="246"/>
      <c r="L38" s="247"/>
      <c r="M38" s="246"/>
      <c r="N38" s="246"/>
      <c r="O38" s="246"/>
      <c r="P38" s="246"/>
      <c r="Q38" s="246"/>
      <c r="R38" s="246">
        <v>195</v>
      </c>
      <c r="S38" s="137">
        <f t="shared" si="3"/>
        <v>195</v>
      </c>
      <c r="T38" s="137">
        <f t="shared" si="4"/>
        <v>0</v>
      </c>
      <c r="U38" s="135">
        <f>IF(J38=0,(S38+T38/EERR!$D$2/1.19),(S38+T38/EERR!$D$2/1.19)/J38)</f>
        <v>195</v>
      </c>
      <c r="V38" s="137">
        <f>T38+S38*EERR!$D$2</f>
        <v>139074</v>
      </c>
      <c r="W38" s="132">
        <f ca="1">SUMIF(Siteminder!$A$5:$J$164,Ago!G38,Siteminder!$M$5:$M$164)</f>
        <v>1</v>
      </c>
      <c r="X38" s="250">
        <f>SUMIF(Transbank!$A$2:$A$472,B38,Transbank!$L$2:$L$472)+SUMIF(Transbank!$A$2:$A$472,C38,Transbank!$L$2:$L$472)+SUMIF(Transbank!$A$2:$A$472,D38,Transbank!$L$2:$L$472)+(K38+O38)+(L38+P38)*EERR!$D$2</f>
        <v>139074</v>
      </c>
      <c r="Y38" s="250">
        <f>X38/EERR!$D$2</f>
        <v>195</v>
      </c>
      <c r="Z38" s="260">
        <f t="shared" si="2"/>
        <v>0</v>
      </c>
    </row>
    <row r="39" spans="1:26" s="132" customFormat="1" ht="15" customHeight="1" x14ac:dyDescent="0.25">
      <c r="A39" s="243">
        <v>4072</v>
      </c>
      <c r="B39" s="276">
        <v>1568</v>
      </c>
      <c r="C39" s="276"/>
      <c r="D39" s="276"/>
      <c r="E39" s="244" t="s">
        <v>682</v>
      </c>
      <c r="F39" s="244" t="s">
        <v>232</v>
      </c>
      <c r="G39" s="244">
        <v>3229232800</v>
      </c>
      <c r="H39" s="245">
        <v>43706</v>
      </c>
      <c r="I39" s="245">
        <v>43709</v>
      </c>
      <c r="J39" s="244">
        <v>3</v>
      </c>
      <c r="K39" s="246"/>
      <c r="L39" s="247">
        <v>440</v>
      </c>
      <c r="M39" s="246"/>
      <c r="N39" s="246"/>
      <c r="O39" s="246"/>
      <c r="P39" s="246"/>
      <c r="Q39" s="246"/>
      <c r="R39" s="246">
        <v>220</v>
      </c>
      <c r="S39" s="137">
        <f t="shared" si="3"/>
        <v>660</v>
      </c>
      <c r="T39" s="137">
        <f t="shared" si="4"/>
        <v>0</v>
      </c>
      <c r="U39" s="135">
        <f>IF(J39=0,(S39+T39/EERR!$D$2/1.19),(S39+T39/EERR!$D$2/1.19)/J39)</f>
        <v>220</v>
      </c>
      <c r="V39" s="137">
        <f>T39+S39*EERR!$D$2</f>
        <v>470712.00000000006</v>
      </c>
      <c r="W39" s="132">
        <f ca="1">SUMIF(Siteminder!$A$5:$J$164,Ago!G39,Siteminder!$M$5:$M$164)</f>
        <v>3</v>
      </c>
      <c r="X39" s="250">
        <f>SUMIF(Transbank!$A$2:$A$472,B39,Transbank!$L$2:$L$472)+SUMIF(Transbank!$A$2:$A$472,C39,Transbank!$L$2:$L$472)+SUMIF(Transbank!$A$2:$A$472,D39,Transbank!$L$2:$L$472)+(K39+O39)+(L39+P39)*EERR!$D$2</f>
        <v>464741.19999999995</v>
      </c>
      <c r="Y39" s="250">
        <f>X39/EERR!$D$2</f>
        <v>651.62815479528876</v>
      </c>
      <c r="Z39" s="260">
        <f t="shared" si="2"/>
        <v>-5970.8000000001048</v>
      </c>
    </row>
    <row r="40" spans="1:26" s="132" customFormat="1" ht="15" customHeight="1" x14ac:dyDescent="0.25">
      <c r="A40" s="243">
        <v>65173</v>
      </c>
      <c r="B40" s="276">
        <v>1648</v>
      </c>
      <c r="C40" s="276">
        <v>1678</v>
      </c>
      <c r="D40" s="276"/>
      <c r="E40" s="244" t="s">
        <v>685</v>
      </c>
      <c r="F40" s="244" t="s">
        <v>232</v>
      </c>
      <c r="G40" s="244">
        <v>3410565173</v>
      </c>
      <c r="H40" s="245">
        <v>43707</v>
      </c>
      <c r="I40" s="245">
        <v>43709</v>
      </c>
      <c r="J40" s="244">
        <v>2</v>
      </c>
      <c r="K40" s="246"/>
      <c r="L40" s="247"/>
      <c r="M40" s="246">
        <v>165220</v>
      </c>
      <c r="N40" s="246"/>
      <c r="O40" s="246"/>
      <c r="P40" s="246"/>
      <c r="Q40" s="246">
        <v>168004</v>
      </c>
      <c r="R40" s="246"/>
      <c r="S40" s="137">
        <f t="shared" si="3"/>
        <v>0</v>
      </c>
      <c r="T40" s="137">
        <f t="shared" si="4"/>
        <v>333224</v>
      </c>
      <c r="U40" s="135">
        <f>IF(J40=0,(S40+T40/EERR!$D$2/1.19),(S40+T40/EERR!$D$2/1.19)/J40)</f>
        <v>196.31251266631159</v>
      </c>
      <c r="V40" s="137">
        <f>T40+S40*EERR!$D$2</f>
        <v>333224</v>
      </c>
      <c r="W40" s="132">
        <f ca="1">SUMIF(Siteminder!$A$5:$J$164,Ago!G40,Siteminder!$M$5:$M$164)</f>
        <v>2</v>
      </c>
      <c r="X40" s="250">
        <f>SUMIF(Transbank!$A$2:$A$472,B40,Transbank!$L$2:$L$472)+SUMIF(Transbank!$A$2:$A$472,C40,Transbank!$L$2:$L$472)+SUMIF(Transbank!$A$2:$A$472,D40,Transbank!$L$2:$L$472)+(K40+O40)+(L40+P40)*EERR!$D$2</f>
        <v>333224</v>
      </c>
      <c r="Y40" s="250">
        <f>X40/EERR!$D$2</f>
        <v>467.22378014582159</v>
      </c>
      <c r="Z40" s="260">
        <f t="shared" si="2"/>
        <v>0</v>
      </c>
    </row>
    <row r="41" spans="1:26" s="132" customFormat="1" ht="15" customHeight="1" x14ac:dyDescent="0.25">
      <c r="A41" s="243">
        <v>58605</v>
      </c>
      <c r="B41" s="276">
        <v>1656</v>
      </c>
      <c r="C41" s="276">
        <v>1679</v>
      </c>
      <c r="D41" s="276"/>
      <c r="E41" s="244" t="s">
        <v>693</v>
      </c>
      <c r="F41" s="244" t="s">
        <v>232</v>
      </c>
      <c r="G41" s="244">
        <v>3842458605</v>
      </c>
      <c r="H41" s="245">
        <v>43707</v>
      </c>
      <c r="I41" s="245">
        <v>43709</v>
      </c>
      <c r="J41" s="244">
        <v>2</v>
      </c>
      <c r="K41" s="246"/>
      <c r="L41" s="247"/>
      <c r="M41" s="246">
        <v>165452</v>
      </c>
      <c r="N41" s="246"/>
      <c r="O41" s="246"/>
      <c r="P41" s="246"/>
      <c r="Q41" s="246">
        <v>168004</v>
      </c>
      <c r="R41" s="246"/>
      <c r="S41" s="137">
        <f t="shared" si="3"/>
        <v>0</v>
      </c>
      <c r="T41" s="137">
        <f t="shared" si="4"/>
        <v>333456</v>
      </c>
      <c r="U41" s="135">
        <f>IF(J41=0,(S41+T41/EERR!$D$2/1.19),(S41+T41/EERR!$D$2/1.19)/J41)</f>
        <v>196.44919100562268</v>
      </c>
      <c r="V41" s="137">
        <f>T41+S41*EERR!$D$2</f>
        <v>333456</v>
      </c>
      <c r="W41" s="132">
        <f ca="1">SUMIF(Siteminder!$A$5:$J$164,Ago!G41,Siteminder!$M$5:$M$164)</f>
        <v>2</v>
      </c>
      <c r="X41" s="250">
        <f>SUMIF(Transbank!$A$2:$A$472,B41,Transbank!$L$2:$L$472)+SUMIF(Transbank!$A$2:$A$472,C41,Transbank!$L$2:$L$472)+SUMIF(Transbank!$A$2:$A$472,D41,Transbank!$L$2:$L$472)+(K41+O41)+(L41+P41)*EERR!$D$2</f>
        <v>333456</v>
      </c>
      <c r="Y41" s="250">
        <f>X41/EERR!$D$2</f>
        <v>467.54907459338193</v>
      </c>
      <c r="Z41" s="260">
        <f t="shared" si="2"/>
        <v>0</v>
      </c>
    </row>
    <row r="42" spans="1:26" s="132" customFormat="1" ht="15" customHeight="1" x14ac:dyDescent="0.25">
      <c r="A42" s="243">
        <v>4073</v>
      </c>
      <c r="B42" s="276">
        <v>1592</v>
      </c>
      <c r="C42" s="276">
        <v>1681</v>
      </c>
      <c r="D42" s="276"/>
      <c r="E42" s="244" t="s">
        <v>666</v>
      </c>
      <c r="F42" s="244" t="s">
        <v>232</v>
      </c>
      <c r="G42" s="244">
        <v>2230025021</v>
      </c>
      <c r="H42" s="245">
        <v>43708</v>
      </c>
      <c r="I42" s="245">
        <v>43711</v>
      </c>
      <c r="J42" s="244">
        <v>3</v>
      </c>
      <c r="K42" s="246"/>
      <c r="L42" s="247"/>
      <c r="M42" s="246"/>
      <c r="N42" s="246">
        <v>390</v>
      </c>
      <c r="O42" s="246"/>
      <c r="P42" s="246"/>
      <c r="Q42" s="246"/>
      <c r="R42" s="246">
        <v>195</v>
      </c>
      <c r="S42" s="137">
        <f t="shared" si="3"/>
        <v>585</v>
      </c>
      <c r="T42" s="137">
        <f t="shared" si="4"/>
        <v>0</v>
      </c>
      <c r="U42" s="135">
        <f>IF(J42=0,(S42+T42/EERR!$D$2/1.19),(S42+T42/EERR!$D$2/1.19)/J42)</f>
        <v>195</v>
      </c>
      <c r="V42" s="137">
        <f>T42+S42*EERR!$D$2</f>
        <v>417222</v>
      </c>
      <c r="W42" s="132">
        <f ca="1">SUMIF(Siteminder!$A$5:$J$164,Ago!G42,Siteminder!$M$5:$M$164)</f>
        <v>3</v>
      </c>
      <c r="X42" s="250">
        <f>SUMIF(Transbank!$A$2:$A$472,B42,Transbank!$L$2:$L$472)+SUMIF(Transbank!$A$2:$A$472,C42,Transbank!$L$2:$L$472)+SUMIF(Transbank!$A$2:$A$472,D42,Transbank!$L$2:$L$472)+(K42+O42)+(L42+P42)*EERR!$D$2</f>
        <v>417222</v>
      </c>
      <c r="Y42" s="250">
        <f>X42/EERR!$D$2</f>
        <v>585</v>
      </c>
      <c r="Z42" s="260">
        <f t="shared" si="2"/>
        <v>0</v>
      </c>
    </row>
    <row r="43" spans="1:26" s="132" customFormat="1" ht="15" customHeight="1" x14ac:dyDescent="0.25">
      <c r="A43" s="243"/>
      <c r="B43" s="276"/>
      <c r="C43" s="276"/>
      <c r="D43" s="276"/>
      <c r="E43" s="324"/>
      <c r="F43" s="324"/>
      <c r="G43" s="324"/>
      <c r="H43" s="325"/>
      <c r="I43" s="325"/>
      <c r="J43" s="324"/>
      <c r="K43" s="262"/>
      <c r="L43" s="261"/>
      <c r="M43" s="262"/>
      <c r="N43" s="262"/>
      <c r="O43" s="262"/>
      <c r="P43" s="262"/>
      <c r="Q43" s="262"/>
      <c r="R43" s="262"/>
      <c r="S43" s="137">
        <f t="shared" si="0"/>
        <v>0</v>
      </c>
      <c r="T43" s="137">
        <f t="shared" si="1"/>
        <v>0</v>
      </c>
      <c r="U43" s="135">
        <f>IF(J43=0,(S43+T43/EERR!$D$2/1.19),(S43+T43/EERR!$D$2/1.19)/J43)</f>
        <v>0</v>
      </c>
      <c r="V43" s="137">
        <f>T43+S43*EERR!$D$2</f>
        <v>0</v>
      </c>
      <c r="W43" s="132">
        <f ca="1">SUMIF(Siteminder!$A$5:$J$164,Ago!G43,Siteminder!$M$5:$M$164)</f>
        <v>0</v>
      </c>
      <c r="X43" s="250">
        <f>SUMIF(Transbank!$A$2:$A$472,B43,Transbank!$L$2:$L$472)+SUMIF(Transbank!$A$2:$A$472,C43,Transbank!$L$2:$L$472)+SUMIF(Transbank!$A$2:$A$472,D43,Transbank!$L$2:$L$472)+(K43+O43)+(L43+P43)*EERR!$D$2</f>
        <v>0</v>
      </c>
      <c r="Y43" s="250">
        <f>X43/EERR!$D$2</f>
        <v>0</v>
      </c>
      <c r="Z43" s="260">
        <f t="shared" si="2"/>
        <v>0</v>
      </c>
    </row>
    <row r="44" spans="1:26" s="132" customFormat="1" ht="15" customHeight="1" x14ac:dyDescent="0.25">
      <c r="A44" s="243"/>
      <c r="B44" s="276"/>
      <c r="C44" s="276"/>
      <c r="D44" s="276"/>
      <c r="E44" s="324"/>
      <c r="F44" s="324"/>
      <c r="G44" s="324"/>
      <c r="H44" s="325"/>
      <c r="I44" s="325"/>
      <c r="J44" s="324"/>
      <c r="K44" s="262"/>
      <c r="L44" s="261"/>
      <c r="M44" s="262"/>
      <c r="N44" s="262"/>
      <c r="O44" s="262"/>
      <c r="P44" s="262"/>
      <c r="Q44" s="262"/>
      <c r="R44" s="262"/>
      <c r="S44" s="137">
        <f t="shared" si="0"/>
        <v>0</v>
      </c>
      <c r="T44" s="137">
        <f t="shared" si="1"/>
        <v>0</v>
      </c>
      <c r="U44" s="135">
        <f>IF(J44=0,(S44+T44/EERR!$D$2/1.19),(S44+T44/EERR!$D$2/1.19)/J44)</f>
        <v>0</v>
      </c>
      <c r="V44" s="137">
        <f>T44+S44*EERR!$D$2</f>
        <v>0</v>
      </c>
      <c r="W44" s="132">
        <f ca="1">SUMIF(Siteminder!$A$5:$J$164,Ago!G44,Siteminder!$M$5:$M$164)</f>
        <v>0</v>
      </c>
      <c r="X44" s="250">
        <f>SUMIF(Transbank!$A$2:$A$472,B44,Transbank!$L$2:$L$472)+SUMIF(Transbank!$A$2:$A$472,C44,Transbank!$L$2:$L$472)+SUMIF(Transbank!$A$2:$A$472,D44,Transbank!$L$2:$L$472)+(K44+O44)+(L44+P44)*EERR!$D$2</f>
        <v>0</v>
      </c>
      <c r="Y44" s="250">
        <f>X44/EERR!$D$2</f>
        <v>0</v>
      </c>
      <c r="Z44" s="260">
        <f t="shared" si="2"/>
        <v>0</v>
      </c>
    </row>
    <row r="45" spans="1:26" s="132" customFormat="1" ht="15" customHeight="1" x14ac:dyDescent="0.25">
      <c r="A45" s="243"/>
      <c r="B45" s="276"/>
      <c r="C45" s="276"/>
      <c r="D45" s="276"/>
      <c r="E45" s="324"/>
      <c r="F45" s="324"/>
      <c r="G45" s="324"/>
      <c r="H45" s="325"/>
      <c r="I45" s="325"/>
      <c r="J45" s="244"/>
      <c r="K45" s="246"/>
      <c r="L45" s="247"/>
      <c r="M45" s="246"/>
      <c r="N45" s="246"/>
      <c r="O45" s="246"/>
      <c r="P45" s="246"/>
      <c r="Q45" s="246"/>
      <c r="R45" s="246"/>
      <c r="S45" s="137">
        <f t="shared" si="0"/>
        <v>0</v>
      </c>
      <c r="T45" s="137">
        <f t="shared" si="1"/>
        <v>0</v>
      </c>
      <c r="U45" s="135">
        <f>IF(J45=0,(S45+T45/EERR!$D$2/1.19),(S45+T45/EERR!$D$2/1.19)/J45)</f>
        <v>0</v>
      </c>
      <c r="V45" s="137">
        <f>T45+S45*EERR!$D$2</f>
        <v>0</v>
      </c>
      <c r="W45" s="132">
        <f ca="1">SUMIF(Siteminder!$A$5:$J$164,Ago!G45,Siteminder!$M$5:$M$164)</f>
        <v>0</v>
      </c>
      <c r="X45" s="250">
        <f>SUMIF(Transbank!$A$2:$A$472,B45,Transbank!$L$2:$L$472)+SUMIF(Transbank!$A$2:$A$472,C45,Transbank!$L$2:$L$472)+SUMIF(Transbank!$A$2:$A$472,D45,Transbank!$L$2:$L$472)+(K45+O45)+(L45+P45)*EERR!$D$2</f>
        <v>0</v>
      </c>
      <c r="Y45" s="250">
        <f>X45/EERR!$D$2</f>
        <v>0</v>
      </c>
      <c r="Z45" s="260">
        <f t="shared" si="2"/>
        <v>0</v>
      </c>
    </row>
    <row r="46" spans="1:26" s="132" customFormat="1" ht="15" customHeight="1" x14ac:dyDescent="0.25">
      <c r="A46" s="243"/>
      <c r="B46" s="276"/>
      <c r="C46" s="276"/>
      <c r="D46" s="276"/>
      <c r="E46" s="324"/>
      <c r="F46" s="324"/>
      <c r="G46" s="324"/>
      <c r="H46" s="325"/>
      <c r="I46" s="325"/>
      <c r="J46" s="324"/>
      <c r="K46" s="262"/>
      <c r="L46" s="261"/>
      <c r="M46" s="326"/>
      <c r="N46" s="326"/>
      <c r="O46" s="326"/>
      <c r="P46" s="326"/>
      <c r="Q46" s="326"/>
      <c r="R46" s="326"/>
      <c r="S46" s="137">
        <f t="shared" si="0"/>
        <v>0</v>
      </c>
      <c r="T46" s="137">
        <f t="shared" si="1"/>
        <v>0</v>
      </c>
      <c r="U46" s="135">
        <f>IF(J46=0,(S46+T46/EERR!$D$2/1.19),(S46+T46/EERR!$D$2/1.19)/J46)</f>
        <v>0</v>
      </c>
      <c r="V46" s="137">
        <f>T46+S46*EERR!$D$2</f>
        <v>0</v>
      </c>
      <c r="W46" s="132">
        <f ca="1">SUMIF(Siteminder!$A$5:$J$164,Ago!G46,Siteminder!$M$5:$M$164)</f>
        <v>0</v>
      </c>
      <c r="X46" s="250">
        <f>SUMIF(Transbank!$A$2:$A$472,B46,Transbank!$L$2:$L$472)+SUMIF(Transbank!$A$2:$A$472,C46,Transbank!$L$2:$L$472)+SUMIF(Transbank!$A$2:$A$472,D46,Transbank!$L$2:$L$472)+(K46+O46)+(L46+P46)*EERR!$D$2</f>
        <v>0</v>
      </c>
      <c r="Y46" s="250">
        <f>X46/EERR!$D$2</f>
        <v>0</v>
      </c>
      <c r="Z46" s="260">
        <f t="shared" si="2"/>
        <v>0</v>
      </c>
    </row>
    <row r="47" spans="1:26" s="132" customFormat="1" ht="15" customHeight="1" x14ac:dyDescent="0.25">
      <c r="A47" s="243"/>
      <c r="B47" s="276"/>
      <c r="C47" s="276"/>
      <c r="D47" s="276"/>
      <c r="E47" s="324"/>
      <c r="F47" s="324"/>
      <c r="G47" s="324"/>
      <c r="H47" s="325"/>
      <c r="I47" s="325"/>
      <c r="J47" s="324"/>
      <c r="K47" s="262"/>
      <c r="L47" s="261"/>
      <c r="M47" s="262"/>
      <c r="N47" s="262"/>
      <c r="O47" s="262"/>
      <c r="P47" s="262"/>
      <c r="Q47" s="262"/>
      <c r="R47" s="262"/>
      <c r="S47" s="137">
        <f t="shared" si="0"/>
        <v>0</v>
      </c>
      <c r="T47" s="137">
        <f t="shared" si="1"/>
        <v>0</v>
      </c>
      <c r="U47" s="135">
        <f>IF(J47=0,(S47+T47/EERR!$D$2/1.19),(S47+T47/EERR!$D$2/1.19)/J47)</f>
        <v>0</v>
      </c>
      <c r="V47" s="137">
        <f>T47+S47*EERR!$D$2</f>
        <v>0</v>
      </c>
      <c r="W47" s="132">
        <f ca="1">SUMIF(Siteminder!$A$5:$J$164,Ago!G47,Siteminder!$M$5:$M$164)</f>
        <v>0</v>
      </c>
      <c r="X47" s="250">
        <f>SUMIF(Transbank!$A$2:$A$472,B47,Transbank!$L$2:$L$472)+SUMIF(Transbank!$A$2:$A$472,C47,Transbank!$L$2:$L$472)+SUMIF(Transbank!$A$2:$A$472,D47,Transbank!$L$2:$L$472)+(K47+O47)+(L47+P47)*EERR!$D$2</f>
        <v>0</v>
      </c>
      <c r="Y47" s="250">
        <f>X47/EERR!$D$2</f>
        <v>0</v>
      </c>
      <c r="Z47" s="260">
        <f t="shared" si="2"/>
        <v>0</v>
      </c>
    </row>
    <row r="48" spans="1:26" s="132" customFormat="1" ht="15" customHeight="1" x14ac:dyDescent="0.25">
      <c r="A48" s="243"/>
      <c r="B48" s="276"/>
      <c r="C48" s="276"/>
      <c r="D48" s="276"/>
      <c r="E48" s="324"/>
      <c r="F48" s="324"/>
      <c r="G48" s="324"/>
      <c r="H48" s="325"/>
      <c r="I48" s="325"/>
      <c r="J48" s="324"/>
      <c r="K48" s="262"/>
      <c r="L48" s="261"/>
      <c r="M48" s="262"/>
      <c r="N48" s="262"/>
      <c r="O48" s="262"/>
      <c r="P48" s="262"/>
      <c r="Q48" s="262"/>
      <c r="R48" s="262"/>
      <c r="S48" s="137">
        <f t="shared" si="0"/>
        <v>0</v>
      </c>
      <c r="T48" s="137">
        <f t="shared" si="1"/>
        <v>0</v>
      </c>
      <c r="U48" s="135">
        <f>IF(J48=0,(S48+T48/EERR!$D$2/1.19),(S48+T48/EERR!$D$2/1.19)/J48)</f>
        <v>0</v>
      </c>
      <c r="V48" s="137">
        <f>T48+S48*EERR!$D$2</f>
        <v>0</v>
      </c>
      <c r="W48" s="132">
        <f ca="1">SUMIF(Siteminder!$A$5:$J$164,Ago!G48,Siteminder!$M$5:$M$164)</f>
        <v>0</v>
      </c>
      <c r="X48" s="250">
        <f>SUMIF(Transbank!$A$2:$A$472,B48,Transbank!$L$2:$L$472)+SUMIF(Transbank!$A$2:$A$472,C48,Transbank!$L$2:$L$472)+SUMIF(Transbank!$A$2:$A$472,D48,Transbank!$L$2:$L$472)+(K48+O48)+(L48+P48)*EERR!$D$2</f>
        <v>0</v>
      </c>
      <c r="Y48" s="250">
        <f>X48/EERR!$D$2</f>
        <v>0</v>
      </c>
      <c r="Z48" s="260">
        <f t="shared" si="2"/>
        <v>0</v>
      </c>
    </row>
    <row r="49" spans="1:6143 6145:7168 7170:16380" s="132" customFormat="1" ht="15" customHeight="1" x14ac:dyDescent="0.25">
      <c r="A49" s="243"/>
      <c r="B49" s="276"/>
      <c r="C49" s="276"/>
      <c r="D49" s="276"/>
      <c r="E49" s="324"/>
      <c r="F49" s="324"/>
      <c r="G49" s="324"/>
      <c r="H49" s="325"/>
      <c r="I49" s="325"/>
      <c r="J49" s="324"/>
      <c r="K49" s="262"/>
      <c r="L49" s="261"/>
      <c r="M49" s="262"/>
      <c r="N49" s="262"/>
      <c r="O49" s="262"/>
      <c r="P49" s="262"/>
      <c r="Q49" s="262"/>
      <c r="R49" s="262"/>
      <c r="S49" s="137">
        <f t="shared" si="0"/>
        <v>0</v>
      </c>
      <c r="T49" s="137">
        <f t="shared" si="1"/>
        <v>0</v>
      </c>
      <c r="U49" s="135">
        <f>IF(J49=0,(S49+T49/EERR!$D$2/1.19),(S49+T49/EERR!$D$2/1.19)/J49)</f>
        <v>0</v>
      </c>
      <c r="V49" s="137">
        <f>T49+S49*EERR!$D$2</f>
        <v>0</v>
      </c>
      <c r="W49" s="132">
        <f ca="1">SUMIF(Siteminder!$A$5:$J$164,Ago!G49,Siteminder!$M$5:$M$164)</f>
        <v>0</v>
      </c>
      <c r="X49" s="250">
        <f>SUMIF(Transbank!$A$2:$A$472,B49,Transbank!$L$2:$L$472)+SUMIF(Transbank!$A$2:$A$472,C49,Transbank!$L$2:$L$472)+SUMIF(Transbank!$A$2:$A$472,D49,Transbank!$L$2:$L$472)+(K49+O49)+(L49+P49)*EERR!$D$2</f>
        <v>0</v>
      </c>
      <c r="Y49" s="250">
        <f>X49/EERR!$D$2</f>
        <v>0</v>
      </c>
      <c r="Z49" s="260">
        <f t="shared" si="2"/>
        <v>0</v>
      </c>
    </row>
    <row r="50" spans="1:6143 6145:7168 7170:16380" s="132" customFormat="1" ht="15" customHeight="1" x14ac:dyDescent="0.25">
      <c r="A50" s="243"/>
      <c r="B50" s="276"/>
      <c r="C50" s="276"/>
      <c r="D50" s="276"/>
      <c r="E50" s="324"/>
      <c r="F50" s="324"/>
      <c r="G50" s="324"/>
      <c r="H50" s="325"/>
      <c r="I50" s="325"/>
      <c r="J50" s="324"/>
      <c r="K50" s="262"/>
      <c r="L50" s="261"/>
      <c r="M50" s="262"/>
      <c r="N50" s="262"/>
      <c r="O50" s="262"/>
      <c r="P50" s="262"/>
      <c r="Q50" s="262"/>
      <c r="R50" s="262"/>
      <c r="S50" s="137">
        <f t="shared" si="0"/>
        <v>0</v>
      </c>
      <c r="T50" s="137">
        <f t="shared" si="1"/>
        <v>0</v>
      </c>
      <c r="U50" s="135">
        <f>IF(J50=0,(S50+T50/EERR!$D$2/1.19),(S50+T50/EERR!$D$2/1.19)/J50)</f>
        <v>0</v>
      </c>
      <c r="V50" s="137">
        <f>T50+S50*EERR!$D$2</f>
        <v>0</v>
      </c>
      <c r="W50" s="132">
        <f ca="1">SUMIF(Siteminder!$A$5:$J$164,Ago!G50,Siteminder!$M$5:$M$164)</f>
        <v>0</v>
      </c>
      <c r="X50" s="250">
        <f>SUMIF(Transbank!$A$2:$A$472,B50,Transbank!$L$2:$L$472)+SUMIF(Transbank!$A$2:$A$472,C50,Transbank!$L$2:$L$472)+SUMIF(Transbank!$A$2:$A$472,D50,Transbank!$L$2:$L$472)+(K50+O50)+(L50+P50)*EERR!$D$2</f>
        <v>0</v>
      </c>
      <c r="Y50" s="250">
        <f>X50/EERR!$D$2</f>
        <v>0</v>
      </c>
      <c r="Z50" s="260">
        <f t="shared" si="2"/>
        <v>0</v>
      </c>
    </row>
    <row r="51" spans="1:6143 6145:7168 7170:16380" s="132" customFormat="1" ht="15" customHeight="1" x14ac:dyDescent="0.25">
      <c r="A51" s="243"/>
      <c r="B51" s="276"/>
      <c r="C51" s="276"/>
      <c r="D51" s="276"/>
      <c r="E51" s="244"/>
      <c r="F51" s="244"/>
      <c r="G51" s="244"/>
      <c r="H51" s="245"/>
      <c r="I51" s="245"/>
      <c r="J51" s="244"/>
      <c r="K51" s="246"/>
      <c r="L51" s="247"/>
      <c r="M51" s="246"/>
      <c r="N51" s="246"/>
      <c r="O51" s="246"/>
      <c r="P51" s="246"/>
      <c r="Q51" s="246"/>
      <c r="R51" s="246"/>
      <c r="S51" s="137">
        <f t="shared" si="0"/>
        <v>0</v>
      </c>
      <c r="T51" s="137">
        <f t="shared" si="1"/>
        <v>0</v>
      </c>
      <c r="U51" s="135">
        <f>IF(J51=0,(S51+T51/EERR!$D$2/1.19),(S51+T51/EERR!$D$2/1.19)/J51)</f>
        <v>0</v>
      </c>
      <c r="V51" s="137">
        <f>T51+S51*EERR!$D$2</f>
        <v>0</v>
      </c>
      <c r="W51" s="132">
        <f ca="1">SUMIF(Siteminder!$A$5:$J$164,Ago!G51,Siteminder!$M$5:$M$164)</f>
        <v>0</v>
      </c>
      <c r="X51" s="250">
        <f>SUMIF(Transbank!$A$2:$A$472,B51,Transbank!$L$2:$L$472)+SUMIF(Transbank!$A$2:$A$472,C51,Transbank!$L$2:$L$472)+SUMIF(Transbank!$A$2:$A$472,D51,Transbank!$L$2:$L$472)+(K51+O51)+(L51+P51)*EERR!$D$2</f>
        <v>0</v>
      </c>
      <c r="Y51" s="250">
        <f>X51/EERR!$D$2</f>
        <v>0</v>
      </c>
      <c r="Z51" s="260">
        <f t="shared" si="2"/>
        <v>0</v>
      </c>
    </row>
    <row r="52" spans="1:6143 6145:7168 7170:16380" s="132" customFormat="1" ht="15" customHeight="1" x14ac:dyDescent="0.25">
      <c r="A52" s="243"/>
      <c r="B52" s="276"/>
      <c r="C52" s="276"/>
      <c r="D52" s="276"/>
      <c r="E52" s="244"/>
      <c r="F52" s="244"/>
      <c r="G52" s="244"/>
      <c r="H52" s="245"/>
      <c r="I52" s="245"/>
      <c r="J52" s="244"/>
      <c r="K52" s="246"/>
      <c r="L52" s="247"/>
      <c r="M52" s="246"/>
      <c r="N52" s="246"/>
      <c r="O52" s="246"/>
      <c r="P52" s="246"/>
      <c r="Q52" s="246"/>
      <c r="R52" s="246"/>
      <c r="S52" s="137">
        <f t="shared" si="0"/>
        <v>0</v>
      </c>
      <c r="T52" s="137">
        <f t="shared" si="1"/>
        <v>0</v>
      </c>
      <c r="U52" s="135">
        <f>IF(J52=0,(S52+T52/EERR!$D$2/1.19),(S52+T52/EERR!$D$2/1.19)/J52)</f>
        <v>0</v>
      </c>
      <c r="V52" s="137">
        <f>T52+S52*EERR!$D$2</f>
        <v>0</v>
      </c>
      <c r="W52" s="132">
        <f ca="1">SUMIF(Siteminder!$A$5:$J$164,Ago!G52,Siteminder!$M$5:$M$164)</f>
        <v>0</v>
      </c>
      <c r="X52" s="250">
        <f>SUMIF(Transbank!$A$2:$A$472,B52,Transbank!$L$2:$L$472)+SUMIF(Transbank!$A$2:$A$472,C52,Transbank!$L$2:$L$472)+SUMIF(Transbank!$A$2:$A$472,D52,Transbank!$L$2:$L$472)+(K52+O52)+(L52+P52)*EERR!$D$2</f>
        <v>0</v>
      </c>
      <c r="Y52" s="250">
        <f>X52/EERR!$D$2</f>
        <v>0</v>
      </c>
      <c r="Z52" s="260">
        <f t="shared" si="2"/>
        <v>0</v>
      </c>
    </row>
    <row r="53" spans="1:6143 6145:7168 7170:16380" s="132" customFormat="1" ht="15" customHeight="1" x14ac:dyDescent="0.25">
      <c r="A53" s="243"/>
      <c r="B53" s="276"/>
      <c r="C53" s="276"/>
      <c r="D53" s="276"/>
      <c r="E53" s="244"/>
      <c r="F53" s="244"/>
      <c r="G53" s="244"/>
      <c r="H53" s="245"/>
      <c r="I53" s="245"/>
      <c r="J53" s="244"/>
      <c r="K53" s="246"/>
      <c r="L53" s="247"/>
      <c r="M53" s="246"/>
      <c r="N53" s="246"/>
      <c r="O53" s="246"/>
      <c r="P53" s="246"/>
      <c r="Q53" s="246"/>
      <c r="R53" s="246"/>
      <c r="S53" s="137">
        <f t="shared" si="0"/>
        <v>0</v>
      </c>
      <c r="T53" s="137">
        <f t="shared" si="1"/>
        <v>0</v>
      </c>
      <c r="U53" s="135">
        <f>IF(J53=0,(S53+T53/EERR!$D$2/1.19),(S53+T53/EERR!$D$2/1.19)/J53)</f>
        <v>0</v>
      </c>
      <c r="V53" s="137">
        <f>T53+S53*EERR!$D$2</f>
        <v>0</v>
      </c>
      <c r="W53" s="132">
        <f ca="1">SUMIF(Siteminder!$A$5:$J$164,Ago!G53,Siteminder!$M$5:$M$164)</f>
        <v>0</v>
      </c>
      <c r="X53" s="250">
        <f>SUMIF(Transbank!$A$2:$A$472,B53,Transbank!$L$2:$L$472)+SUMIF(Transbank!$A$2:$A$472,C53,Transbank!$L$2:$L$472)+SUMIF(Transbank!$A$2:$A$472,D53,Transbank!$L$2:$L$472)+(K53+O53)+(L53+P53)*EERR!$D$2</f>
        <v>0</v>
      </c>
      <c r="Y53" s="250">
        <f>X53/EERR!$D$2</f>
        <v>0</v>
      </c>
      <c r="Z53" s="260">
        <f t="shared" si="2"/>
        <v>0</v>
      </c>
    </row>
    <row r="54" spans="1:6143 6145:7168 7170:16380" s="132" customFormat="1" ht="15" customHeight="1" x14ac:dyDescent="0.25">
      <c r="A54" s="243"/>
      <c r="B54" s="276"/>
      <c r="C54" s="276"/>
      <c r="D54" s="276"/>
      <c r="E54" s="244"/>
      <c r="F54" s="244"/>
      <c r="G54" s="244"/>
      <c r="H54" s="245"/>
      <c r="I54" s="245"/>
      <c r="J54" s="244"/>
      <c r="K54" s="246"/>
      <c r="L54" s="247"/>
      <c r="M54" s="246"/>
      <c r="N54" s="246"/>
      <c r="O54" s="246"/>
      <c r="P54" s="246"/>
      <c r="Q54" s="246"/>
      <c r="R54" s="246"/>
      <c r="S54" s="137">
        <f t="shared" si="0"/>
        <v>0</v>
      </c>
      <c r="T54" s="137">
        <f t="shared" si="1"/>
        <v>0</v>
      </c>
      <c r="U54" s="135">
        <f>IF(J54=0,(S54+T54/EERR!$D$2/1.19),(S54+T54/EERR!$D$2/1.19)/J54)</f>
        <v>0</v>
      </c>
      <c r="V54" s="137">
        <f>T54+S54*EERR!$D$2</f>
        <v>0</v>
      </c>
      <c r="W54" s="132">
        <f ca="1">SUMIF(Siteminder!$A$5:$J$164,Ago!G54,Siteminder!$M$5:$M$164)</f>
        <v>0</v>
      </c>
      <c r="X54" s="250">
        <f>SUMIF(Transbank!$A$2:$A$472,B54,Transbank!$L$2:$L$472)+SUMIF(Transbank!$A$2:$A$472,C54,Transbank!$L$2:$L$472)+SUMIF(Transbank!$A$2:$A$472,D54,Transbank!$L$2:$L$472)+(K54+O54)+(L54+P54)*EERR!$D$2</f>
        <v>0</v>
      </c>
      <c r="Y54" s="250">
        <f>X54/EERR!$D$2</f>
        <v>0</v>
      </c>
      <c r="Z54" s="260">
        <f t="shared" si="2"/>
        <v>0</v>
      </c>
    </row>
    <row r="55" spans="1:6143 6145:7168 7170:16380" s="132" customFormat="1" ht="15" customHeight="1" x14ac:dyDescent="0.25">
      <c r="A55" s="243"/>
      <c r="B55" s="276"/>
      <c r="C55" s="276"/>
      <c r="D55" s="276"/>
      <c r="E55" s="244"/>
      <c r="F55" s="244"/>
      <c r="G55" s="244"/>
      <c r="H55" s="245"/>
      <c r="I55" s="245"/>
      <c r="J55" s="244"/>
      <c r="K55" s="246"/>
      <c r="L55" s="247"/>
      <c r="M55" s="246"/>
      <c r="N55" s="246"/>
      <c r="O55" s="246"/>
      <c r="P55" s="246"/>
      <c r="Q55" s="246"/>
      <c r="R55" s="246"/>
      <c r="S55" s="137">
        <f t="shared" si="0"/>
        <v>0</v>
      </c>
      <c r="T55" s="137">
        <f t="shared" si="1"/>
        <v>0</v>
      </c>
      <c r="U55" s="135">
        <f>IF(J55=0,(S55+T55/EERR!$D$2/1.19),(S55+T55/EERR!$D$2/1.19)/J55)</f>
        <v>0</v>
      </c>
      <c r="V55" s="137">
        <f>T55+S55*EERR!$D$2</f>
        <v>0</v>
      </c>
      <c r="W55" s="132">
        <f ca="1">SUMIF(Siteminder!$A$5:$J$164,Ago!G55,Siteminder!$M$5:$M$164)</f>
        <v>0</v>
      </c>
      <c r="X55" s="250">
        <f>SUMIF(Transbank!$A$2:$A$472,B55,Transbank!$L$2:$L$472)+SUMIF(Transbank!$A$2:$A$472,C55,Transbank!$L$2:$L$472)+SUMIF(Transbank!$A$2:$A$472,D55,Transbank!$L$2:$L$472)+(K55+O55)+(L55+P55)*EERR!$D$2</f>
        <v>0</v>
      </c>
      <c r="Y55" s="250">
        <f>X55/EERR!$D$2</f>
        <v>0</v>
      </c>
      <c r="Z55" s="260">
        <f t="shared" si="2"/>
        <v>0</v>
      </c>
    </row>
    <row r="56" spans="1:6143 6145:7168 7170:16380" s="132" customFormat="1" ht="15" customHeight="1" x14ac:dyDescent="0.25">
      <c r="A56" s="243"/>
      <c r="B56" s="276"/>
      <c r="C56" s="276"/>
      <c r="D56" s="276"/>
      <c r="E56" s="244"/>
      <c r="F56" s="244"/>
      <c r="G56" s="244"/>
      <c r="H56" s="245"/>
      <c r="I56" s="245"/>
      <c r="J56" s="244"/>
      <c r="K56" s="246"/>
      <c r="L56" s="247"/>
      <c r="M56" s="275"/>
      <c r="N56" s="275"/>
      <c r="O56" s="275"/>
      <c r="P56" s="275"/>
      <c r="Q56" s="275"/>
      <c r="R56" s="275"/>
      <c r="S56" s="137">
        <f t="shared" si="0"/>
        <v>0</v>
      </c>
      <c r="T56" s="137">
        <f t="shared" si="1"/>
        <v>0</v>
      </c>
      <c r="U56" s="135">
        <f>IF(J56=0,(S56+T56/EERR!$D$2/1.19),(S56+T56/EERR!$D$2/1.19)/J56)</f>
        <v>0</v>
      </c>
      <c r="V56" s="137">
        <f>T56+S56*EERR!$D$2</f>
        <v>0</v>
      </c>
      <c r="W56" s="132">
        <f ca="1">SUMIF(Siteminder!$A$5:$J$164,Ago!G56,Siteminder!$M$5:$M$164)</f>
        <v>0</v>
      </c>
      <c r="X56" s="250">
        <f>SUMIF(Transbank!$A$2:$A$472,B56,Transbank!$L$2:$L$472)+SUMIF(Transbank!$A$2:$A$472,C56,Transbank!$L$2:$L$472)+SUMIF(Transbank!$A$2:$A$472,D56,Transbank!$L$2:$L$472)+(K56+O56)+(L56+P56)*EERR!$D$2</f>
        <v>0</v>
      </c>
      <c r="Y56" s="250">
        <f>X56/EERR!$D$2</f>
        <v>0</v>
      </c>
      <c r="Z56" s="260">
        <f t="shared" si="2"/>
        <v>0</v>
      </c>
    </row>
    <row r="57" spans="1:6143 6145:7168 7170:16380" s="132" customFormat="1" ht="15" customHeight="1" x14ac:dyDescent="0.25">
      <c r="A57" s="243"/>
      <c r="B57" s="276"/>
      <c r="C57" s="276"/>
      <c r="D57" s="276"/>
      <c r="E57" s="244"/>
      <c r="F57" s="244"/>
      <c r="G57" s="244"/>
      <c r="H57" s="245"/>
      <c r="I57" s="245"/>
      <c r="J57" s="244"/>
      <c r="K57" s="246"/>
      <c r="L57" s="247"/>
      <c r="M57" s="275"/>
      <c r="N57" s="275"/>
      <c r="O57" s="275"/>
      <c r="P57" s="275"/>
      <c r="Q57" s="275"/>
      <c r="R57" s="275"/>
      <c r="S57" s="137">
        <f t="shared" si="0"/>
        <v>0</v>
      </c>
      <c r="T57" s="137">
        <f t="shared" si="1"/>
        <v>0</v>
      </c>
      <c r="U57" s="135">
        <f>IF(J57=0,(S57+T57/EERR!$D$2/1.19),(S57+T57/EERR!$D$2/1.19)/J57)</f>
        <v>0</v>
      </c>
      <c r="V57" s="137">
        <f>T57+S57*EERR!$D$2</f>
        <v>0</v>
      </c>
      <c r="W57" s="132">
        <f ca="1">SUMIF(Siteminder!$A$5:$J$164,Ago!G57,Siteminder!$M$5:$M$164)</f>
        <v>0</v>
      </c>
      <c r="X57" s="250">
        <f>SUMIF(Transbank!$A$2:$A$472,B57,Transbank!$L$2:$L$472)+SUMIF(Transbank!$A$2:$A$472,C57,Transbank!$L$2:$L$472)+SUMIF(Transbank!$A$2:$A$472,D57,Transbank!$L$2:$L$472)+(K57+O57)+(L57+P57)*EERR!$D$2</f>
        <v>0</v>
      </c>
      <c r="Y57" s="250">
        <f>X57/EERR!$D$2</f>
        <v>0</v>
      </c>
      <c r="Z57" s="260">
        <f t="shared" si="2"/>
        <v>0</v>
      </c>
      <c r="AA57" s="276"/>
      <c r="AB57" s="276"/>
      <c r="AC57" s="245"/>
      <c r="AD57" s="245"/>
      <c r="AE57" s="244"/>
      <c r="AF57" s="246"/>
      <c r="AG57" s="247"/>
      <c r="AH57" s="275"/>
      <c r="AI57" s="275"/>
      <c r="AJ57" s="275"/>
      <c r="AK57" s="275"/>
      <c r="AL57" s="275"/>
      <c r="AM57" s="275"/>
      <c r="AN57" s="137"/>
      <c r="AO57" s="137"/>
      <c r="AP57" s="135"/>
      <c r="AQ57" s="137"/>
      <c r="AS57" s="250"/>
      <c r="AT57" s="250"/>
      <c r="AU57" s="243"/>
      <c r="AV57" s="276"/>
      <c r="AW57" s="276"/>
      <c r="AX57" s="276"/>
      <c r="AY57" s="244"/>
      <c r="AZ57" s="244"/>
      <c r="BA57" s="244"/>
      <c r="BB57" s="245"/>
      <c r="BC57" s="245"/>
      <c r="BD57" s="244"/>
      <c r="BE57" s="246"/>
      <c r="BF57" s="247"/>
      <c r="BG57" s="275"/>
      <c r="BH57" s="275"/>
      <c r="BI57" s="275"/>
      <c r="BJ57" s="275"/>
      <c r="BK57" s="275"/>
      <c r="BL57" s="275"/>
      <c r="BM57" s="137"/>
      <c r="BN57" s="137"/>
      <c r="BO57" s="135"/>
      <c r="BP57" s="137"/>
      <c r="BR57" s="250"/>
      <c r="BS57" s="250"/>
      <c r="BT57" s="243"/>
      <c r="BU57" s="276"/>
      <c r="BV57" s="276"/>
      <c r="BW57" s="276"/>
      <c r="BX57" s="244"/>
      <c r="BY57" s="244"/>
      <c r="BZ57" s="244"/>
      <c r="CA57" s="245"/>
      <c r="CB57" s="245"/>
      <c r="CC57" s="244"/>
      <c r="CD57" s="246"/>
      <c r="CE57" s="247"/>
      <c r="CF57" s="275"/>
      <c r="CG57" s="275"/>
      <c r="CH57" s="275"/>
      <c r="CI57" s="275"/>
      <c r="CJ57" s="275"/>
      <c r="CK57" s="275"/>
      <c r="CL57" s="137"/>
      <c r="CM57" s="137"/>
      <c r="CN57" s="135"/>
      <c r="CO57" s="137"/>
      <c r="CQ57" s="250"/>
      <c r="CR57" s="250"/>
      <c r="CS57" s="243"/>
      <c r="CT57" s="276"/>
      <c r="CU57" s="276"/>
      <c r="CV57" s="276"/>
      <c r="CW57" s="244"/>
      <c r="CX57" s="244"/>
      <c r="CY57" s="244"/>
      <c r="CZ57" s="245"/>
      <c r="DA57" s="245"/>
      <c r="DB57" s="244"/>
      <c r="DC57" s="246"/>
      <c r="DD57" s="247"/>
      <c r="DE57" s="275"/>
      <c r="DF57" s="275"/>
      <c r="DG57" s="275"/>
      <c r="DH57" s="275"/>
      <c r="DI57" s="275"/>
      <c r="DJ57" s="275"/>
      <c r="DK57" s="137"/>
      <c r="DL57" s="137"/>
      <c r="DM57" s="135"/>
      <c r="DN57" s="137"/>
      <c r="DP57" s="250"/>
      <c r="DQ57" s="250"/>
      <c r="DR57" s="243"/>
      <c r="DS57" s="276"/>
      <c r="DT57" s="276"/>
      <c r="DU57" s="276"/>
      <c r="DV57" s="244"/>
      <c r="DW57" s="244"/>
      <c r="DX57" s="244"/>
      <c r="DY57" s="245"/>
      <c r="DZ57" s="245"/>
      <c r="EA57" s="244"/>
      <c r="EB57" s="246"/>
      <c r="EC57" s="247"/>
      <c r="ED57" s="275"/>
      <c r="EE57" s="275"/>
      <c r="EF57" s="275"/>
      <c r="EG57" s="275"/>
      <c r="EH57" s="275"/>
      <c r="EI57" s="275"/>
      <c r="EJ57" s="137"/>
      <c r="EK57" s="137"/>
      <c r="EL57" s="135"/>
      <c r="EM57" s="137"/>
      <c r="EO57" s="250"/>
      <c r="EP57" s="250"/>
      <c r="EQ57" s="243"/>
      <c r="ER57" s="276"/>
      <c r="ES57" s="276"/>
      <c r="ET57" s="276"/>
      <c r="EU57" s="244"/>
      <c r="EV57" s="244"/>
      <c r="EW57" s="244"/>
      <c r="EX57" s="245"/>
      <c r="EY57" s="245"/>
      <c r="EZ57" s="244"/>
      <c r="FA57" s="246"/>
      <c r="FB57" s="247"/>
      <c r="FC57" s="275"/>
      <c r="FD57" s="275"/>
      <c r="FE57" s="275"/>
      <c r="FF57" s="275"/>
      <c r="FG57" s="275"/>
      <c r="FH57" s="275"/>
      <c r="FI57" s="137"/>
      <c r="FJ57" s="137"/>
      <c r="FK57" s="135"/>
      <c r="FL57" s="137"/>
      <c r="FN57" s="250"/>
      <c r="FO57" s="250"/>
      <c r="FP57" s="243"/>
      <c r="FQ57" s="276"/>
      <c r="FR57" s="276"/>
      <c r="FS57" s="276"/>
      <c r="FT57" s="244"/>
      <c r="FU57" s="244"/>
      <c r="FV57" s="244"/>
      <c r="FW57" s="245"/>
      <c r="FX57" s="245"/>
      <c r="FY57" s="244"/>
      <c r="FZ57" s="246"/>
      <c r="GA57" s="247"/>
      <c r="GB57" s="275"/>
      <c r="GC57" s="275"/>
      <c r="GD57" s="275"/>
      <c r="GE57" s="275"/>
      <c r="GF57" s="275"/>
      <c r="GG57" s="275"/>
      <c r="GH57" s="137"/>
      <c r="GI57" s="137"/>
      <c r="GJ57" s="135"/>
      <c r="GK57" s="137"/>
      <c r="GM57" s="250"/>
      <c r="GN57" s="250"/>
      <c r="GO57" s="243"/>
      <c r="GP57" s="276"/>
      <c r="GQ57" s="276"/>
      <c r="GR57" s="276"/>
      <c r="GS57" s="244"/>
      <c r="GT57" s="244"/>
      <c r="GU57" s="244"/>
      <c r="GV57" s="245"/>
      <c r="GW57" s="245"/>
      <c r="GX57" s="244"/>
      <c r="GY57" s="246"/>
      <c r="GZ57" s="247"/>
      <c r="HA57" s="275"/>
      <c r="HB57" s="275"/>
      <c r="HC57" s="275"/>
      <c r="HD57" s="275"/>
      <c r="HE57" s="275"/>
      <c r="HF57" s="275"/>
      <c r="HG57" s="137"/>
      <c r="HH57" s="137"/>
      <c r="HI57" s="135"/>
      <c r="HJ57" s="137"/>
      <c r="HL57" s="250"/>
      <c r="HM57" s="250"/>
      <c r="HN57" s="243"/>
      <c r="HO57" s="276"/>
      <c r="HP57" s="276"/>
      <c r="HQ57" s="276"/>
      <c r="HR57" s="244"/>
      <c r="HS57" s="244"/>
      <c r="HT57" s="244"/>
      <c r="HU57" s="245"/>
      <c r="HV57" s="245"/>
      <c r="HW57" s="244"/>
      <c r="HX57" s="246"/>
      <c r="HY57" s="247"/>
      <c r="HZ57" s="275"/>
      <c r="IA57" s="275"/>
      <c r="IB57" s="275"/>
      <c r="IC57" s="275"/>
      <c r="ID57" s="275"/>
      <c r="IE57" s="275"/>
      <c r="IF57" s="137"/>
      <c r="IG57" s="137"/>
      <c r="IH57" s="135"/>
      <c r="II57" s="137"/>
      <c r="IK57" s="250"/>
      <c r="IL57" s="250"/>
      <c r="IM57" s="243"/>
      <c r="IN57" s="276"/>
      <c r="IO57" s="276"/>
      <c r="IP57" s="276"/>
      <c r="IQ57" s="244"/>
      <c r="IR57" s="244"/>
      <c r="IS57" s="244"/>
      <c r="IT57" s="245"/>
      <c r="IU57" s="245"/>
      <c r="IV57" s="244"/>
      <c r="IW57" s="246"/>
      <c r="IX57" s="247"/>
      <c r="IY57" s="275"/>
      <c r="IZ57" s="275"/>
      <c r="JA57" s="275"/>
      <c r="JB57" s="275"/>
      <c r="JC57" s="275"/>
      <c r="JD57" s="275"/>
      <c r="JE57" s="137"/>
      <c r="JF57" s="137"/>
      <c r="JG57" s="135"/>
      <c r="JH57" s="137"/>
      <c r="JJ57" s="250"/>
      <c r="JK57" s="250"/>
      <c r="JL57" s="243"/>
      <c r="JM57" s="276"/>
      <c r="JN57" s="276"/>
      <c r="JO57" s="276"/>
      <c r="JP57" s="244"/>
      <c r="JQ57" s="244"/>
      <c r="JR57" s="244"/>
      <c r="JS57" s="245"/>
      <c r="JT57" s="245"/>
      <c r="JU57" s="244"/>
      <c r="JV57" s="246"/>
      <c r="JW57" s="247"/>
      <c r="JX57" s="275"/>
      <c r="JY57" s="275"/>
      <c r="JZ57" s="275"/>
      <c r="KA57" s="275"/>
      <c r="KB57" s="275"/>
      <c r="KC57" s="275"/>
      <c r="KD57" s="137"/>
      <c r="KE57" s="137"/>
      <c r="KF57" s="135"/>
      <c r="KG57" s="137"/>
      <c r="KI57" s="250"/>
      <c r="KJ57" s="250"/>
      <c r="KK57" s="243"/>
      <c r="KL57" s="276"/>
      <c r="KM57" s="276"/>
      <c r="KN57" s="276"/>
      <c r="KO57" s="244"/>
      <c r="KP57" s="244"/>
      <c r="KQ57" s="244"/>
      <c r="KR57" s="245"/>
      <c r="KS57" s="245"/>
      <c r="KT57" s="244"/>
      <c r="KU57" s="246"/>
      <c r="KV57" s="247"/>
      <c r="KW57" s="275"/>
      <c r="KX57" s="275"/>
      <c r="KY57" s="275"/>
      <c r="KZ57" s="275"/>
      <c r="LA57" s="275"/>
      <c r="LB57" s="275"/>
      <c r="LC57" s="137"/>
      <c r="LD57" s="137"/>
      <c r="LE57" s="135"/>
      <c r="LF57" s="137"/>
      <c r="LH57" s="250"/>
      <c r="LI57" s="250"/>
      <c r="LJ57" s="243"/>
      <c r="LK57" s="276"/>
      <c r="LL57" s="276"/>
      <c r="LM57" s="276"/>
      <c r="LN57" s="244"/>
      <c r="LO57" s="244"/>
      <c r="LP57" s="244"/>
      <c r="LQ57" s="245"/>
      <c r="LR57" s="245"/>
      <c r="LS57" s="244"/>
      <c r="LT57" s="246"/>
      <c r="LU57" s="247"/>
      <c r="LV57" s="275"/>
      <c r="LW57" s="275"/>
      <c r="LX57" s="275"/>
      <c r="LY57" s="275"/>
      <c r="LZ57" s="275"/>
      <c r="MA57" s="275"/>
      <c r="MB57" s="137"/>
      <c r="MC57" s="137"/>
      <c r="MD57" s="135"/>
      <c r="ME57" s="137"/>
      <c r="MG57" s="250"/>
      <c r="MH57" s="250"/>
      <c r="MI57" s="243"/>
      <c r="MJ57" s="276"/>
      <c r="MK57" s="276"/>
      <c r="ML57" s="276"/>
      <c r="MM57" s="244"/>
      <c r="MN57" s="244"/>
      <c r="MO57" s="244"/>
      <c r="MP57" s="245"/>
      <c r="MQ57" s="245"/>
      <c r="MR57" s="244"/>
      <c r="MS57" s="246"/>
      <c r="MT57" s="247"/>
      <c r="MU57" s="275"/>
      <c r="MV57" s="275"/>
      <c r="MW57" s="275"/>
      <c r="MX57" s="275"/>
      <c r="MY57" s="275"/>
      <c r="MZ57" s="275"/>
      <c r="NA57" s="137"/>
      <c r="NB57" s="137"/>
      <c r="NC57" s="135"/>
      <c r="ND57" s="137"/>
      <c r="NF57" s="250"/>
      <c r="NG57" s="250"/>
      <c r="NH57" s="243"/>
      <c r="NI57" s="276"/>
      <c r="NJ57" s="276"/>
      <c r="NK57" s="276"/>
      <c r="NL57" s="244"/>
      <c r="NM57" s="244"/>
      <c r="NN57" s="244"/>
      <c r="NO57" s="245"/>
      <c r="NP57" s="245"/>
      <c r="NQ57" s="244"/>
      <c r="NR57" s="246"/>
      <c r="NS57" s="247"/>
      <c r="NT57" s="275"/>
      <c r="NU57" s="275"/>
      <c r="NV57" s="275"/>
      <c r="NW57" s="275"/>
      <c r="NX57" s="275"/>
      <c r="NY57" s="275"/>
      <c r="NZ57" s="137"/>
      <c r="OA57" s="137"/>
      <c r="OB57" s="135"/>
      <c r="OC57" s="137"/>
      <c r="OE57" s="250"/>
      <c r="OF57" s="250"/>
      <c r="OG57" s="243"/>
      <c r="OH57" s="276"/>
      <c r="OI57" s="276"/>
      <c r="OJ57" s="276"/>
      <c r="OK57" s="244"/>
      <c r="OL57" s="244"/>
      <c r="OM57" s="244"/>
      <c r="ON57" s="245"/>
      <c r="OO57" s="245"/>
      <c r="OP57" s="244"/>
      <c r="OQ57" s="246"/>
      <c r="OR57" s="247"/>
      <c r="OS57" s="275"/>
      <c r="OT57" s="275"/>
      <c r="OU57" s="275"/>
      <c r="OV57" s="275"/>
      <c r="OW57" s="275"/>
      <c r="OX57" s="275"/>
      <c r="OY57" s="137"/>
      <c r="OZ57" s="137"/>
      <c r="PA57" s="135"/>
      <c r="PB57" s="137"/>
      <c r="PD57" s="250"/>
      <c r="PE57" s="250"/>
      <c r="PF57" s="243"/>
      <c r="PG57" s="276"/>
      <c r="PH57" s="276"/>
      <c r="PI57" s="276"/>
      <c r="PJ57" s="244"/>
      <c r="PK57" s="244"/>
      <c r="PL57" s="244"/>
      <c r="PM57" s="245"/>
      <c r="PN57" s="245"/>
      <c r="PO57" s="244"/>
      <c r="PP57" s="246"/>
      <c r="PQ57" s="247"/>
      <c r="PR57" s="275"/>
      <c r="PS57" s="275"/>
      <c r="PT57" s="275"/>
      <c r="PU57" s="275"/>
      <c r="PV57" s="275"/>
      <c r="PW57" s="275"/>
      <c r="PX57" s="137"/>
      <c r="PY57" s="137"/>
      <c r="PZ57" s="135"/>
      <c r="QA57" s="137"/>
      <c r="QC57" s="250"/>
      <c r="QD57" s="250"/>
      <c r="QE57" s="243"/>
      <c r="QF57" s="276"/>
      <c r="QG57" s="276"/>
      <c r="QH57" s="276"/>
      <c r="QI57" s="244"/>
      <c r="QJ57" s="244"/>
      <c r="QK57" s="244"/>
      <c r="QL57" s="245"/>
      <c r="QM57" s="245"/>
      <c r="QN57" s="244"/>
      <c r="QO57" s="246"/>
      <c r="QP57" s="247"/>
      <c r="QQ57" s="275"/>
      <c r="QR57" s="275"/>
      <c r="QS57" s="275"/>
      <c r="QT57" s="275"/>
      <c r="QU57" s="275"/>
      <c r="QV57" s="275"/>
      <c r="QW57" s="137"/>
      <c r="QX57" s="137"/>
      <c r="QY57" s="135"/>
      <c r="QZ57" s="137"/>
      <c r="RB57" s="250"/>
      <c r="RC57" s="250"/>
      <c r="RD57" s="243"/>
      <c r="RE57" s="276"/>
      <c r="RF57" s="276"/>
      <c r="RG57" s="276"/>
      <c r="RH57" s="244"/>
      <c r="RI57" s="244"/>
      <c r="RJ57" s="244"/>
      <c r="RK57" s="245"/>
      <c r="RL57" s="245"/>
      <c r="RM57" s="244"/>
      <c r="RN57" s="246"/>
      <c r="RO57" s="247"/>
      <c r="RP57" s="275"/>
      <c r="RQ57" s="275"/>
      <c r="RR57" s="275"/>
      <c r="RS57" s="275"/>
      <c r="RT57" s="275"/>
      <c r="RU57" s="275"/>
      <c r="RV57" s="137"/>
      <c r="RW57" s="137"/>
      <c r="RX57" s="135"/>
      <c r="RY57" s="137"/>
      <c r="SA57" s="250"/>
      <c r="SB57" s="250"/>
      <c r="SC57" s="243"/>
      <c r="SD57" s="276"/>
      <c r="SE57" s="276"/>
      <c r="SF57" s="276"/>
      <c r="SG57" s="244"/>
      <c r="SH57" s="244"/>
      <c r="SI57" s="244"/>
      <c r="SJ57" s="245"/>
      <c r="SK57" s="245"/>
      <c r="SL57" s="244"/>
      <c r="SM57" s="246"/>
      <c r="SN57" s="247"/>
      <c r="SO57" s="275"/>
      <c r="SP57" s="275"/>
      <c r="SQ57" s="275"/>
      <c r="SR57" s="275"/>
      <c r="SS57" s="275"/>
      <c r="ST57" s="275"/>
      <c r="SU57" s="137"/>
      <c r="SV57" s="137"/>
      <c r="SW57" s="135"/>
      <c r="SX57" s="137"/>
      <c r="SZ57" s="250"/>
      <c r="TA57" s="250"/>
      <c r="TB57" s="243"/>
      <c r="TC57" s="276"/>
      <c r="TD57" s="276"/>
      <c r="TE57" s="276"/>
      <c r="TF57" s="244"/>
      <c r="TG57" s="244"/>
      <c r="TH57" s="244"/>
      <c r="TI57" s="245"/>
      <c r="TJ57" s="245"/>
      <c r="TK57" s="244"/>
      <c r="TL57" s="246"/>
      <c r="TM57" s="247"/>
      <c r="TN57" s="275"/>
      <c r="TO57" s="275"/>
      <c r="TP57" s="275"/>
      <c r="TQ57" s="275"/>
      <c r="TR57" s="275"/>
      <c r="TS57" s="275"/>
      <c r="TT57" s="137"/>
      <c r="TU57" s="137"/>
      <c r="TV57" s="135"/>
      <c r="TW57" s="137"/>
      <c r="TY57" s="250"/>
      <c r="TZ57" s="250"/>
      <c r="UA57" s="243"/>
      <c r="UB57" s="276"/>
      <c r="UC57" s="276"/>
      <c r="UD57" s="276"/>
      <c r="UE57" s="244"/>
      <c r="UF57" s="244"/>
      <c r="UG57" s="244"/>
      <c r="UH57" s="245"/>
      <c r="UI57" s="245"/>
      <c r="UJ57" s="244"/>
      <c r="UK57" s="246"/>
      <c r="UL57" s="247"/>
      <c r="UM57" s="275"/>
      <c r="UN57" s="275"/>
      <c r="UO57" s="275"/>
      <c r="UP57" s="275"/>
      <c r="UQ57" s="275"/>
      <c r="UR57" s="275"/>
      <c r="US57" s="137"/>
      <c r="UT57" s="137"/>
      <c r="UU57" s="135"/>
      <c r="UV57" s="137"/>
      <c r="UX57" s="250"/>
      <c r="UY57" s="250"/>
      <c r="UZ57" s="243"/>
      <c r="VA57" s="276"/>
      <c r="VB57" s="276"/>
      <c r="VC57" s="276"/>
      <c r="VD57" s="244"/>
      <c r="VE57" s="244"/>
      <c r="VF57" s="244"/>
      <c r="VG57" s="245"/>
      <c r="VH57" s="245"/>
      <c r="VI57" s="244"/>
      <c r="VJ57" s="246"/>
      <c r="VK57" s="247"/>
      <c r="VL57" s="275"/>
      <c r="VM57" s="275"/>
      <c r="VN57" s="275"/>
      <c r="VO57" s="275"/>
      <c r="VP57" s="275"/>
      <c r="VQ57" s="275"/>
      <c r="VR57" s="137"/>
      <c r="VS57" s="137"/>
      <c r="VT57" s="135"/>
      <c r="VU57" s="137"/>
      <c r="VW57" s="250"/>
      <c r="VX57" s="250"/>
      <c r="VY57" s="243"/>
      <c r="VZ57" s="276"/>
      <c r="WA57" s="276"/>
      <c r="WB57" s="276"/>
      <c r="WC57" s="244"/>
      <c r="WD57" s="244"/>
      <c r="WE57" s="244"/>
      <c r="WF57" s="245"/>
      <c r="WG57" s="245"/>
      <c r="WH57" s="244"/>
      <c r="WI57" s="246"/>
      <c r="WJ57" s="247"/>
      <c r="WK57" s="275"/>
      <c r="WL57" s="275"/>
      <c r="WM57" s="275"/>
      <c r="WN57" s="275"/>
      <c r="WO57" s="275"/>
      <c r="WP57" s="275"/>
      <c r="WQ57" s="137"/>
      <c r="WR57" s="137"/>
      <c r="WS57" s="135"/>
      <c r="WT57" s="137"/>
      <c r="WV57" s="250"/>
      <c r="WW57" s="250"/>
      <c r="WX57" s="243"/>
      <c r="WY57" s="276"/>
      <c r="WZ57" s="276"/>
      <c r="XA57" s="276"/>
      <c r="XB57" s="244"/>
      <c r="XC57" s="244"/>
      <c r="XD57" s="244"/>
      <c r="XE57" s="245"/>
      <c r="XF57" s="245"/>
      <c r="XG57" s="244"/>
      <c r="XH57" s="246"/>
      <c r="XI57" s="247"/>
      <c r="XJ57" s="275"/>
      <c r="XK57" s="275"/>
      <c r="XL57" s="275"/>
      <c r="XM57" s="275"/>
      <c r="XN57" s="275"/>
      <c r="XO57" s="275"/>
      <c r="XP57" s="137"/>
      <c r="XQ57" s="137"/>
      <c r="XR57" s="135"/>
      <c r="XS57" s="137"/>
      <c r="XU57" s="250"/>
      <c r="XV57" s="250"/>
      <c r="XW57" s="243"/>
      <c r="XX57" s="276"/>
      <c r="XY57" s="276"/>
      <c r="XZ57" s="276"/>
      <c r="YA57" s="244"/>
      <c r="YB57" s="244"/>
      <c r="YC57" s="244"/>
      <c r="YD57" s="245"/>
      <c r="YE57" s="245"/>
      <c r="YF57" s="244"/>
      <c r="YG57" s="246"/>
      <c r="YH57" s="247"/>
      <c r="YI57" s="275"/>
      <c r="YJ57" s="275"/>
      <c r="YK57" s="275"/>
      <c r="YL57" s="275"/>
      <c r="YM57" s="275"/>
      <c r="YN57" s="275"/>
      <c r="YO57" s="137"/>
      <c r="YP57" s="137"/>
      <c r="YQ57" s="135"/>
      <c r="YR57" s="137"/>
      <c r="YT57" s="250"/>
      <c r="YU57" s="250"/>
      <c r="YV57" s="243"/>
      <c r="YW57" s="276"/>
      <c r="YX57" s="276"/>
      <c r="YY57" s="276"/>
      <c r="YZ57" s="244"/>
      <c r="ZA57" s="244"/>
      <c r="ZB57" s="244"/>
      <c r="ZC57" s="245"/>
      <c r="ZD57" s="245"/>
      <c r="ZE57" s="244"/>
      <c r="ZF57" s="246"/>
      <c r="ZG57" s="247"/>
      <c r="ZH57" s="275"/>
      <c r="ZI57" s="275"/>
      <c r="ZJ57" s="275"/>
      <c r="ZK57" s="275"/>
      <c r="ZL57" s="275"/>
      <c r="ZM57" s="275"/>
      <c r="ZN57" s="137"/>
      <c r="ZO57" s="137"/>
      <c r="ZP57" s="135"/>
      <c r="ZQ57" s="137"/>
      <c r="ZS57" s="250"/>
      <c r="ZT57" s="250"/>
      <c r="ZU57" s="243"/>
      <c r="ZV57" s="276"/>
      <c r="ZW57" s="276"/>
      <c r="ZX57" s="276"/>
      <c r="ZY57" s="244"/>
      <c r="ZZ57" s="244"/>
      <c r="AAA57" s="244"/>
      <c r="AAB57" s="245"/>
      <c r="AAC57" s="245"/>
      <c r="AAD57" s="244"/>
      <c r="AAE57" s="246"/>
      <c r="AAF57" s="247"/>
      <c r="AAG57" s="275"/>
      <c r="AAH57" s="275"/>
      <c r="AAI57" s="275"/>
      <c r="AAJ57" s="275"/>
      <c r="AAK57" s="275"/>
      <c r="AAL57" s="275"/>
      <c r="AAM57" s="137"/>
      <c r="AAN57" s="137"/>
      <c r="AAO57" s="135"/>
      <c r="AAP57" s="137"/>
      <c r="AAR57" s="250"/>
      <c r="AAS57" s="250"/>
      <c r="AAT57" s="243"/>
      <c r="AAU57" s="276"/>
      <c r="AAV57" s="276"/>
      <c r="AAW57" s="276"/>
      <c r="AAX57" s="244"/>
      <c r="AAY57" s="244"/>
      <c r="AAZ57" s="244"/>
      <c r="ABA57" s="245"/>
      <c r="ABB57" s="245"/>
      <c r="ABC57" s="244"/>
      <c r="ABD57" s="246"/>
      <c r="ABE57" s="247"/>
      <c r="ABF57" s="275"/>
      <c r="ABG57" s="275"/>
      <c r="ABH57" s="275"/>
      <c r="ABI57" s="275"/>
      <c r="ABJ57" s="275"/>
      <c r="ABK57" s="275"/>
      <c r="ABL57" s="137"/>
      <c r="ABM57" s="137"/>
      <c r="ABN57" s="135"/>
      <c r="ABO57" s="137"/>
      <c r="ABQ57" s="250"/>
      <c r="ABR57" s="250"/>
      <c r="ABS57" s="243"/>
      <c r="ABT57" s="276"/>
      <c r="ABU57" s="276"/>
      <c r="ABV57" s="276"/>
      <c r="ABW57" s="244"/>
      <c r="ABX57" s="244"/>
      <c r="ABY57" s="244"/>
      <c r="ABZ57" s="245"/>
      <c r="ACA57" s="245"/>
      <c r="ACB57" s="244"/>
      <c r="ACC57" s="246"/>
      <c r="ACD57" s="247"/>
      <c r="ACE57" s="275"/>
      <c r="ACF57" s="275"/>
      <c r="ACG57" s="275"/>
      <c r="ACH57" s="275"/>
      <c r="ACI57" s="275"/>
      <c r="ACJ57" s="275"/>
      <c r="ACK57" s="137"/>
      <c r="ACL57" s="137"/>
      <c r="ACM57" s="135"/>
      <c r="ACN57" s="137"/>
      <c r="ACP57" s="250"/>
      <c r="ACQ57" s="250"/>
      <c r="ACR57" s="243"/>
      <c r="ACS57" s="276"/>
      <c r="ACT57" s="276"/>
      <c r="ACU57" s="276"/>
      <c r="ACV57" s="244"/>
      <c r="ACW57" s="244"/>
      <c r="ACX57" s="244"/>
      <c r="ACY57" s="245"/>
      <c r="ACZ57" s="245"/>
      <c r="ADA57" s="244"/>
      <c r="ADB57" s="246"/>
      <c r="ADC57" s="247"/>
      <c r="ADD57" s="275"/>
      <c r="ADE57" s="275"/>
      <c r="ADF57" s="275"/>
      <c r="ADG57" s="275"/>
      <c r="ADH57" s="275"/>
      <c r="ADI57" s="275"/>
      <c r="ADJ57" s="137"/>
      <c r="ADK57" s="137"/>
      <c r="ADL57" s="135"/>
      <c r="ADM57" s="137"/>
      <c r="ADO57" s="250"/>
      <c r="ADP57" s="250"/>
      <c r="ADQ57" s="243"/>
      <c r="ADR57" s="276"/>
      <c r="ADS57" s="276"/>
      <c r="ADT57" s="276"/>
      <c r="ADU57" s="244"/>
      <c r="ADV57" s="244"/>
      <c r="ADW57" s="244"/>
      <c r="ADX57" s="245"/>
      <c r="ADY57" s="245"/>
      <c r="ADZ57" s="244"/>
      <c r="AEA57" s="246"/>
      <c r="AEB57" s="247"/>
      <c r="AEC57" s="275"/>
      <c r="AED57" s="275"/>
      <c r="AEE57" s="275"/>
      <c r="AEF57" s="275"/>
      <c r="AEG57" s="275"/>
      <c r="AEH57" s="275"/>
      <c r="AEI57" s="137"/>
      <c r="AEJ57" s="137"/>
      <c r="AEK57" s="135"/>
      <c r="AEL57" s="137"/>
      <c r="AEN57" s="250"/>
      <c r="AEO57" s="250"/>
      <c r="AEP57" s="243"/>
      <c r="AEQ57" s="276"/>
      <c r="AER57" s="276"/>
      <c r="AES57" s="276"/>
      <c r="AET57" s="244"/>
      <c r="AEU57" s="244"/>
      <c r="AEV57" s="244"/>
      <c r="AEW57" s="245"/>
      <c r="AEX57" s="245"/>
      <c r="AEY57" s="244"/>
      <c r="AEZ57" s="246"/>
      <c r="AFA57" s="247"/>
      <c r="AFB57" s="275"/>
      <c r="AFC57" s="275"/>
      <c r="AFD57" s="275"/>
      <c r="AFE57" s="275"/>
      <c r="AFF57" s="275"/>
      <c r="AFG57" s="275"/>
      <c r="AFH57" s="137"/>
      <c r="AFI57" s="137"/>
      <c r="AFJ57" s="135"/>
      <c r="AFK57" s="137"/>
      <c r="AFM57" s="250"/>
      <c r="AFN57" s="250"/>
      <c r="AFO57" s="243"/>
      <c r="AFP57" s="276"/>
      <c r="AFQ57" s="276"/>
      <c r="AFR57" s="276"/>
      <c r="AFS57" s="244"/>
      <c r="AFT57" s="244"/>
      <c r="AFU57" s="244"/>
      <c r="AFV57" s="245"/>
      <c r="AFW57" s="245"/>
      <c r="AFX57" s="244"/>
      <c r="AFY57" s="246"/>
      <c r="AFZ57" s="247"/>
      <c r="AGA57" s="275"/>
      <c r="AGB57" s="275"/>
      <c r="AGC57" s="275"/>
      <c r="AGD57" s="275"/>
      <c r="AGE57" s="275"/>
      <c r="AGF57" s="275"/>
      <c r="AGG57" s="137"/>
      <c r="AGH57" s="137"/>
      <c r="AGI57" s="135"/>
      <c r="AGJ57" s="137"/>
      <c r="AGL57" s="250"/>
      <c r="AGM57" s="250"/>
      <c r="AGN57" s="243"/>
      <c r="AGO57" s="276"/>
      <c r="AGP57" s="276"/>
      <c r="AGQ57" s="276"/>
      <c r="AGR57" s="244"/>
      <c r="AGS57" s="244"/>
      <c r="AGT57" s="244"/>
      <c r="AGU57" s="245"/>
      <c r="AGV57" s="245"/>
      <c r="AGW57" s="244"/>
      <c r="AGX57" s="246"/>
      <c r="AGY57" s="247"/>
      <c r="AGZ57" s="275"/>
      <c r="AHA57" s="275"/>
      <c r="AHB57" s="275"/>
      <c r="AHC57" s="275"/>
      <c r="AHD57" s="275"/>
      <c r="AHE57" s="275"/>
      <c r="AHF57" s="137"/>
      <c r="AHG57" s="137"/>
      <c r="AHH57" s="135"/>
      <c r="AHI57" s="137"/>
      <c r="AHK57" s="250"/>
      <c r="AHL57" s="250"/>
      <c r="AHM57" s="243"/>
      <c r="AHN57" s="276"/>
      <c r="AHO57" s="276"/>
      <c r="AHP57" s="276"/>
      <c r="AHQ57" s="244"/>
      <c r="AHR57" s="244"/>
      <c r="AHS57" s="244"/>
      <c r="AHT57" s="245"/>
      <c r="AHU57" s="245"/>
      <c r="AHV57" s="244"/>
      <c r="AHW57" s="246"/>
      <c r="AHX57" s="247"/>
      <c r="AHY57" s="275"/>
      <c r="AHZ57" s="275"/>
      <c r="AIA57" s="275"/>
      <c r="AIB57" s="275"/>
      <c r="AIC57" s="275"/>
      <c r="AID57" s="275"/>
      <c r="AIE57" s="137"/>
      <c r="AIF57" s="137"/>
      <c r="AIG57" s="135"/>
      <c r="AIH57" s="137"/>
      <c r="AIJ57" s="250"/>
      <c r="AIK57" s="250"/>
      <c r="AIL57" s="243"/>
      <c r="AIM57" s="276"/>
      <c r="AIN57" s="276"/>
      <c r="AIO57" s="276"/>
      <c r="AIP57" s="244"/>
      <c r="AIQ57" s="244"/>
      <c r="AIR57" s="244"/>
      <c r="AIS57" s="245"/>
      <c r="AIT57" s="245"/>
      <c r="AIU57" s="244"/>
      <c r="AIV57" s="246"/>
      <c r="AIW57" s="247"/>
      <c r="AIX57" s="275"/>
      <c r="AIY57" s="275"/>
      <c r="AIZ57" s="275"/>
      <c r="AJA57" s="275"/>
      <c r="AJB57" s="275"/>
      <c r="AJC57" s="275"/>
      <c r="AJD57" s="137"/>
      <c r="AJE57" s="137"/>
      <c r="AJF57" s="135"/>
      <c r="AJG57" s="137"/>
      <c r="AJI57" s="250"/>
      <c r="AJJ57" s="250"/>
      <c r="AJK57" s="243"/>
      <c r="AJL57" s="276"/>
      <c r="AJM57" s="276"/>
      <c r="AJN57" s="276"/>
      <c r="AJO57" s="244"/>
      <c r="AJP57" s="244"/>
      <c r="AJQ57" s="244"/>
      <c r="AJR57" s="245"/>
      <c r="AJS57" s="245"/>
      <c r="AJT57" s="244"/>
      <c r="AJU57" s="246"/>
      <c r="AJV57" s="247"/>
      <c r="AJW57" s="275"/>
      <c r="AJX57" s="275"/>
      <c r="AJY57" s="275"/>
      <c r="AJZ57" s="275"/>
      <c r="AKA57" s="275"/>
      <c r="AKB57" s="275"/>
      <c r="AKC57" s="137"/>
      <c r="AKD57" s="137"/>
      <c r="AKE57" s="135"/>
      <c r="AKF57" s="137"/>
      <c r="AKH57" s="250"/>
      <c r="AKI57" s="250"/>
      <c r="AKJ57" s="243"/>
      <c r="AKK57" s="276"/>
      <c r="AKL57" s="276"/>
      <c r="AKM57" s="276"/>
      <c r="AKN57" s="244"/>
      <c r="AKO57" s="244"/>
      <c r="AKP57" s="244"/>
      <c r="AKQ57" s="245"/>
      <c r="AKR57" s="245"/>
      <c r="AKS57" s="244"/>
      <c r="AKT57" s="246"/>
      <c r="AKU57" s="247"/>
      <c r="AKV57" s="275"/>
      <c r="AKW57" s="275"/>
      <c r="AKX57" s="275"/>
      <c r="AKY57" s="275"/>
      <c r="AKZ57" s="275"/>
      <c r="ALA57" s="275"/>
      <c r="ALB57" s="137"/>
      <c r="ALC57" s="137"/>
      <c r="ALD57" s="135"/>
      <c r="ALE57" s="137"/>
      <c r="ALG57" s="250"/>
      <c r="ALH57" s="250"/>
      <c r="ALI57" s="243"/>
      <c r="ALJ57" s="276"/>
      <c r="ALK57" s="276"/>
      <c r="ALL57" s="276"/>
      <c r="ALM57" s="244"/>
      <c r="ALN57" s="244"/>
      <c r="ALO57" s="244"/>
      <c r="ALP57" s="245"/>
      <c r="ALQ57" s="245"/>
      <c r="ALR57" s="244"/>
      <c r="ALS57" s="246"/>
      <c r="ALT57" s="247"/>
      <c r="ALU57" s="275"/>
      <c r="ALV57" s="275"/>
      <c r="ALW57" s="275"/>
      <c r="ALX57" s="275"/>
      <c r="ALY57" s="275"/>
      <c r="ALZ57" s="275"/>
      <c r="AMA57" s="137"/>
      <c r="AMB57" s="137"/>
      <c r="AMC57" s="135"/>
      <c r="AMD57" s="137"/>
      <c r="AMF57" s="250"/>
      <c r="AMG57" s="250"/>
      <c r="AMH57" s="243"/>
      <c r="AMI57" s="276"/>
      <c r="AMJ57" s="276"/>
      <c r="AMK57" s="276"/>
      <c r="AML57" s="244"/>
      <c r="AMM57" s="244"/>
      <c r="AMN57" s="244"/>
      <c r="AMO57" s="245"/>
      <c r="AMP57" s="245"/>
      <c r="AMQ57" s="244"/>
      <c r="AMR57" s="246"/>
      <c r="AMS57" s="247"/>
      <c r="AMT57" s="275"/>
      <c r="AMU57" s="275"/>
      <c r="AMV57" s="275"/>
      <c r="AMW57" s="275"/>
      <c r="AMX57" s="275"/>
      <c r="AMY57" s="275"/>
      <c r="AMZ57" s="137"/>
      <c r="ANA57" s="137"/>
      <c r="ANB57" s="135"/>
      <c r="ANC57" s="137"/>
      <c r="ANE57" s="250"/>
      <c r="ANF57" s="250"/>
      <c r="ANG57" s="243"/>
      <c r="ANH57" s="276"/>
      <c r="ANI57" s="276"/>
      <c r="ANJ57" s="276"/>
      <c r="ANK57" s="244"/>
      <c r="ANL57" s="244"/>
      <c r="ANM57" s="244"/>
      <c r="ANN57" s="245"/>
      <c r="ANO57" s="245"/>
      <c r="ANP57" s="244"/>
      <c r="ANQ57" s="246"/>
      <c r="ANR57" s="247"/>
      <c r="ANS57" s="275"/>
      <c r="ANT57" s="275"/>
      <c r="ANU57" s="275"/>
      <c r="ANV57" s="275"/>
      <c r="ANW57" s="275"/>
      <c r="ANX57" s="275"/>
      <c r="ANY57" s="137"/>
      <c r="ANZ57" s="137"/>
      <c r="AOA57" s="135"/>
      <c r="AOB57" s="137"/>
      <c r="AOD57" s="250"/>
      <c r="AOE57" s="250"/>
      <c r="AOF57" s="243"/>
      <c r="AOG57" s="276"/>
      <c r="AOH57" s="276"/>
      <c r="AOI57" s="276"/>
      <c r="AOJ57" s="244"/>
      <c r="AOK57" s="244"/>
      <c r="AOL57" s="244"/>
      <c r="AOM57" s="245"/>
      <c r="AON57" s="245"/>
      <c r="AOO57" s="244"/>
      <c r="AOP57" s="246"/>
      <c r="AOQ57" s="247"/>
      <c r="AOR57" s="275"/>
      <c r="AOS57" s="275"/>
      <c r="AOT57" s="275"/>
      <c r="AOU57" s="275"/>
      <c r="AOV57" s="275"/>
      <c r="AOW57" s="275"/>
      <c r="AOX57" s="137"/>
      <c r="AOY57" s="137"/>
      <c r="AOZ57" s="135"/>
      <c r="APA57" s="137"/>
      <c r="APC57" s="250"/>
      <c r="APD57" s="250"/>
      <c r="APE57" s="243"/>
      <c r="APF57" s="276"/>
      <c r="APG57" s="276"/>
      <c r="APH57" s="276"/>
      <c r="API57" s="244"/>
      <c r="APJ57" s="244"/>
      <c r="APK57" s="244"/>
      <c r="APL57" s="245"/>
      <c r="APM57" s="245"/>
      <c r="APN57" s="244"/>
      <c r="APO57" s="246"/>
      <c r="APP57" s="247"/>
      <c r="APQ57" s="275"/>
      <c r="APR57" s="275"/>
      <c r="APS57" s="275"/>
      <c r="APT57" s="275"/>
      <c r="APU57" s="275"/>
      <c r="APV57" s="275"/>
      <c r="APW57" s="137"/>
      <c r="APX57" s="137"/>
      <c r="APY57" s="135"/>
      <c r="APZ57" s="137"/>
      <c r="AQB57" s="250"/>
      <c r="AQC57" s="250"/>
      <c r="AQD57" s="243"/>
      <c r="AQE57" s="276"/>
      <c r="AQF57" s="276"/>
      <c r="AQG57" s="276"/>
      <c r="AQH57" s="244"/>
      <c r="AQI57" s="244"/>
      <c r="AQJ57" s="244"/>
      <c r="AQK57" s="245"/>
      <c r="AQL57" s="245"/>
      <c r="AQM57" s="244"/>
      <c r="AQN57" s="246"/>
      <c r="AQO57" s="247"/>
      <c r="AQP57" s="275"/>
      <c r="AQQ57" s="275"/>
      <c r="AQR57" s="275"/>
      <c r="AQS57" s="275"/>
      <c r="AQT57" s="275"/>
      <c r="AQU57" s="275"/>
      <c r="AQV57" s="137"/>
      <c r="AQW57" s="137"/>
      <c r="AQX57" s="135"/>
      <c r="AQY57" s="137"/>
      <c r="ARA57" s="250"/>
      <c r="ARB57" s="250"/>
      <c r="ARC57" s="243"/>
      <c r="ARD57" s="276"/>
      <c r="ARE57" s="276"/>
      <c r="ARF57" s="276"/>
      <c r="ARG57" s="244"/>
      <c r="ARH57" s="244"/>
      <c r="ARI57" s="244"/>
      <c r="ARJ57" s="245"/>
      <c r="ARK57" s="245"/>
      <c r="ARL57" s="244"/>
      <c r="ARM57" s="246"/>
      <c r="ARN57" s="247"/>
      <c r="ARO57" s="275"/>
      <c r="ARP57" s="275"/>
      <c r="ARQ57" s="275"/>
      <c r="ARR57" s="275"/>
      <c r="ARS57" s="275"/>
      <c r="ART57" s="275"/>
      <c r="ARU57" s="137"/>
      <c r="ARV57" s="137"/>
      <c r="ARW57" s="135"/>
      <c r="ARX57" s="137"/>
      <c r="ARZ57" s="250"/>
      <c r="ASA57" s="250"/>
      <c r="ASB57" s="243"/>
      <c r="ASC57" s="276"/>
      <c r="ASD57" s="276"/>
      <c r="ASE57" s="276"/>
      <c r="ASF57" s="244"/>
      <c r="ASG57" s="244"/>
      <c r="ASH57" s="244"/>
      <c r="ASI57" s="245"/>
      <c r="ASJ57" s="245"/>
      <c r="ASK57" s="244"/>
      <c r="ASL57" s="246"/>
      <c r="ASM57" s="247"/>
      <c r="ASN57" s="275"/>
      <c r="ASO57" s="275"/>
      <c r="ASP57" s="275"/>
      <c r="ASQ57" s="275"/>
      <c r="ASR57" s="275"/>
      <c r="ASS57" s="275"/>
      <c r="AST57" s="137"/>
      <c r="ASU57" s="137"/>
      <c r="ASV57" s="135"/>
      <c r="ASW57" s="137"/>
      <c r="ASY57" s="250"/>
      <c r="ASZ57" s="250"/>
      <c r="ATA57" s="243"/>
      <c r="ATB57" s="276"/>
      <c r="ATC57" s="276"/>
      <c r="ATD57" s="276"/>
      <c r="ATE57" s="244"/>
      <c r="ATF57" s="244"/>
      <c r="ATG57" s="244"/>
      <c r="ATH57" s="245"/>
      <c r="ATI57" s="245"/>
      <c r="ATJ57" s="244"/>
      <c r="ATK57" s="246"/>
      <c r="ATL57" s="247"/>
      <c r="ATM57" s="275"/>
      <c r="ATN57" s="275"/>
      <c r="ATO57" s="275"/>
      <c r="ATP57" s="275"/>
      <c r="ATQ57" s="275"/>
      <c r="ATR57" s="275"/>
      <c r="ATS57" s="137"/>
      <c r="ATT57" s="137"/>
      <c r="ATU57" s="135"/>
      <c r="ATV57" s="137"/>
      <c r="ATX57" s="250"/>
      <c r="ATY57" s="250"/>
      <c r="ATZ57" s="243"/>
      <c r="AUA57" s="276"/>
      <c r="AUB57" s="276"/>
      <c r="AUC57" s="276"/>
      <c r="AUD57" s="244"/>
      <c r="AUE57" s="244"/>
      <c r="AUF57" s="244"/>
      <c r="AUG57" s="245"/>
      <c r="AUH57" s="245"/>
      <c r="AUI57" s="244"/>
      <c r="AUJ57" s="246"/>
      <c r="AUK57" s="247"/>
      <c r="AUL57" s="275"/>
      <c r="AUM57" s="275"/>
      <c r="AUN57" s="275"/>
      <c r="AUO57" s="275"/>
      <c r="AUP57" s="275"/>
      <c r="AUQ57" s="275"/>
      <c r="AUR57" s="137"/>
      <c r="AUS57" s="137"/>
      <c r="AUT57" s="135"/>
      <c r="AUU57" s="137"/>
      <c r="AUW57" s="250"/>
      <c r="AUX57" s="250"/>
      <c r="AUY57" s="243"/>
      <c r="AUZ57" s="276"/>
      <c r="AVA57" s="276"/>
      <c r="AVB57" s="276"/>
      <c r="AVC57" s="244"/>
      <c r="AVD57" s="244"/>
      <c r="AVE57" s="244"/>
      <c r="AVF57" s="245"/>
      <c r="AVG57" s="245"/>
      <c r="AVH57" s="244"/>
      <c r="AVI57" s="246"/>
      <c r="AVJ57" s="247"/>
      <c r="AVK57" s="275"/>
      <c r="AVL57" s="275"/>
      <c r="AVM57" s="275"/>
      <c r="AVN57" s="275"/>
      <c r="AVO57" s="275"/>
      <c r="AVP57" s="275"/>
      <c r="AVQ57" s="137"/>
      <c r="AVR57" s="137"/>
      <c r="AVS57" s="135"/>
      <c r="AVT57" s="137"/>
      <c r="AVV57" s="250"/>
      <c r="AVW57" s="250"/>
      <c r="AVX57" s="243"/>
      <c r="AVY57" s="276"/>
      <c r="AVZ57" s="276"/>
      <c r="AWA57" s="276"/>
      <c r="AWB57" s="244"/>
      <c r="AWC57" s="244"/>
      <c r="AWD57" s="244"/>
      <c r="AWE57" s="245"/>
      <c r="AWF57" s="245"/>
      <c r="AWG57" s="244"/>
      <c r="AWH57" s="246"/>
      <c r="AWI57" s="247"/>
      <c r="AWJ57" s="275"/>
      <c r="AWK57" s="275"/>
      <c r="AWL57" s="275"/>
      <c r="AWM57" s="275"/>
      <c r="AWN57" s="275"/>
      <c r="AWO57" s="275"/>
      <c r="AWP57" s="137"/>
      <c r="AWQ57" s="137"/>
      <c r="AWR57" s="135"/>
      <c r="AWS57" s="137"/>
      <c r="AWU57" s="250"/>
      <c r="AWV57" s="250"/>
      <c r="AWW57" s="243"/>
      <c r="AWX57" s="276"/>
      <c r="AWY57" s="276"/>
      <c r="AWZ57" s="276"/>
      <c r="AXA57" s="244"/>
      <c r="AXB57" s="244"/>
      <c r="AXC57" s="244"/>
      <c r="AXD57" s="245"/>
      <c r="AXE57" s="245"/>
      <c r="AXF57" s="244"/>
      <c r="AXG57" s="246"/>
      <c r="AXH57" s="247"/>
      <c r="AXI57" s="275"/>
      <c r="AXJ57" s="275"/>
      <c r="AXK57" s="275"/>
      <c r="AXL57" s="275"/>
      <c r="AXM57" s="275"/>
      <c r="AXN57" s="275"/>
      <c r="AXO57" s="137"/>
      <c r="AXP57" s="137"/>
      <c r="AXQ57" s="135"/>
      <c r="AXR57" s="137"/>
      <c r="AXT57" s="250"/>
      <c r="AXU57" s="250"/>
      <c r="AXV57" s="243"/>
      <c r="AXW57" s="276"/>
      <c r="AXX57" s="276"/>
      <c r="AXY57" s="276"/>
      <c r="AXZ57" s="244"/>
      <c r="AYA57" s="244"/>
      <c r="AYB57" s="244"/>
      <c r="AYC57" s="245"/>
      <c r="AYD57" s="245"/>
      <c r="AYE57" s="244"/>
      <c r="AYF57" s="246"/>
      <c r="AYG57" s="247"/>
      <c r="AYH57" s="275"/>
      <c r="AYI57" s="275"/>
      <c r="AYJ57" s="275"/>
      <c r="AYK57" s="275"/>
      <c r="AYL57" s="275"/>
      <c r="AYM57" s="275"/>
      <c r="AYN57" s="137"/>
      <c r="AYO57" s="137"/>
      <c r="AYP57" s="135"/>
      <c r="AYQ57" s="137"/>
      <c r="AYS57" s="250"/>
      <c r="AYT57" s="250"/>
      <c r="AYU57" s="243"/>
      <c r="AYV57" s="276"/>
      <c r="AYW57" s="276"/>
      <c r="AYX57" s="276"/>
      <c r="AYY57" s="244"/>
      <c r="AYZ57" s="244"/>
      <c r="AZA57" s="244"/>
      <c r="AZB57" s="245"/>
      <c r="AZC57" s="245"/>
      <c r="AZD57" s="244"/>
      <c r="AZE57" s="246"/>
      <c r="AZF57" s="247"/>
      <c r="AZG57" s="275"/>
      <c r="AZH57" s="275"/>
      <c r="AZI57" s="275"/>
      <c r="AZJ57" s="275"/>
      <c r="AZK57" s="275"/>
      <c r="AZL57" s="275"/>
      <c r="AZM57" s="137"/>
      <c r="AZN57" s="137"/>
      <c r="AZO57" s="135"/>
      <c r="AZP57" s="137"/>
      <c r="AZR57" s="250"/>
      <c r="AZS57" s="250"/>
      <c r="AZT57" s="243"/>
      <c r="AZU57" s="276"/>
      <c r="AZV57" s="276"/>
      <c r="AZW57" s="276"/>
      <c r="AZX57" s="244"/>
      <c r="AZY57" s="244"/>
      <c r="AZZ57" s="244"/>
      <c r="BAA57" s="245"/>
      <c r="BAB57" s="245"/>
      <c r="BAC57" s="244"/>
      <c r="BAD57" s="246"/>
      <c r="BAE57" s="247"/>
      <c r="BAF57" s="275"/>
      <c r="BAG57" s="275"/>
      <c r="BAH57" s="275"/>
      <c r="BAI57" s="275"/>
      <c r="BAJ57" s="275"/>
      <c r="BAK57" s="275"/>
      <c r="BAL57" s="137"/>
      <c r="BAM57" s="137"/>
      <c r="BAN57" s="135"/>
      <c r="BAO57" s="137"/>
      <c r="BAQ57" s="250"/>
      <c r="BAR57" s="250"/>
      <c r="BAS57" s="243"/>
      <c r="BAT57" s="276"/>
      <c r="BAU57" s="276"/>
      <c r="BAV57" s="276"/>
      <c r="BAW57" s="244"/>
      <c r="BAX57" s="244"/>
      <c r="BAY57" s="244"/>
      <c r="BAZ57" s="245"/>
      <c r="BBA57" s="245"/>
      <c r="BBB57" s="244"/>
      <c r="BBC57" s="246"/>
      <c r="BBD57" s="247"/>
      <c r="BBE57" s="275"/>
      <c r="BBF57" s="275"/>
      <c r="BBG57" s="275"/>
      <c r="BBH57" s="275"/>
      <c r="BBI57" s="275"/>
      <c r="BBJ57" s="275"/>
      <c r="BBK57" s="137"/>
      <c r="BBL57" s="137"/>
      <c r="BBM57" s="135"/>
      <c r="BBN57" s="137"/>
      <c r="BBP57" s="250"/>
      <c r="BBQ57" s="250"/>
      <c r="BBR57" s="243"/>
      <c r="BBS57" s="276"/>
      <c r="BBT57" s="276"/>
      <c r="BBU57" s="276"/>
      <c r="BBV57" s="244"/>
      <c r="BBW57" s="244"/>
      <c r="BBX57" s="244"/>
      <c r="BBY57" s="245"/>
      <c r="BBZ57" s="245"/>
      <c r="BCA57" s="244"/>
      <c r="BCB57" s="246"/>
      <c r="BCC57" s="247"/>
      <c r="BCD57" s="275"/>
      <c r="BCE57" s="275"/>
      <c r="BCF57" s="275"/>
      <c r="BCG57" s="275"/>
      <c r="BCH57" s="275"/>
      <c r="BCI57" s="275"/>
      <c r="BCJ57" s="137"/>
      <c r="BCK57" s="137"/>
      <c r="BCL57" s="135"/>
      <c r="BCM57" s="137"/>
      <c r="BCO57" s="250"/>
      <c r="BCP57" s="250"/>
      <c r="BCQ57" s="243"/>
      <c r="BCR57" s="276"/>
      <c r="BCS57" s="276"/>
      <c r="BCT57" s="276"/>
      <c r="BCU57" s="244"/>
      <c r="BCV57" s="244"/>
      <c r="BCW57" s="244"/>
      <c r="BCX57" s="245"/>
      <c r="BCY57" s="245"/>
      <c r="BCZ57" s="244"/>
      <c r="BDA57" s="246"/>
      <c r="BDB57" s="247"/>
      <c r="BDC57" s="275"/>
      <c r="BDD57" s="275"/>
      <c r="BDE57" s="275"/>
      <c r="BDF57" s="275"/>
      <c r="BDG57" s="275"/>
      <c r="BDH57" s="275"/>
      <c r="BDI57" s="137"/>
      <c r="BDJ57" s="137"/>
      <c r="BDK57" s="135"/>
      <c r="BDL57" s="137"/>
      <c r="BDN57" s="250"/>
      <c r="BDO57" s="250"/>
      <c r="BDP57" s="243"/>
      <c r="BDQ57" s="276"/>
      <c r="BDR57" s="276"/>
      <c r="BDS57" s="276"/>
      <c r="BDT57" s="244"/>
      <c r="BDU57" s="244"/>
      <c r="BDV57" s="244"/>
      <c r="BDW57" s="245"/>
      <c r="BDX57" s="245"/>
      <c r="BDY57" s="244"/>
      <c r="BDZ57" s="246"/>
      <c r="BEA57" s="247"/>
      <c r="BEB57" s="275"/>
      <c r="BEC57" s="275"/>
      <c r="BED57" s="275"/>
      <c r="BEE57" s="275"/>
      <c r="BEF57" s="275"/>
      <c r="BEG57" s="275"/>
      <c r="BEH57" s="137"/>
      <c r="BEI57" s="137"/>
      <c r="BEJ57" s="135"/>
      <c r="BEK57" s="137"/>
      <c r="BEM57" s="250"/>
      <c r="BEN57" s="250"/>
      <c r="BEO57" s="243"/>
      <c r="BEP57" s="276"/>
      <c r="BEQ57" s="276"/>
      <c r="BER57" s="276"/>
      <c r="BES57" s="244"/>
      <c r="BET57" s="244"/>
      <c r="BEU57" s="244"/>
      <c r="BEV57" s="245"/>
      <c r="BEW57" s="245"/>
      <c r="BEX57" s="244"/>
      <c r="BEY57" s="246"/>
      <c r="BEZ57" s="247"/>
      <c r="BFA57" s="275"/>
      <c r="BFB57" s="275"/>
      <c r="BFC57" s="275"/>
      <c r="BFD57" s="275"/>
      <c r="BFE57" s="275"/>
      <c r="BFF57" s="275"/>
      <c r="BFG57" s="137"/>
      <c r="BFH57" s="137"/>
      <c r="BFI57" s="135"/>
      <c r="BFJ57" s="137"/>
      <c r="BFL57" s="250"/>
      <c r="BFM57" s="250"/>
      <c r="BFN57" s="243"/>
      <c r="BFO57" s="276"/>
      <c r="BFP57" s="276"/>
      <c r="BFQ57" s="276"/>
      <c r="BFR57" s="244"/>
      <c r="BFS57" s="244"/>
      <c r="BFT57" s="244"/>
      <c r="BFU57" s="245"/>
      <c r="BFV57" s="245"/>
      <c r="BFW57" s="244"/>
      <c r="BFX57" s="246"/>
      <c r="BFY57" s="247"/>
      <c r="BFZ57" s="275"/>
      <c r="BGA57" s="275"/>
      <c r="BGB57" s="275"/>
      <c r="BGC57" s="275"/>
      <c r="BGD57" s="275"/>
      <c r="BGE57" s="275"/>
      <c r="BGF57" s="137"/>
      <c r="BGG57" s="137"/>
      <c r="BGH57" s="135"/>
      <c r="BGI57" s="137"/>
      <c r="BGK57" s="250"/>
      <c r="BGL57" s="250"/>
      <c r="BGM57" s="243"/>
      <c r="BGN57" s="276"/>
      <c r="BGO57" s="276"/>
      <c r="BGP57" s="276"/>
      <c r="BGQ57" s="244"/>
      <c r="BGR57" s="244"/>
      <c r="BGS57" s="244"/>
      <c r="BGT57" s="245"/>
      <c r="BGU57" s="245"/>
      <c r="BGV57" s="244"/>
      <c r="BGW57" s="246"/>
      <c r="BGX57" s="247"/>
      <c r="BGY57" s="275"/>
      <c r="BGZ57" s="275"/>
      <c r="BHA57" s="275"/>
      <c r="BHB57" s="275"/>
      <c r="BHC57" s="275"/>
      <c r="BHD57" s="275"/>
      <c r="BHE57" s="137"/>
      <c r="BHF57" s="137"/>
      <c r="BHG57" s="135"/>
      <c r="BHH57" s="137"/>
      <c r="BHJ57" s="250"/>
      <c r="BHK57" s="250"/>
      <c r="BHL57" s="243"/>
      <c r="BHM57" s="276"/>
      <c r="BHN57" s="276"/>
      <c r="BHO57" s="276"/>
      <c r="BHP57" s="244"/>
      <c r="BHQ57" s="244"/>
      <c r="BHR57" s="244"/>
      <c r="BHS57" s="245"/>
      <c r="BHT57" s="245"/>
      <c r="BHU57" s="244"/>
      <c r="BHV57" s="246"/>
      <c r="BHW57" s="247"/>
      <c r="BHX57" s="275"/>
      <c r="BHY57" s="275"/>
      <c r="BHZ57" s="275"/>
      <c r="BIA57" s="275"/>
      <c r="BIB57" s="275"/>
      <c r="BIC57" s="275"/>
      <c r="BID57" s="137"/>
      <c r="BIE57" s="137"/>
      <c r="BIF57" s="135"/>
      <c r="BIG57" s="137"/>
      <c r="BII57" s="250"/>
      <c r="BIJ57" s="250"/>
      <c r="BIK57" s="243"/>
      <c r="BIL57" s="276"/>
      <c r="BIM57" s="276"/>
      <c r="BIN57" s="276"/>
      <c r="BIO57" s="244"/>
      <c r="BIP57" s="244"/>
      <c r="BIQ57" s="244"/>
      <c r="BIR57" s="245"/>
      <c r="BIS57" s="245"/>
      <c r="BIT57" s="244"/>
      <c r="BIU57" s="246"/>
      <c r="BIV57" s="247"/>
      <c r="BIW57" s="275"/>
      <c r="BIX57" s="275"/>
      <c r="BIY57" s="275"/>
      <c r="BIZ57" s="275"/>
      <c r="BJA57" s="275"/>
      <c r="BJB57" s="275"/>
      <c r="BJC57" s="137"/>
      <c r="BJD57" s="137"/>
      <c r="BJE57" s="135"/>
      <c r="BJF57" s="137"/>
      <c r="BJH57" s="250"/>
      <c r="BJI57" s="250"/>
      <c r="BJJ57" s="243"/>
      <c r="BJK57" s="276"/>
      <c r="BJL57" s="276"/>
      <c r="BJM57" s="276"/>
      <c r="BJN57" s="244"/>
      <c r="BJO57" s="244"/>
      <c r="BJP57" s="244"/>
      <c r="BJQ57" s="245"/>
      <c r="BJR57" s="245"/>
      <c r="BJS57" s="244"/>
      <c r="BJT57" s="246"/>
      <c r="BJU57" s="247"/>
      <c r="BJV57" s="275"/>
      <c r="BJW57" s="275"/>
      <c r="BJX57" s="275"/>
      <c r="BJY57" s="275"/>
      <c r="BJZ57" s="275"/>
      <c r="BKA57" s="275"/>
      <c r="BKB57" s="137"/>
      <c r="BKC57" s="137"/>
      <c r="BKD57" s="135"/>
      <c r="BKE57" s="137"/>
      <c r="BKG57" s="250"/>
      <c r="BKH57" s="250"/>
      <c r="BKI57" s="243"/>
      <c r="BKJ57" s="276"/>
      <c r="BKK57" s="276"/>
      <c r="BKL57" s="276"/>
      <c r="BKM57" s="244"/>
      <c r="BKN57" s="244"/>
      <c r="BKO57" s="244"/>
      <c r="BKP57" s="245"/>
      <c r="BKQ57" s="245"/>
      <c r="BKR57" s="244"/>
      <c r="BKS57" s="246"/>
      <c r="BKT57" s="247"/>
      <c r="BKU57" s="275"/>
      <c r="BKV57" s="275"/>
      <c r="BKW57" s="275"/>
      <c r="BKX57" s="275"/>
      <c r="BKY57" s="275"/>
      <c r="BKZ57" s="275"/>
      <c r="BLA57" s="137"/>
      <c r="BLB57" s="137"/>
      <c r="BLC57" s="135"/>
      <c r="BLD57" s="137"/>
      <c r="BLF57" s="250"/>
      <c r="BLG57" s="250"/>
      <c r="BLH57" s="243"/>
      <c r="BLI57" s="276"/>
      <c r="BLJ57" s="276"/>
      <c r="BLK57" s="276"/>
      <c r="BLL57" s="244"/>
      <c r="BLM57" s="244"/>
      <c r="BLN57" s="244"/>
      <c r="BLO57" s="245"/>
      <c r="BLP57" s="245"/>
      <c r="BLQ57" s="244"/>
      <c r="BLR57" s="246"/>
      <c r="BLS57" s="247"/>
      <c r="BLT57" s="275"/>
      <c r="BLU57" s="275"/>
      <c r="BLV57" s="275"/>
      <c r="BLW57" s="275"/>
      <c r="BLX57" s="275"/>
      <c r="BLY57" s="275"/>
      <c r="BLZ57" s="137"/>
      <c r="BMA57" s="137"/>
      <c r="BMB57" s="135"/>
      <c r="BMC57" s="137"/>
      <c r="BME57" s="250"/>
      <c r="BMF57" s="250"/>
      <c r="BMG57" s="243"/>
      <c r="BMH57" s="276"/>
      <c r="BMI57" s="276"/>
      <c r="BMJ57" s="276"/>
      <c r="BMK57" s="244"/>
      <c r="BML57" s="244"/>
      <c r="BMM57" s="244"/>
      <c r="BMN57" s="245"/>
      <c r="BMO57" s="245"/>
      <c r="BMP57" s="244"/>
      <c r="BMQ57" s="246"/>
      <c r="BMR57" s="247"/>
      <c r="BMS57" s="275"/>
      <c r="BMT57" s="275"/>
      <c r="BMU57" s="275"/>
      <c r="BMV57" s="275"/>
      <c r="BMW57" s="275"/>
      <c r="BMX57" s="275"/>
      <c r="BMY57" s="137"/>
      <c r="BMZ57" s="137"/>
      <c r="BNA57" s="135"/>
      <c r="BNB57" s="137"/>
      <c r="BND57" s="250"/>
      <c r="BNE57" s="250"/>
      <c r="BNF57" s="243"/>
      <c r="BNG57" s="276"/>
      <c r="BNH57" s="276"/>
      <c r="BNI57" s="276"/>
      <c r="BNJ57" s="244"/>
      <c r="BNK57" s="244"/>
      <c r="BNL57" s="244"/>
      <c r="BNM57" s="245"/>
      <c r="BNN57" s="245"/>
      <c r="BNO57" s="244"/>
      <c r="BNP57" s="246"/>
      <c r="BNQ57" s="247"/>
      <c r="BNR57" s="275"/>
      <c r="BNS57" s="275"/>
      <c r="BNT57" s="275"/>
      <c r="BNU57" s="275"/>
      <c r="BNV57" s="275"/>
      <c r="BNW57" s="275"/>
      <c r="BNX57" s="137"/>
      <c r="BNY57" s="137"/>
      <c r="BNZ57" s="135"/>
      <c r="BOA57" s="137"/>
      <c r="BOC57" s="250"/>
      <c r="BOD57" s="250"/>
      <c r="BOE57" s="243"/>
      <c r="BOF57" s="276"/>
      <c r="BOG57" s="276"/>
      <c r="BOH57" s="276"/>
      <c r="BOI57" s="244"/>
      <c r="BOJ57" s="244"/>
      <c r="BOK57" s="244"/>
      <c r="BOL57" s="245"/>
      <c r="BOM57" s="245"/>
      <c r="BON57" s="244"/>
      <c r="BOO57" s="246"/>
      <c r="BOP57" s="247"/>
      <c r="BOQ57" s="275"/>
      <c r="BOR57" s="275"/>
      <c r="BOS57" s="275"/>
      <c r="BOT57" s="275"/>
      <c r="BOU57" s="275"/>
      <c r="BOV57" s="275"/>
      <c r="BOW57" s="137"/>
      <c r="BOX57" s="137"/>
      <c r="BOY57" s="135"/>
      <c r="BOZ57" s="137"/>
      <c r="BPB57" s="250"/>
      <c r="BPC57" s="250"/>
      <c r="BPD57" s="243"/>
      <c r="BPE57" s="276"/>
      <c r="BPF57" s="276"/>
      <c r="BPG57" s="276"/>
      <c r="BPH57" s="244"/>
      <c r="BPI57" s="244"/>
      <c r="BPJ57" s="244"/>
      <c r="BPK57" s="245"/>
      <c r="BPL57" s="245"/>
      <c r="BPM57" s="244"/>
      <c r="BPN57" s="246"/>
      <c r="BPO57" s="247"/>
      <c r="BPP57" s="275"/>
      <c r="BPQ57" s="275"/>
      <c r="BPR57" s="275"/>
      <c r="BPS57" s="275"/>
      <c r="BPT57" s="275"/>
      <c r="BPU57" s="275"/>
      <c r="BPV57" s="137"/>
      <c r="BPW57" s="137"/>
      <c r="BPX57" s="135"/>
      <c r="BPY57" s="137"/>
      <c r="BQA57" s="250"/>
      <c r="BQB57" s="250"/>
      <c r="BQC57" s="243"/>
      <c r="BQD57" s="276"/>
      <c r="BQE57" s="276"/>
      <c r="BQF57" s="276"/>
      <c r="BQG57" s="244"/>
      <c r="BQH57" s="244"/>
      <c r="BQI57" s="244"/>
      <c r="BQJ57" s="245"/>
      <c r="BQK57" s="245"/>
      <c r="BQL57" s="244"/>
      <c r="BQM57" s="246"/>
      <c r="BQN57" s="247"/>
      <c r="BQO57" s="275"/>
      <c r="BQP57" s="275"/>
      <c r="BQQ57" s="275"/>
      <c r="BQR57" s="275"/>
      <c r="BQS57" s="275"/>
      <c r="BQT57" s="275"/>
      <c r="BQU57" s="137"/>
      <c r="BQV57" s="137"/>
      <c r="BQW57" s="135"/>
      <c r="BQX57" s="137"/>
      <c r="BQZ57" s="250"/>
      <c r="BRA57" s="250"/>
      <c r="BRB57" s="243"/>
      <c r="BRC57" s="276"/>
      <c r="BRD57" s="276"/>
      <c r="BRE57" s="276"/>
      <c r="BRF57" s="244"/>
      <c r="BRG57" s="244"/>
      <c r="BRH57" s="244"/>
      <c r="BRI57" s="245"/>
      <c r="BRJ57" s="245"/>
      <c r="BRK57" s="244"/>
      <c r="BRL57" s="246"/>
      <c r="BRM57" s="247"/>
      <c r="BRN57" s="275"/>
      <c r="BRO57" s="275"/>
      <c r="BRP57" s="275"/>
      <c r="BRQ57" s="275"/>
      <c r="BRR57" s="275"/>
      <c r="BRS57" s="275"/>
      <c r="BRT57" s="137"/>
      <c r="BRU57" s="137"/>
      <c r="BRV57" s="135"/>
      <c r="BRW57" s="137"/>
      <c r="BRY57" s="250"/>
      <c r="BRZ57" s="250"/>
      <c r="BSA57" s="243"/>
      <c r="BSB57" s="276"/>
      <c r="BSC57" s="276"/>
      <c r="BSD57" s="276"/>
      <c r="BSE57" s="244"/>
      <c r="BSF57" s="244"/>
      <c r="BSG57" s="244"/>
      <c r="BSH57" s="245"/>
      <c r="BSI57" s="245"/>
      <c r="BSJ57" s="244"/>
      <c r="BSK57" s="246"/>
      <c r="BSL57" s="247"/>
      <c r="BSM57" s="275"/>
      <c r="BSN57" s="275"/>
      <c r="BSO57" s="275"/>
      <c r="BSP57" s="275"/>
      <c r="BSQ57" s="275"/>
      <c r="BSR57" s="275"/>
      <c r="BSS57" s="137"/>
      <c r="BST57" s="137"/>
      <c r="BSU57" s="135"/>
      <c r="BSV57" s="137"/>
      <c r="BSX57" s="250"/>
      <c r="BSY57" s="250"/>
      <c r="BSZ57" s="243"/>
      <c r="BTA57" s="276"/>
      <c r="BTB57" s="276"/>
      <c r="BTC57" s="276"/>
      <c r="BTD57" s="244"/>
      <c r="BTE57" s="244"/>
      <c r="BTF57" s="244"/>
      <c r="BTG57" s="245"/>
      <c r="BTH57" s="245"/>
      <c r="BTI57" s="244"/>
      <c r="BTJ57" s="246"/>
      <c r="BTK57" s="247"/>
      <c r="BTL57" s="275"/>
      <c r="BTM57" s="275"/>
      <c r="BTN57" s="275"/>
      <c r="BTO57" s="275"/>
      <c r="BTP57" s="275"/>
      <c r="BTQ57" s="275"/>
      <c r="BTR57" s="137"/>
      <c r="BTS57" s="137"/>
      <c r="BTT57" s="135"/>
      <c r="BTU57" s="137"/>
      <c r="BTW57" s="250"/>
      <c r="BTX57" s="250"/>
      <c r="BTY57" s="243"/>
      <c r="BTZ57" s="276"/>
      <c r="BUA57" s="276"/>
      <c r="BUB57" s="276"/>
      <c r="BUC57" s="244"/>
      <c r="BUD57" s="244"/>
      <c r="BUE57" s="244"/>
      <c r="BUF57" s="245"/>
      <c r="BUG57" s="245"/>
      <c r="BUH57" s="244"/>
      <c r="BUI57" s="246"/>
      <c r="BUJ57" s="247"/>
      <c r="BUK57" s="275"/>
      <c r="BUL57" s="275"/>
      <c r="BUM57" s="275"/>
      <c r="BUN57" s="275"/>
      <c r="BUO57" s="275"/>
      <c r="BUP57" s="275"/>
      <c r="BUQ57" s="137"/>
      <c r="BUR57" s="137"/>
      <c r="BUS57" s="135"/>
      <c r="BUT57" s="137"/>
      <c r="BUV57" s="250"/>
      <c r="BUW57" s="250"/>
      <c r="BUX57" s="243"/>
      <c r="BUY57" s="276"/>
      <c r="BUZ57" s="276"/>
      <c r="BVA57" s="276"/>
      <c r="BVB57" s="244"/>
      <c r="BVC57" s="244"/>
      <c r="BVD57" s="244"/>
      <c r="BVE57" s="245"/>
      <c r="BVF57" s="245"/>
      <c r="BVG57" s="244"/>
      <c r="BVH57" s="246"/>
      <c r="BVI57" s="247"/>
      <c r="BVJ57" s="275"/>
      <c r="BVK57" s="275"/>
      <c r="BVL57" s="275"/>
      <c r="BVM57" s="275"/>
      <c r="BVN57" s="275"/>
      <c r="BVO57" s="275"/>
      <c r="BVP57" s="137"/>
      <c r="BVQ57" s="137"/>
      <c r="BVR57" s="135"/>
      <c r="BVS57" s="137"/>
      <c r="BVU57" s="250"/>
      <c r="BVV57" s="250"/>
      <c r="BVW57" s="243"/>
      <c r="BVX57" s="276"/>
      <c r="BVY57" s="276"/>
      <c r="BVZ57" s="276"/>
      <c r="BWA57" s="244"/>
      <c r="BWB57" s="244"/>
      <c r="BWC57" s="244"/>
      <c r="BWD57" s="245"/>
      <c r="BWE57" s="245"/>
      <c r="BWF57" s="244"/>
      <c r="BWG57" s="246"/>
      <c r="BWH57" s="247"/>
      <c r="BWI57" s="275"/>
      <c r="BWJ57" s="275"/>
      <c r="BWK57" s="275"/>
      <c r="BWL57" s="275"/>
      <c r="BWM57" s="275"/>
      <c r="BWN57" s="275"/>
      <c r="BWO57" s="137"/>
      <c r="BWP57" s="137"/>
      <c r="BWQ57" s="135"/>
      <c r="BWR57" s="137"/>
      <c r="BWT57" s="250"/>
      <c r="BWU57" s="250"/>
      <c r="BWV57" s="243"/>
      <c r="BWW57" s="276"/>
      <c r="BWX57" s="276"/>
      <c r="BWY57" s="276"/>
      <c r="BWZ57" s="244"/>
      <c r="BXA57" s="244"/>
      <c r="BXB57" s="244"/>
      <c r="BXC57" s="245"/>
      <c r="BXD57" s="245"/>
      <c r="BXE57" s="244"/>
      <c r="BXF57" s="246"/>
      <c r="BXG57" s="247"/>
      <c r="BXH57" s="275"/>
      <c r="BXI57" s="275"/>
      <c r="BXJ57" s="275"/>
      <c r="BXK57" s="275"/>
      <c r="BXL57" s="275"/>
      <c r="BXM57" s="275"/>
      <c r="BXN57" s="137"/>
      <c r="BXO57" s="137"/>
      <c r="BXP57" s="135"/>
      <c r="BXQ57" s="137"/>
      <c r="BXS57" s="250"/>
      <c r="BXT57" s="250"/>
      <c r="BXU57" s="243"/>
      <c r="BXV57" s="276"/>
      <c r="BXW57" s="276"/>
      <c r="BXX57" s="276"/>
      <c r="BXY57" s="244"/>
      <c r="BXZ57" s="244"/>
      <c r="BYA57" s="244"/>
      <c r="BYB57" s="245"/>
      <c r="BYC57" s="245"/>
      <c r="BYD57" s="244"/>
      <c r="BYE57" s="246"/>
      <c r="BYF57" s="247"/>
      <c r="BYG57" s="275"/>
      <c r="BYH57" s="275"/>
      <c r="BYI57" s="275"/>
      <c r="BYJ57" s="275"/>
      <c r="BYK57" s="275"/>
      <c r="BYL57" s="275"/>
      <c r="BYM57" s="137"/>
      <c r="BYN57" s="137"/>
      <c r="BYO57" s="135"/>
      <c r="BYP57" s="137"/>
      <c r="BYR57" s="250"/>
      <c r="BYS57" s="250"/>
      <c r="BYT57" s="243"/>
      <c r="BYU57" s="276"/>
      <c r="BYV57" s="276"/>
      <c r="BYW57" s="276"/>
      <c r="BYX57" s="244"/>
      <c r="BYY57" s="244"/>
      <c r="BYZ57" s="244"/>
      <c r="BZA57" s="245"/>
      <c r="BZB57" s="245"/>
      <c r="BZC57" s="244"/>
      <c r="BZD57" s="246"/>
      <c r="BZE57" s="247"/>
      <c r="BZF57" s="275"/>
      <c r="BZG57" s="275"/>
      <c r="BZH57" s="275"/>
      <c r="BZI57" s="275"/>
      <c r="BZJ57" s="275"/>
      <c r="BZK57" s="275"/>
      <c r="BZL57" s="137"/>
      <c r="BZM57" s="137"/>
      <c r="BZN57" s="135"/>
      <c r="BZO57" s="137"/>
      <c r="BZQ57" s="250"/>
      <c r="BZR57" s="250"/>
      <c r="BZS57" s="243"/>
      <c r="BZT57" s="276"/>
      <c r="BZU57" s="276"/>
      <c r="BZV57" s="276"/>
      <c r="BZW57" s="244"/>
      <c r="BZX57" s="244"/>
      <c r="BZY57" s="244"/>
      <c r="BZZ57" s="245"/>
      <c r="CAA57" s="245"/>
      <c r="CAB57" s="244"/>
      <c r="CAC57" s="246"/>
      <c r="CAD57" s="247"/>
      <c r="CAE57" s="275"/>
      <c r="CAF57" s="275"/>
      <c r="CAG57" s="275"/>
      <c r="CAH57" s="275"/>
      <c r="CAI57" s="275"/>
      <c r="CAJ57" s="275"/>
      <c r="CAK57" s="137"/>
      <c r="CAL57" s="137"/>
      <c r="CAM57" s="135"/>
      <c r="CAN57" s="137"/>
      <c r="CAP57" s="250"/>
      <c r="CAQ57" s="250"/>
      <c r="CAR57" s="243"/>
      <c r="CAS57" s="276"/>
      <c r="CAT57" s="276"/>
      <c r="CAU57" s="276"/>
      <c r="CAV57" s="244"/>
      <c r="CAW57" s="244"/>
      <c r="CAX57" s="244"/>
      <c r="CAY57" s="245"/>
      <c r="CAZ57" s="245"/>
      <c r="CBA57" s="244"/>
      <c r="CBB57" s="246"/>
      <c r="CBC57" s="247"/>
      <c r="CBD57" s="275"/>
      <c r="CBE57" s="275"/>
      <c r="CBF57" s="275"/>
      <c r="CBG57" s="275"/>
      <c r="CBH57" s="275"/>
      <c r="CBI57" s="275"/>
      <c r="CBJ57" s="137"/>
      <c r="CBK57" s="137"/>
      <c r="CBL57" s="135"/>
      <c r="CBM57" s="137"/>
      <c r="CBO57" s="250"/>
      <c r="CBP57" s="250"/>
      <c r="CBQ57" s="243"/>
      <c r="CBR57" s="276"/>
      <c r="CBS57" s="276"/>
      <c r="CBT57" s="276"/>
      <c r="CBU57" s="244"/>
      <c r="CBV57" s="244"/>
      <c r="CBW57" s="244"/>
      <c r="CBX57" s="245"/>
      <c r="CBY57" s="245"/>
      <c r="CBZ57" s="244"/>
      <c r="CCA57" s="246"/>
      <c r="CCB57" s="247"/>
      <c r="CCC57" s="275"/>
      <c r="CCD57" s="275"/>
      <c r="CCE57" s="275"/>
      <c r="CCF57" s="275"/>
      <c r="CCG57" s="275"/>
      <c r="CCH57" s="275"/>
      <c r="CCI57" s="137"/>
      <c r="CCJ57" s="137"/>
      <c r="CCK57" s="135"/>
      <c r="CCL57" s="137"/>
      <c r="CCN57" s="250"/>
      <c r="CCO57" s="250"/>
      <c r="CCP57" s="243"/>
      <c r="CCQ57" s="276"/>
      <c r="CCR57" s="276"/>
      <c r="CCS57" s="276"/>
      <c r="CCT57" s="244"/>
      <c r="CCU57" s="244"/>
      <c r="CCV57" s="244"/>
      <c r="CCW57" s="245"/>
      <c r="CCX57" s="245"/>
      <c r="CCY57" s="244"/>
      <c r="CCZ57" s="246"/>
      <c r="CDA57" s="247"/>
      <c r="CDB57" s="275"/>
      <c r="CDC57" s="275"/>
      <c r="CDD57" s="275"/>
      <c r="CDE57" s="275"/>
      <c r="CDF57" s="275"/>
      <c r="CDG57" s="275"/>
      <c r="CDH57" s="137"/>
      <c r="CDI57" s="137"/>
      <c r="CDJ57" s="135"/>
      <c r="CDK57" s="137"/>
      <c r="CDM57" s="250"/>
      <c r="CDN57" s="250"/>
      <c r="CDO57" s="243"/>
      <c r="CDP57" s="276"/>
      <c r="CDQ57" s="276"/>
      <c r="CDR57" s="276"/>
      <c r="CDS57" s="244"/>
      <c r="CDT57" s="244"/>
      <c r="CDU57" s="244"/>
      <c r="CDV57" s="245"/>
      <c r="CDW57" s="245"/>
      <c r="CDX57" s="244"/>
      <c r="CDY57" s="246"/>
      <c r="CDZ57" s="247"/>
      <c r="CEA57" s="275"/>
      <c r="CEB57" s="275"/>
      <c r="CEC57" s="275"/>
      <c r="CED57" s="275"/>
      <c r="CEE57" s="275"/>
      <c r="CEF57" s="275"/>
      <c r="CEG57" s="137"/>
      <c r="CEH57" s="137"/>
      <c r="CEI57" s="135"/>
      <c r="CEJ57" s="137"/>
      <c r="CEL57" s="250"/>
      <c r="CEM57" s="250"/>
      <c r="CEN57" s="243"/>
      <c r="CEO57" s="276"/>
      <c r="CEP57" s="276"/>
      <c r="CEQ57" s="276"/>
      <c r="CER57" s="244"/>
      <c r="CES57" s="244"/>
      <c r="CET57" s="244"/>
      <c r="CEU57" s="245"/>
      <c r="CEV57" s="245"/>
      <c r="CEW57" s="244"/>
      <c r="CEX57" s="246"/>
      <c r="CEY57" s="247"/>
      <c r="CEZ57" s="275"/>
      <c r="CFA57" s="275"/>
      <c r="CFB57" s="275"/>
      <c r="CFC57" s="275"/>
      <c r="CFD57" s="275"/>
      <c r="CFE57" s="275"/>
      <c r="CFF57" s="137"/>
      <c r="CFG57" s="137"/>
      <c r="CFH57" s="135"/>
      <c r="CFI57" s="137"/>
      <c r="CFK57" s="250"/>
      <c r="CFL57" s="250"/>
      <c r="CFM57" s="243"/>
      <c r="CFN57" s="276"/>
      <c r="CFO57" s="276"/>
      <c r="CFP57" s="276"/>
      <c r="CFQ57" s="244"/>
      <c r="CFR57" s="244"/>
      <c r="CFS57" s="244"/>
      <c r="CFT57" s="245"/>
      <c r="CFU57" s="245"/>
      <c r="CFV57" s="244"/>
      <c r="CFW57" s="246"/>
      <c r="CFX57" s="247"/>
      <c r="CFY57" s="275"/>
      <c r="CFZ57" s="275"/>
      <c r="CGA57" s="275"/>
      <c r="CGB57" s="275"/>
      <c r="CGC57" s="275"/>
      <c r="CGD57" s="275"/>
      <c r="CGE57" s="137"/>
      <c r="CGF57" s="137"/>
      <c r="CGG57" s="135"/>
      <c r="CGH57" s="137"/>
      <c r="CGJ57" s="250"/>
      <c r="CGK57" s="250"/>
      <c r="CGL57" s="243"/>
      <c r="CGM57" s="276"/>
      <c r="CGN57" s="276"/>
      <c r="CGO57" s="276"/>
      <c r="CGP57" s="244"/>
      <c r="CGQ57" s="244"/>
      <c r="CGR57" s="244"/>
      <c r="CGS57" s="245"/>
      <c r="CGT57" s="245"/>
      <c r="CGU57" s="244"/>
      <c r="CGV57" s="246"/>
      <c r="CGW57" s="247"/>
      <c r="CGX57" s="275"/>
      <c r="CGY57" s="275"/>
      <c r="CGZ57" s="275"/>
      <c r="CHA57" s="275"/>
      <c r="CHB57" s="275"/>
      <c r="CHC57" s="275"/>
      <c r="CHD57" s="137"/>
      <c r="CHE57" s="137"/>
      <c r="CHF57" s="135"/>
      <c r="CHG57" s="137"/>
      <c r="CHI57" s="250"/>
      <c r="CHJ57" s="250"/>
      <c r="CHK57" s="243"/>
      <c r="CHL57" s="276"/>
      <c r="CHM57" s="276"/>
      <c r="CHN57" s="276"/>
      <c r="CHO57" s="244"/>
      <c r="CHP57" s="244"/>
      <c r="CHQ57" s="244"/>
      <c r="CHR57" s="245"/>
      <c r="CHS57" s="245"/>
      <c r="CHT57" s="244"/>
      <c r="CHU57" s="246"/>
      <c r="CHV57" s="247"/>
      <c r="CHW57" s="275"/>
      <c r="CHX57" s="275"/>
      <c r="CHY57" s="275"/>
      <c r="CHZ57" s="275"/>
      <c r="CIA57" s="275"/>
      <c r="CIB57" s="275"/>
      <c r="CIC57" s="137"/>
      <c r="CID57" s="137"/>
      <c r="CIE57" s="135"/>
      <c r="CIF57" s="137"/>
      <c r="CIH57" s="250"/>
      <c r="CII57" s="250"/>
      <c r="CIJ57" s="243"/>
      <c r="CIK57" s="276"/>
      <c r="CIL57" s="276"/>
      <c r="CIM57" s="276"/>
      <c r="CIN57" s="244"/>
      <c r="CIO57" s="244"/>
      <c r="CIP57" s="244"/>
      <c r="CIQ57" s="245"/>
      <c r="CIR57" s="245"/>
      <c r="CIS57" s="244"/>
      <c r="CIT57" s="246"/>
      <c r="CIU57" s="247"/>
      <c r="CIV57" s="275"/>
      <c r="CIW57" s="275"/>
      <c r="CIX57" s="275"/>
      <c r="CIY57" s="275"/>
      <c r="CIZ57" s="275"/>
      <c r="CJA57" s="275"/>
      <c r="CJB57" s="137"/>
      <c r="CJC57" s="137"/>
      <c r="CJD57" s="135"/>
      <c r="CJE57" s="137"/>
      <c r="CJG57" s="250"/>
      <c r="CJH57" s="250"/>
      <c r="CJI57" s="243"/>
      <c r="CJJ57" s="276"/>
      <c r="CJK57" s="276"/>
      <c r="CJL57" s="276"/>
      <c r="CJM57" s="244"/>
      <c r="CJN57" s="244"/>
      <c r="CJO57" s="244"/>
      <c r="CJP57" s="245"/>
      <c r="CJQ57" s="245"/>
      <c r="CJR57" s="244"/>
      <c r="CJS57" s="246"/>
      <c r="CJT57" s="247"/>
      <c r="CJU57" s="275"/>
      <c r="CJV57" s="275"/>
      <c r="CJW57" s="275"/>
      <c r="CJX57" s="275"/>
      <c r="CJY57" s="275"/>
      <c r="CJZ57" s="275"/>
      <c r="CKA57" s="137"/>
      <c r="CKB57" s="137"/>
      <c r="CKC57" s="135"/>
      <c r="CKD57" s="137"/>
      <c r="CKF57" s="250"/>
      <c r="CKG57" s="250"/>
      <c r="CKH57" s="243"/>
      <c r="CKI57" s="276"/>
      <c r="CKJ57" s="276"/>
      <c r="CKK57" s="276"/>
      <c r="CKL57" s="244"/>
      <c r="CKM57" s="244"/>
      <c r="CKN57" s="244"/>
      <c r="CKO57" s="245"/>
      <c r="CKP57" s="245"/>
      <c r="CKQ57" s="244"/>
      <c r="CKR57" s="246"/>
      <c r="CKS57" s="247"/>
      <c r="CKT57" s="275"/>
      <c r="CKU57" s="275"/>
      <c r="CKV57" s="275"/>
      <c r="CKW57" s="275"/>
      <c r="CKX57" s="275"/>
      <c r="CKY57" s="275"/>
      <c r="CKZ57" s="137"/>
      <c r="CLA57" s="137"/>
      <c r="CLB57" s="135"/>
      <c r="CLC57" s="137"/>
      <c r="CLE57" s="250"/>
      <c r="CLF57" s="250"/>
      <c r="CLG57" s="243"/>
      <c r="CLH57" s="276"/>
      <c r="CLI57" s="276"/>
      <c r="CLJ57" s="276"/>
      <c r="CLK57" s="244"/>
      <c r="CLL57" s="244"/>
      <c r="CLM57" s="244"/>
      <c r="CLN57" s="245"/>
      <c r="CLO57" s="245"/>
      <c r="CLP57" s="244"/>
      <c r="CLQ57" s="246"/>
      <c r="CLR57" s="247"/>
      <c r="CLS57" s="275"/>
      <c r="CLT57" s="275"/>
      <c r="CLU57" s="275"/>
      <c r="CLV57" s="275"/>
      <c r="CLW57" s="275"/>
      <c r="CLX57" s="275"/>
      <c r="CLY57" s="137"/>
      <c r="CLZ57" s="137"/>
      <c r="CMA57" s="135"/>
      <c r="CMB57" s="137"/>
      <c r="CMD57" s="250"/>
      <c r="CME57" s="250"/>
      <c r="CMF57" s="243"/>
      <c r="CMG57" s="276"/>
      <c r="CMH57" s="276"/>
      <c r="CMI57" s="276"/>
      <c r="CMJ57" s="244"/>
      <c r="CMK57" s="244"/>
      <c r="CML57" s="244"/>
      <c r="CMM57" s="245"/>
      <c r="CMN57" s="245"/>
      <c r="CMO57" s="244"/>
      <c r="CMP57" s="246"/>
      <c r="CMQ57" s="247"/>
      <c r="CMR57" s="275"/>
      <c r="CMS57" s="275"/>
      <c r="CMT57" s="275"/>
      <c r="CMU57" s="275"/>
      <c r="CMV57" s="275"/>
      <c r="CMW57" s="275"/>
      <c r="CMX57" s="137"/>
      <c r="CMY57" s="137"/>
      <c r="CMZ57" s="135"/>
      <c r="CNA57" s="137"/>
      <c r="CNC57" s="250"/>
      <c r="CND57" s="250"/>
      <c r="CNE57" s="243"/>
      <c r="CNF57" s="276"/>
      <c r="CNG57" s="276"/>
      <c r="CNH57" s="276"/>
      <c r="CNI57" s="244"/>
      <c r="CNJ57" s="244"/>
      <c r="CNK57" s="244"/>
      <c r="CNL57" s="245"/>
      <c r="CNM57" s="245"/>
      <c r="CNN57" s="244"/>
      <c r="CNO57" s="246"/>
      <c r="CNP57" s="247"/>
      <c r="CNQ57" s="275"/>
      <c r="CNR57" s="275"/>
      <c r="CNS57" s="275"/>
      <c r="CNT57" s="275"/>
      <c r="CNU57" s="275"/>
      <c r="CNV57" s="275"/>
      <c r="CNW57" s="137"/>
      <c r="CNX57" s="137"/>
      <c r="CNY57" s="135"/>
      <c r="CNZ57" s="137"/>
      <c r="COB57" s="250"/>
      <c r="COC57" s="250"/>
      <c r="COD57" s="243"/>
      <c r="COE57" s="276"/>
      <c r="COF57" s="276"/>
      <c r="COG57" s="276"/>
      <c r="COH57" s="244"/>
      <c r="COI57" s="244"/>
      <c r="COJ57" s="244"/>
      <c r="COK57" s="245"/>
      <c r="COL57" s="245"/>
      <c r="COM57" s="244"/>
      <c r="CON57" s="246"/>
      <c r="COO57" s="247"/>
      <c r="COP57" s="275"/>
      <c r="COQ57" s="275"/>
      <c r="COR57" s="275"/>
      <c r="COS57" s="275"/>
      <c r="COT57" s="275"/>
      <c r="COU57" s="275"/>
      <c r="COV57" s="137"/>
      <c r="COW57" s="137"/>
      <c r="COX57" s="135"/>
      <c r="COY57" s="137"/>
      <c r="CPA57" s="250"/>
      <c r="CPB57" s="250"/>
      <c r="CPC57" s="243"/>
      <c r="CPD57" s="276"/>
      <c r="CPE57" s="276"/>
      <c r="CPF57" s="276"/>
      <c r="CPG57" s="244"/>
      <c r="CPH57" s="244"/>
      <c r="CPI57" s="244"/>
      <c r="CPJ57" s="245"/>
      <c r="CPK57" s="245"/>
      <c r="CPL57" s="244"/>
      <c r="CPM57" s="246"/>
      <c r="CPN57" s="247"/>
      <c r="CPO57" s="275"/>
      <c r="CPP57" s="275"/>
      <c r="CPQ57" s="275"/>
      <c r="CPR57" s="275"/>
      <c r="CPS57" s="275"/>
      <c r="CPT57" s="275"/>
      <c r="CPU57" s="137"/>
      <c r="CPV57" s="137"/>
      <c r="CPW57" s="135"/>
      <c r="CPX57" s="137"/>
      <c r="CPZ57" s="250"/>
      <c r="CQA57" s="250"/>
      <c r="CQB57" s="243"/>
      <c r="CQC57" s="276"/>
      <c r="CQD57" s="276"/>
      <c r="CQE57" s="276"/>
      <c r="CQF57" s="244"/>
      <c r="CQG57" s="244"/>
      <c r="CQH57" s="244"/>
      <c r="CQI57" s="245"/>
      <c r="CQJ57" s="245"/>
      <c r="CQK57" s="244"/>
      <c r="CQL57" s="246"/>
      <c r="CQM57" s="247"/>
      <c r="CQN57" s="275"/>
      <c r="CQO57" s="275"/>
      <c r="CQP57" s="275"/>
      <c r="CQQ57" s="275"/>
      <c r="CQR57" s="275"/>
      <c r="CQS57" s="275"/>
      <c r="CQT57" s="137"/>
      <c r="CQU57" s="137"/>
      <c r="CQV57" s="135"/>
      <c r="CQW57" s="137"/>
      <c r="CQY57" s="250"/>
      <c r="CQZ57" s="250"/>
      <c r="CRA57" s="243"/>
      <c r="CRB57" s="276"/>
      <c r="CRC57" s="276"/>
      <c r="CRD57" s="276"/>
      <c r="CRE57" s="244"/>
      <c r="CRF57" s="244"/>
      <c r="CRG57" s="244"/>
      <c r="CRH57" s="245"/>
      <c r="CRI57" s="245"/>
      <c r="CRJ57" s="244"/>
      <c r="CRK57" s="246"/>
      <c r="CRL57" s="247"/>
      <c r="CRM57" s="275"/>
      <c r="CRN57" s="275"/>
      <c r="CRO57" s="275"/>
      <c r="CRP57" s="275"/>
      <c r="CRQ57" s="275"/>
      <c r="CRR57" s="275"/>
      <c r="CRS57" s="137"/>
      <c r="CRT57" s="137"/>
      <c r="CRU57" s="135"/>
      <c r="CRV57" s="137"/>
      <c r="CRX57" s="250"/>
      <c r="CRY57" s="250"/>
      <c r="CRZ57" s="243"/>
      <c r="CSA57" s="276"/>
      <c r="CSB57" s="276"/>
      <c r="CSC57" s="276"/>
      <c r="CSD57" s="244"/>
      <c r="CSE57" s="244"/>
      <c r="CSF57" s="244"/>
      <c r="CSG57" s="245"/>
      <c r="CSH57" s="245"/>
      <c r="CSI57" s="244"/>
      <c r="CSJ57" s="246"/>
      <c r="CSK57" s="247"/>
      <c r="CSL57" s="275"/>
      <c r="CSM57" s="275"/>
      <c r="CSN57" s="275"/>
      <c r="CSO57" s="275"/>
      <c r="CSP57" s="275"/>
      <c r="CSQ57" s="275"/>
      <c r="CSR57" s="137"/>
      <c r="CSS57" s="137"/>
      <c r="CST57" s="135"/>
      <c r="CSU57" s="137"/>
      <c r="CSW57" s="250"/>
      <c r="CSX57" s="250"/>
      <c r="CSY57" s="243"/>
      <c r="CSZ57" s="276"/>
      <c r="CTA57" s="276"/>
      <c r="CTB57" s="276"/>
      <c r="CTC57" s="244"/>
      <c r="CTD57" s="244"/>
      <c r="CTE57" s="244"/>
      <c r="CTF57" s="245"/>
      <c r="CTG57" s="245"/>
      <c r="CTH57" s="244"/>
      <c r="CTI57" s="246"/>
      <c r="CTJ57" s="247"/>
      <c r="CTK57" s="275"/>
      <c r="CTL57" s="275"/>
      <c r="CTM57" s="275"/>
      <c r="CTN57" s="275"/>
      <c r="CTO57" s="275"/>
      <c r="CTP57" s="275"/>
      <c r="CTQ57" s="137"/>
      <c r="CTR57" s="137"/>
      <c r="CTS57" s="135"/>
      <c r="CTT57" s="137"/>
      <c r="CTV57" s="250"/>
      <c r="CTW57" s="250"/>
      <c r="CTX57" s="243"/>
      <c r="CTY57" s="276"/>
      <c r="CTZ57" s="276"/>
      <c r="CUA57" s="276"/>
      <c r="CUB57" s="244"/>
      <c r="CUC57" s="244"/>
      <c r="CUD57" s="244"/>
      <c r="CUE57" s="245"/>
      <c r="CUF57" s="245"/>
      <c r="CUG57" s="244"/>
      <c r="CUH57" s="246"/>
      <c r="CUI57" s="247"/>
      <c r="CUJ57" s="275"/>
      <c r="CUK57" s="275"/>
      <c r="CUL57" s="275"/>
      <c r="CUM57" s="275"/>
      <c r="CUN57" s="275"/>
      <c r="CUO57" s="275"/>
      <c r="CUP57" s="137"/>
      <c r="CUQ57" s="137"/>
      <c r="CUR57" s="135"/>
      <c r="CUS57" s="137"/>
      <c r="CUU57" s="250"/>
      <c r="CUV57" s="250"/>
      <c r="CUW57" s="243"/>
      <c r="CUX57" s="276"/>
      <c r="CUY57" s="276"/>
      <c r="CUZ57" s="276"/>
      <c r="CVA57" s="244"/>
      <c r="CVB57" s="244"/>
      <c r="CVC57" s="244"/>
      <c r="CVD57" s="245"/>
      <c r="CVE57" s="245"/>
      <c r="CVF57" s="244"/>
      <c r="CVG57" s="246"/>
      <c r="CVH57" s="247"/>
      <c r="CVI57" s="275"/>
      <c r="CVJ57" s="275"/>
      <c r="CVK57" s="275"/>
      <c r="CVL57" s="275"/>
      <c r="CVM57" s="275"/>
      <c r="CVN57" s="275"/>
      <c r="CVO57" s="137"/>
      <c r="CVP57" s="137"/>
      <c r="CVQ57" s="135"/>
      <c r="CVR57" s="137"/>
      <c r="CVT57" s="250"/>
      <c r="CVU57" s="250"/>
      <c r="CVV57" s="243"/>
      <c r="CVW57" s="276"/>
      <c r="CVX57" s="276"/>
      <c r="CVY57" s="276"/>
      <c r="CVZ57" s="244"/>
      <c r="CWA57" s="244"/>
      <c r="CWB57" s="244"/>
      <c r="CWC57" s="245"/>
      <c r="CWD57" s="245"/>
      <c r="CWE57" s="244"/>
      <c r="CWF57" s="246"/>
      <c r="CWG57" s="247"/>
      <c r="CWH57" s="275"/>
      <c r="CWI57" s="275"/>
      <c r="CWJ57" s="275"/>
      <c r="CWK57" s="275"/>
      <c r="CWL57" s="275"/>
      <c r="CWM57" s="275"/>
      <c r="CWN57" s="137"/>
      <c r="CWO57" s="137"/>
      <c r="CWP57" s="135"/>
      <c r="CWQ57" s="137"/>
      <c r="CWS57" s="250"/>
      <c r="CWT57" s="250"/>
      <c r="CWU57" s="243"/>
      <c r="CWV57" s="276"/>
      <c r="CWW57" s="276"/>
      <c r="CWX57" s="276"/>
      <c r="CWY57" s="244"/>
      <c r="CWZ57" s="244"/>
      <c r="CXA57" s="244"/>
      <c r="CXB57" s="245"/>
      <c r="CXC57" s="245"/>
      <c r="CXD57" s="244"/>
      <c r="CXE57" s="246"/>
      <c r="CXF57" s="247"/>
      <c r="CXG57" s="275"/>
      <c r="CXH57" s="275"/>
      <c r="CXI57" s="275"/>
      <c r="CXJ57" s="275"/>
      <c r="CXK57" s="275"/>
      <c r="CXL57" s="275"/>
      <c r="CXM57" s="137"/>
      <c r="CXN57" s="137"/>
      <c r="CXO57" s="135"/>
      <c r="CXP57" s="137"/>
      <c r="CXR57" s="250"/>
      <c r="CXS57" s="250"/>
      <c r="CXT57" s="243"/>
      <c r="CXU57" s="276"/>
      <c r="CXV57" s="276"/>
      <c r="CXW57" s="276"/>
      <c r="CXX57" s="244"/>
      <c r="CXY57" s="244"/>
      <c r="CXZ57" s="244"/>
      <c r="CYA57" s="245"/>
      <c r="CYB57" s="245"/>
      <c r="CYC57" s="244"/>
      <c r="CYD57" s="246"/>
      <c r="CYE57" s="247"/>
      <c r="CYF57" s="275"/>
      <c r="CYG57" s="275"/>
      <c r="CYH57" s="275"/>
      <c r="CYI57" s="275"/>
      <c r="CYJ57" s="275"/>
      <c r="CYK57" s="275"/>
      <c r="CYL57" s="137"/>
      <c r="CYM57" s="137"/>
      <c r="CYN57" s="135"/>
      <c r="CYO57" s="137"/>
      <c r="CYQ57" s="250"/>
      <c r="CYR57" s="250"/>
      <c r="CYS57" s="243"/>
      <c r="CYT57" s="276"/>
      <c r="CYU57" s="276"/>
      <c r="CYV57" s="276"/>
      <c r="CYW57" s="244"/>
      <c r="CYX57" s="244"/>
      <c r="CYY57" s="244"/>
      <c r="CYZ57" s="245"/>
      <c r="CZA57" s="245"/>
      <c r="CZB57" s="244"/>
      <c r="CZC57" s="246"/>
      <c r="CZD57" s="247"/>
      <c r="CZE57" s="275"/>
      <c r="CZF57" s="275"/>
      <c r="CZG57" s="275"/>
      <c r="CZH57" s="275"/>
      <c r="CZI57" s="275"/>
      <c r="CZJ57" s="275"/>
      <c r="CZK57" s="137"/>
      <c r="CZL57" s="137"/>
      <c r="CZM57" s="135"/>
      <c r="CZN57" s="137"/>
      <c r="CZP57" s="250"/>
      <c r="CZQ57" s="250"/>
      <c r="CZR57" s="243"/>
      <c r="CZS57" s="276"/>
      <c r="CZT57" s="276"/>
      <c r="CZU57" s="276"/>
      <c r="CZV57" s="244"/>
      <c r="CZW57" s="244"/>
      <c r="CZX57" s="244"/>
      <c r="CZY57" s="245"/>
      <c r="CZZ57" s="245"/>
      <c r="DAA57" s="244"/>
      <c r="DAB57" s="246"/>
      <c r="DAC57" s="247"/>
      <c r="DAD57" s="275"/>
      <c r="DAE57" s="275"/>
      <c r="DAF57" s="275"/>
      <c r="DAG57" s="275"/>
      <c r="DAH57" s="275"/>
      <c r="DAI57" s="275"/>
      <c r="DAJ57" s="137"/>
      <c r="DAK57" s="137"/>
      <c r="DAL57" s="135"/>
      <c r="DAM57" s="137"/>
      <c r="DAO57" s="250"/>
      <c r="DAP57" s="250"/>
      <c r="DAQ57" s="243"/>
      <c r="DAR57" s="276"/>
      <c r="DAS57" s="276"/>
      <c r="DAT57" s="276"/>
      <c r="DAU57" s="244"/>
      <c r="DAV57" s="244"/>
      <c r="DAW57" s="244"/>
      <c r="DAX57" s="245"/>
      <c r="DAY57" s="245"/>
      <c r="DAZ57" s="244"/>
      <c r="DBA57" s="246"/>
      <c r="DBB57" s="247"/>
      <c r="DBC57" s="275"/>
      <c r="DBD57" s="275"/>
      <c r="DBE57" s="275"/>
      <c r="DBF57" s="275"/>
      <c r="DBG57" s="275"/>
      <c r="DBH57" s="275"/>
      <c r="DBI57" s="137"/>
      <c r="DBJ57" s="137"/>
      <c r="DBK57" s="135"/>
      <c r="DBL57" s="137"/>
      <c r="DBN57" s="250"/>
      <c r="DBO57" s="250"/>
      <c r="DBP57" s="243"/>
      <c r="DBQ57" s="276"/>
      <c r="DBR57" s="276"/>
      <c r="DBS57" s="276"/>
      <c r="DBT57" s="244"/>
      <c r="DBU57" s="244"/>
      <c r="DBV57" s="244"/>
      <c r="DBW57" s="245"/>
      <c r="DBX57" s="245"/>
      <c r="DBY57" s="244"/>
      <c r="DBZ57" s="246"/>
      <c r="DCA57" s="247"/>
      <c r="DCB57" s="275"/>
      <c r="DCC57" s="275"/>
      <c r="DCD57" s="275"/>
      <c r="DCE57" s="275"/>
      <c r="DCF57" s="275"/>
      <c r="DCG57" s="275"/>
      <c r="DCH57" s="137"/>
      <c r="DCI57" s="137"/>
      <c r="DCJ57" s="135"/>
      <c r="DCK57" s="137"/>
      <c r="DCM57" s="250"/>
      <c r="DCN57" s="250"/>
      <c r="DCO57" s="243"/>
      <c r="DCP57" s="276"/>
      <c r="DCQ57" s="276"/>
      <c r="DCR57" s="276"/>
      <c r="DCS57" s="244"/>
      <c r="DCT57" s="244"/>
      <c r="DCU57" s="244"/>
      <c r="DCV57" s="245"/>
      <c r="DCW57" s="245"/>
      <c r="DCX57" s="244"/>
      <c r="DCY57" s="246"/>
      <c r="DCZ57" s="247"/>
      <c r="DDA57" s="275"/>
      <c r="DDB57" s="275"/>
      <c r="DDC57" s="275"/>
      <c r="DDD57" s="275"/>
      <c r="DDE57" s="275"/>
      <c r="DDF57" s="275"/>
      <c r="DDG57" s="137"/>
      <c r="DDH57" s="137"/>
      <c r="DDI57" s="135"/>
      <c r="DDJ57" s="137"/>
      <c r="DDL57" s="250"/>
      <c r="DDM57" s="250"/>
      <c r="DDN57" s="243"/>
      <c r="DDO57" s="276"/>
      <c r="DDP57" s="276"/>
      <c r="DDQ57" s="276"/>
      <c r="DDR57" s="244"/>
      <c r="DDS57" s="244"/>
      <c r="DDT57" s="244"/>
      <c r="DDU57" s="245"/>
      <c r="DDV57" s="245"/>
      <c r="DDW57" s="244"/>
      <c r="DDX57" s="246"/>
      <c r="DDY57" s="247"/>
      <c r="DDZ57" s="275"/>
      <c r="DEA57" s="275"/>
      <c r="DEB57" s="275"/>
      <c r="DEC57" s="275"/>
      <c r="DED57" s="275"/>
      <c r="DEE57" s="275"/>
      <c r="DEF57" s="137"/>
      <c r="DEG57" s="137"/>
      <c r="DEH57" s="135"/>
      <c r="DEI57" s="137"/>
      <c r="DEK57" s="250"/>
      <c r="DEL57" s="250"/>
      <c r="DEM57" s="243"/>
      <c r="DEN57" s="276"/>
      <c r="DEO57" s="276"/>
      <c r="DEP57" s="276"/>
      <c r="DEQ57" s="244"/>
      <c r="DER57" s="244"/>
      <c r="DES57" s="244"/>
      <c r="DET57" s="245"/>
      <c r="DEU57" s="245"/>
      <c r="DEV57" s="244"/>
      <c r="DEW57" s="246"/>
      <c r="DEX57" s="247"/>
      <c r="DEY57" s="275"/>
      <c r="DEZ57" s="275"/>
      <c r="DFA57" s="275"/>
      <c r="DFB57" s="275"/>
      <c r="DFC57" s="275"/>
      <c r="DFD57" s="275"/>
      <c r="DFE57" s="137"/>
      <c r="DFF57" s="137"/>
      <c r="DFG57" s="135"/>
      <c r="DFH57" s="137"/>
      <c r="DFJ57" s="250"/>
      <c r="DFK57" s="250"/>
      <c r="DFL57" s="243"/>
      <c r="DFM57" s="276"/>
      <c r="DFN57" s="276"/>
      <c r="DFO57" s="276"/>
      <c r="DFP57" s="244"/>
      <c r="DFQ57" s="244"/>
      <c r="DFR57" s="244"/>
      <c r="DFS57" s="245"/>
      <c r="DFT57" s="245"/>
      <c r="DFU57" s="244"/>
      <c r="DFV57" s="246"/>
      <c r="DFW57" s="247"/>
      <c r="DFX57" s="275"/>
      <c r="DFY57" s="275"/>
      <c r="DFZ57" s="275"/>
      <c r="DGA57" s="275"/>
      <c r="DGB57" s="275"/>
      <c r="DGC57" s="275"/>
      <c r="DGD57" s="137"/>
      <c r="DGE57" s="137"/>
      <c r="DGF57" s="135"/>
      <c r="DGG57" s="137"/>
      <c r="DGI57" s="250"/>
      <c r="DGJ57" s="250"/>
      <c r="DGK57" s="243"/>
      <c r="DGL57" s="276"/>
      <c r="DGM57" s="276"/>
      <c r="DGN57" s="276"/>
      <c r="DGO57" s="244"/>
      <c r="DGP57" s="244"/>
      <c r="DGQ57" s="244"/>
      <c r="DGR57" s="245"/>
      <c r="DGS57" s="245"/>
      <c r="DGT57" s="244"/>
      <c r="DGU57" s="246"/>
      <c r="DGV57" s="247"/>
      <c r="DGW57" s="275"/>
      <c r="DGX57" s="275"/>
      <c r="DGY57" s="275"/>
      <c r="DGZ57" s="275"/>
      <c r="DHA57" s="275"/>
      <c r="DHB57" s="275"/>
      <c r="DHC57" s="137"/>
      <c r="DHD57" s="137"/>
      <c r="DHE57" s="135"/>
      <c r="DHF57" s="137"/>
      <c r="DHH57" s="250"/>
      <c r="DHI57" s="250"/>
      <c r="DHJ57" s="243"/>
      <c r="DHK57" s="276"/>
      <c r="DHL57" s="276"/>
      <c r="DHM57" s="276"/>
      <c r="DHN57" s="244"/>
      <c r="DHO57" s="244"/>
      <c r="DHP57" s="244"/>
      <c r="DHQ57" s="245"/>
      <c r="DHR57" s="245"/>
      <c r="DHS57" s="244"/>
      <c r="DHT57" s="246"/>
      <c r="DHU57" s="247"/>
      <c r="DHV57" s="275"/>
      <c r="DHW57" s="275"/>
      <c r="DHX57" s="275"/>
      <c r="DHY57" s="275"/>
      <c r="DHZ57" s="275"/>
      <c r="DIA57" s="275"/>
      <c r="DIB57" s="137"/>
      <c r="DIC57" s="137"/>
      <c r="DID57" s="135"/>
      <c r="DIE57" s="137"/>
      <c r="DIG57" s="250"/>
      <c r="DIH57" s="250"/>
      <c r="DII57" s="243"/>
      <c r="DIJ57" s="276"/>
      <c r="DIK57" s="276"/>
      <c r="DIL57" s="276"/>
      <c r="DIM57" s="244"/>
      <c r="DIN57" s="244"/>
      <c r="DIO57" s="244"/>
      <c r="DIP57" s="245"/>
      <c r="DIQ57" s="245"/>
      <c r="DIR57" s="244"/>
      <c r="DIS57" s="246"/>
      <c r="DIT57" s="247"/>
      <c r="DIU57" s="275"/>
      <c r="DIV57" s="275"/>
      <c r="DIW57" s="275"/>
      <c r="DIX57" s="275"/>
      <c r="DIY57" s="275"/>
      <c r="DIZ57" s="275"/>
      <c r="DJA57" s="137"/>
      <c r="DJB57" s="137"/>
      <c r="DJC57" s="135"/>
      <c r="DJD57" s="137"/>
      <c r="DJF57" s="250"/>
      <c r="DJG57" s="250"/>
      <c r="DJH57" s="243"/>
      <c r="DJI57" s="276"/>
      <c r="DJJ57" s="276"/>
      <c r="DJK57" s="276"/>
      <c r="DJL57" s="244"/>
      <c r="DJM57" s="244"/>
      <c r="DJN57" s="244"/>
      <c r="DJO57" s="245"/>
      <c r="DJP57" s="245"/>
      <c r="DJQ57" s="244"/>
      <c r="DJR57" s="246"/>
      <c r="DJS57" s="247"/>
      <c r="DJT57" s="275"/>
      <c r="DJU57" s="275"/>
      <c r="DJV57" s="275"/>
      <c r="DJW57" s="275"/>
      <c r="DJX57" s="275"/>
      <c r="DJY57" s="275"/>
      <c r="DJZ57" s="137"/>
      <c r="DKA57" s="137"/>
      <c r="DKB57" s="135"/>
      <c r="DKC57" s="137"/>
      <c r="DKE57" s="250"/>
      <c r="DKF57" s="250"/>
      <c r="DKG57" s="243"/>
      <c r="DKH57" s="276"/>
      <c r="DKI57" s="276"/>
      <c r="DKJ57" s="276"/>
      <c r="DKK57" s="244"/>
      <c r="DKL57" s="244"/>
      <c r="DKM57" s="244"/>
      <c r="DKN57" s="245"/>
      <c r="DKO57" s="245"/>
      <c r="DKP57" s="244"/>
      <c r="DKQ57" s="246"/>
      <c r="DKR57" s="247"/>
      <c r="DKS57" s="275"/>
      <c r="DKT57" s="275"/>
      <c r="DKU57" s="275"/>
      <c r="DKV57" s="275"/>
      <c r="DKW57" s="275"/>
      <c r="DKX57" s="275"/>
      <c r="DKY57" s="137"/>
      <c r="DKZ57" s="137"/>
      <c r="DLA57" s="135"/>
      <c r="DLB57" s="137"/>
      <c r="DLD57" s="250"/>
      <c r="DLE57" s="250"/>
      <c r="DLF57" s="243"/>
      <c r="DLG57" s="276"/>
      <c r="DLH57" s="276"/>
      <c r="DLI57" s="276"/>
      <c r="DLJ57" s="244"/>
      <c r="DLK57" s="244"/>
      <c r="DLL57" s="244"/>
      <c r="DLM57" s="245"/>
      <c r="DLN57" s="245"/>
      <c r="DLO57" s="244"/>
      <c r="DLP57" s="246"/>
      <c r="DLQ57" s="247"/>
      <c r="DLR57" s="275"/>
      <c r="DLS57" s="275"/>
      <c r="DLT57" s="275"/>
      <c r="DLU57" s="275"/>
      <c r="DLV57" s="275"/>
      <c r="DLW57" s="275"/>
      <c r="DLX57" s="137"/>
      <c r="DLY57" s="137"/>
      <c r="DLZ57" s="135"/>
      <c r="DMA57" s="137"/>
      <c r="DMC57" s="250"/>
      <c r="DMD57" s="250"/>
      <c r="DME57" s="243"/>
      <c r="DMF57" s="276"/>
      <c r="DMG57" s="276"/>
      <c r="DMH57" s="276"/>
      <c r="DMI57" s="244"/>
      <c r="DMJ57" s="244"/>
      <c r="DMK57" s="244"/>
      <c r="DML57" s="245"/>
      <c r="DMM57" s="245"/>
      <c r="DMN57" s="244"/>
      <c r="DMO57" s="246"/>
      <c r="DMP57" s="247"/>
      <c r="DMQ57" s="275"/>
      <c r="DMR57" s="275"/>
      <c r="DMS57" s="275"/>
      <c r="DMT57" s="275"/>
      <c r="DMU57" s="275"/>
      <c r="DMV57" s="275"/>
      <c r="DMW57" s="137"/>
      <c r="DMX57" s="137"/>
      <c r="DMY57" s="135"/>
      <c r="DMZ57" s="137"/>
      <c r="DNB57" s="250"/>
      <c r="DNC57" s="250"/>
      <c r="DND57" s="243"/>
      <c r="DNE57" s="276"/>
      <c r="DNF57" s="276"/>
      <c r="DNG57" s="276"/>
      <c r="DNH57" s="244"/>
      <c r="DNI57" s="244"/>
      <c r="DNJ57" s="244"/>
      <c r="DNK57" s="245"/>
      <c r="DNL57" s="245"/>
      <c r="DNM57" s="244"/>
      <c r="DNN57" s="246"/>
      <c r="DNO57" s="247"/>
      <c r="DNP57" s="275"/>
      <c r="DNQ57" s="275"/>
      <c r="DNR57" s="275"/>
      <c r="DNS57" s="275"/>
      <c r="DNT57" s="275"/>
      <c r="DNU57" s="275"/>
      <c r="DNV57" s="137"/>
      <c r="DNW57" s="137"/>
      <c r="DNX57" s="135"/>
      <c r="DNY57" s="137"/>
      <c r="DOA57" s="250"/>
      <c r="DOB57" s="250"/>
      <c r="DOC57" s="243"/>
      <c r="DOD57" s="276"/>
      <c r="DOE57" s="276"/>
      <c r="DOF57" s="276"/>
      <c r="DOG57" s="244"/>
      <c r="DOH57" s="244"/>
      <c r="DOI57" s="244"/>
      <c r="DOJ57" s="245"/>
      <c r="DOK57" s="245"/>
      <c r="DOL57" s="244"/>
      <c r="DOM57" s="246"/>
      <c r="DON57" s="247"/>
      <c r="DOO57" s="275"/>
      <c r="DOP57" s="275"/>
      <c r="DOQ57" s="275"/>
      <c r="DOR57" s="275"/>
      <c r="DOS57" s="275"/>
      <c r="DOT57" s="275"/>
      <c r="DOU57" s="137"/>
      <c r="DOV57" s="137"/>
      <c r="DOW57" s="135"/>
      <c r="DOX57" s="137"/>
      <c r="DOZ57" s="250"/>
      <c r="DPA57" s="250"/>
      <c r="DPB57" s="243"/>
      <c r="DPC57" s="276"/>
      <c r="DPD57" s="276"/>
      <c r="DPE57" s="276"/>
      <c r="DPF57" s="244"/>
      <c r="DPG57" s="244"/>
      <c r="DPH57" s="244"/>
      <c r="DPI57" s="245"/>
      <c r="DPJ57" s="245"/>
      <c r="DPK57" s="244"/>
      <c r="DPL57" s="246"/>
      <c r="DPM57" s="247"/>
      <c r="DPN57" s="275"/>
      <c r="DPO57" s="275"/>
      <c r="DPP57" s="275"/>
      <c r="DPQ57" s="275"/>
      <c r="DPR57" s="275"/>
      <c r="DPS57" s="275"/>
      <c r="DPT57" s="137"/>
      <c r="DPU57" s="137"/>
      <c r="DPV57" s="135"/>
      <c r="DPW57" s="137"/>
      <c r="DPY57" s="250"/>
      <c r="DPZ57" s="250"/>
      <c r="DQA57" s="243"/>
      <c r="DQB57" s="276"/>
      <c r="DQC57" s="276"/>
      <c r="DQD57" s="276"/>
      <c r="DQE57" s="244"/>
      <c r="DQF57" s="244"/>
      <c r="DQG57" s="244"/>
      <c r="DQH57" s="245"/>
      <c r="DQI57" s="245"/>
      <c r="DQJ57" s="244"/>
      <c r="DQK57" s="246"/>
      <c r="DQL57" s="247"/>
      <c r="DQM57" s="275"/>
      <c r="DQN57" s="275"/>
      <c r="DQO57" s="275"/>
      <c r="DQP57" s="275"/>
      <c r="DQQ57" s="275"/>
      <c r="DQR57" s="275"/>
      <c r="DQS57" s="137"/>
      <c r="DQT57" s="137"/>
      <c r="DQU57" s="135"/>
      <c r="DQV57" s="137"/>
      <c r="DQX57" s="250"/>
      <c r="DQY57" s="250"/>
      <c r="DQZ57" s="243"/>
      <c r="DRA57" s="276"/>
      <c r="DRB57" s="276"/>
      <c r="DRC57" s="276"/>
      <c r="DRD57" s="244"/>
      <c r="DRE57" s="244"/>
      <c r="DRF57" s="244"/>
      <c r="DRG57" s="245"/>
      <c r="DRH57" s="245"/>
      <c r="DRI57" s="244"/>
      <c r="DRJ57" s="246"/>
      <c r="DRK57" s="247"/>
      <c r="DRL57" s="275"/>
      <c r="DRM57" s="275"/>
      <c r="DRN57" s="275"/>
      <c r="DRO57" s="275"/>
      <c r="DRP57" s="275"/>
      <c r="DRQ57" s="275"/>
      <c r="DRR57" s="137"/>
      <c r="DRS57" s="137"/>
      <c r="DRT57" s="135"/>
      <c r="DRU57" s="137"/>
      <c r="DRW57" s="250"/>
      <c r="DRX57" s="250"/>
      <c r="DRY57" s="243"/>
      <c r="DRZ57" s="276"/>
      <c r="DSA57" s="276"/>
      <c r="DSB57" s="276"/>
      <c r="DSC57" s="244"/>
      <c r="DSD57" s="244"/>
      <c r="DSE57" s="244"/>
      <c r="DSF57" s="245"/>
      <c r="DSG57" s="245"/>
      <c r="DSH57" s="244"/>
      <c r="DSI57" s="246"/>
      <c r="DSJ57" s="247"/>
      <c r="DSK57" s="275"/>
      <c r="DSL57" s="275"/>
      <c r="DSM57" s="275"/>
      <c r="DSN57" s="275"/>
      <c r="DSO57" s="275"/>
      <c r="DSP57" s="275"/>
      <c r="DSQ57" s="137"/>
      <c r="DSR57" s="137"/>
      <c r="DSS57" s="135"/>
      <c r="DST57" s="137"/>
      <c r="DSV57" s="250"/>
      <c r="DSW57" s="250"/>
      <c r="DSX57" s="243"/>
      <c r="DSY57" s="276"/>
      <c r="DSZ57" s="276"/>
      <c r="DTA57" s="276"/>
      <c r="DTB57" s="244"/>
      <c r="DTC57" s="244"/>
      <c r="DTD57" s="244"/>
      <c r="DTE57" s="245"/>
      <c r="DTF57" s="245"/>
      <c r="DTG57" s="244"/>
      <c r="DTH57" s="246"/>
      <c r="DTI57" s="247"/>
      <c r="DTJ57" s="275"/>
      <c r="DTK57" s="275"/>
      <c r="DTL57" s="275"/>
      <c r="DTM57" s="275"/>
      <c r="DTN57" s="275"/>
      <c r="DTO57" s="275"/>
      <c r="DTP57" s="137"/>
      <c r="DTQ57" s="137"/>
      <c r="DTR57" s="135"/>
      <c r="DTS57" s="137"/>
      <c r="DTU57" s="250"/>
      <c r="DTV57" s="250"/>
      <c r="DTW57" s="243"/>
      <c r="DTX57" s="276"/>
      <c r="DTY57" s="276"/>
      <c r="DTZ57" s="276"/>
      <c r="DUA57" s="244"/>
      <c r="DUB57" s="244"/>
      <c r="DUC57" s="244"/>
      <c r="DUD57" s="245"/>
      <c r="DUE57" s="245"/>
      <c r="DUF57" s="244"/>
      <c r="DUG57" s="246"/>
      <c r="DUH57" s="247"/>
      <c r="DUI57" s="275"/>
      <c r="DUJ57" s="275"/>
      <c r="DUK57" s="275"/>
      <c r="DUL57" s="275"/>
      <c r="DUM57" s="275"/>
      <c r="DUN57" s="275"/>
      <c r="DUO57" s="137"/>
      <c r="DUP57" s="137"/>
      <c r="DUQ57" s="135"/>
      <c r="DUR57" s="137"/>
      <c r="DUT57" s="250"/>
      <c r="DUU57" s="250"/>
      <c r="DUV57" s="243"/>
      <c r="DUW57" s="276"/>
      <c r="DUX57" s="276"/>
      <c r="DUY57" s="276"/>
      <c r="DUZ57" s="244"/>
      <c r="DVA57" s="244"/>
      <c r="DVB57" s="244"/>
      <c r="DVC57" s="245"/>
      <c r="DVD57" s="245"/>
      <c r="DVE57" s="244"/>
      <c r="DVF57" s="246"/>
      <c r="DVG57" s="247"/>
      <c r="DVH57" s="275"/>
      <c r="DVI57" s="275"/>
      <c r="DVJ57" s="275"/>
      <c r="DVK57" s="275"/>
      <c r="DVL57" s="275"/>
      <c r="DVM57" s="275"/>
      <c r="DVN57" s="137"/>
      <c r="DVO57" s="137"/>
      <c r="DVP57" s="135"/>
      <c r="DVQ57" s="137"/>
      <c r="DVS57" s="250"/>
      <c r="DVT57" s="250"/>
      <c r="DVU57" s="243"/>
      <c r="DVV57" s="276"/>
      <c r="DVW57" s="276"/>
      <c r="DVX57" s="276"/>
      <c r="DVY57" s="244"/>
      <c r="DVZ57" s="244"/>
      <c r="DWA57" s="244"/>
      <c r="DWB57" s="245"/>
      <c r="DWC57" s="245"/>
      <c r="DWD57" s="244"/>
      <c r="DWE57" s="246"/>
      <c r="DWF57" s="247"/>
      <c r="DWG57" s="275"/>
      <c r="DWH57" s="275"/>
      <c r="DWI57" s="275"/>
      <c r="DWJ57" s="275"/>
      <c r="DWK57" s="275"/>
      <c r="DWL57" s="275"/>
      <c r="DWM57" s="137"/>
      <c r="DWN57" s="137"/>
      <c r="DWO57" s="135"/>
      <c r="DWP57" s="137"/>
      <c r="DWR57" s="250"/>
      <c r="DWS57" s="250"/>
      <c r="DWT57" s="243"/>
      <c r="DWU57" s="276"/>
      <c r="DWV57" s="276"/>
      <c r="DWW57" s="276"/>
      <c r="DWX57" s="244"/>
      <c r="DWY57" s="244"/>
      <c r="DWZ57" s="244"/>
      <c r="DXA57" s="245"/>
      <c r="DXB57" s="245"/>
      <c r="DXC57" s="244"/>
      <c r="DXD57" s="246"/>
      <c r="DXE57" s="247"/>
      <c r="DXF57" s="275"/>
      <c r="DXG57" s="275"/>
      <c r="DXH57" s="275"/>
      <c r="DXI57" s="275"/>
      <c r="DXJ57" s="275"/>
      <c r="DXK57" s="275"/>
      <c r="DXL57" s="137"/>
      <c r="DXM57" s="137"/>
      <c r="DXN57" s="135"/>
      <c r="DXO57" s="137"/>
      <c r="DXQ57" s="250"/>
      <c r="DXR57" s="250"/>
      <c r="DXS57" s="243"/>
      <c r="DXT57" s="276"/>
      <c r="DXU57" s="276"/>
      <c r="DXV57" s="276"/>
      <c r="DXW57" s="244"/>
      <c r="DXX57" s="244"/>
      <c r="DXY57" s="244"/>
      <c r="DXZ57" s="245"/>
      <c r="DYA57" s="245"/>
      <c r="DYB57" s="244"/>
      <c r="DYC57" s="246"/>
      <c r="DYD57" s="247"/>
      <c r="DYE57" s="275"/>
      <c r="DYF57" s="275"/>
      <c r="DYG57" s="275"/>
      <c r="DYH57" s="275"/>
      <c r="DYI57" s="275"/>
      <c r="DYJ57" s="275"/>
      <c r="DYK57" s="137"/>
      <c r="DYL57" s="137"/>
      <c r="DYM57" s="135"/>
      <c r="DYN57" s="137"/>
      <c r="DYP57" s="250"/>
      <c r="DYQ57" s="250"/>
      <c r="DYR57" s="243"/>
      <c r="DYS57" s="276"/>
      <c r="DYT57" s="276"/>
      <c r="DYU57" s="276"/>
      <c r="DYV57" s="244"/>
      <c r="DYW57" s="244"/>
      <c r="DYX57" s="244"/>
      <c r="DYY57" s="245"/>
      <c r="DYZ57" s="245"/>
      <c r="DZA57" s="244"/>
      <c r="DZB57" s="246"/>
      <c r="DZC57" s="247"/>
      <c r="DZD57" s="275"/>
      <c r="DZE57" s="275"/>
      <c r="DZF57" s="275"/>
      <c r="DZG57" s="275"/>
      <c r="DZH57" s="275"/>
      <c r="DZI57" s="275"/>
      <c r="DZJ57" s="137"/>
      <c r="DZK57" s="137"/>
      <c r="DZL57" s="135"/>
      <c r="DZM57" s="137"/>
      <c r="DZO57" s="250"/>
      <c r="DZP57" s="250"/>
      <c r="DZQ57" s="243"/>
      <c r="DZR57" s="276"/>
      <c r="DZS57" s="276"/>
      <c r="DZT57" s="276"/>
      <c r="DZU57" s="244"/>
      <c r="DZV57" s="244"/>
      <c r="DZW57" s="244"/>
      <c r="DZX57" s="245"/>
      <c r="DZY57" s="245"/>
      <c r="DZZ57" s="244"/>
      <c r="EAA57" s="246"/>
      <c r="EAB57" s="247"/>
      <c r="EAC57" s="275"/>
      <c r="EAD57" s="275"/>
      <c r="EAE57" s="275"/>
      <c r="EAF57" s="275"/>
      <c r="EAG57" s="275"/>
      <c r="EAH57" s="275"/>
      <c r="EAI57" s="137"/>
      <c r="EAJ57" s="137"/>
      <c r="EAK57" s="135"/>
      <c r="EAL57" s="137"/>
      <c r="EAN57" s="250"/>
      <c r="EAO57" s="250"/>
      <c r="EAP57" s="243"/>
      <c r="EAQ57" s="276"/>
      <c r="EAR57" s="276"/>
      <c r="EAS57" s="276"/>
      <c r="EAT57" s="244"/>
      <c r="EAU57" s="244"/>
      <c r="EAV57" s="244"/>
      <c r="EAW57" s="245"/>
      <c r="EAX57" s="245"/>
      <c r="EAY57" s="244"/>
      <c r="EAZ57" s="246"/>
      <c r="EBA57" s="247"/>
      <c r="EBB57" s="275"/>
      <c r="EBC57" s="275"/>
      <c r="EBD57" s="275"/>
      <c r="EBE57" s="275"/>
      <c r="EBF57" s="275"/>
      <c r="EBG57" s="275"/>
      <c r="EBH57" s="137"/>
      <c r="EBI57" s="137"/>
      <c r="EBJ57" s="135"/>
      <c r="EBK57" s="137"/>
      <c r="EBM57" s="250"/>
      <c r="EBN57" s="250"/>
      <c r="EBO57" s="243"/>
      <c r="EBP57" s="276"/>
      <c r="EBQ57" s="276"/>
      <c r="EBR57" s="276"/>
      <c r="EBS57" s="244"/>
      <c r="EBT57" s="244"/>
      <c r="EBU57" s="244"/>
      <c r="EBV57" s="245"/>
      <c r="EBW57" s="245"/>
      <c r="EBX57" s="244"/>
      <c r="EBY57" s="246"/>
      <c r="EBZ57" s="247"/>
      <c r="ECA57" s="275"/>
      <c r="ECB57" s="275"/>
      <c r="ECC57" s="275"/>
      <c r="ECD57" s="275"/>
      <c r="ECE57" s="275"/>
      <c r="ECF57" s="275"/>
      <c r="ECG57" s="137"/>
      <c r="ECH57" s="137"/>
      <c r="ECI57" s="135"/>
      <c r="ECJ57" s="137"/>
      <c r="ECL57" s="250"/>
      <c r="ECM57" s="250"/>
      <c r="ECN57" s="243"/>
      <c r="ECO57" s="276"/>
      <c r="ECP57" s="276"/>
      <c r="ECQ57" s="276"/>
      <c r="ECR57" s="244"/>
      <c r="ECS57" s="244"/>
      <c r="ECT57" s="244"/>
      <c r="ECU57" s="245"/>
      <c r="ECV57" s="245"/>
      <c r="ECW57" s="244"/>
      <c r="ECX57" s="246"/>
      <c r="ECY57" s="247"/>
      <c r="ECZ57" s="275"/>
      <c r="EDA57" s="275"/>
      <c r="EDB57" s="275"/>
      <c r="EDC57" s="275"/>
      <c r="EDD57" s="275"/>
      <c r="EDE57" s="275"/>
      <c r="EDF57" s="137"/>
      <c r="EDG57" s="137"/>
      <c r="EDH57" s="135"/>
      <c r="EDI57" s="137"/>
      <c r="EDK57" s="250"/>
      <c r="EDL57" s="250"/>
      <c r="EDM57" s="243"/>
      <c r="EDN57" s="276"/>
      <c r="EDO57" s="276"/>
      <c r="EDP57" s="276"/>
      <c r="EDQ57" s="244"/>
      <c r="EDR57" s="244"/>
      <c r="EDS57" s="244"/>
      <c r="EDT57" s="245"/>
      <c r="EDU57" s="245"/>
      <c r="EDV57" s="244"/>
      <c r="EDW57" s="246"/>
      <c r="EDX57" s="247"/>
      <c r="EDY57" s="275"/>
      <c r="EDZ57" s="275"/>
      <c r="EEA57" s="275"/>
      <c r="EEB57" s="275"/>
      <c r="EEC57" s="275"/>
      <c r="EED57" s="275"/>
      <c r="EEE57" s="137"/>
      <c r="EEF57" s="137"/>
      <c r="EEG57" s="135"/>
      <c r="EEH57" s="137"/>
      <c r="EEJ57" s="250"/>
      <c r="EEK57" s="250"/>
      <c r="EEL57" s="243"/>
      <c r="EEM57" s="276"/>
      <c r="EEN57" s="276"/>
      <c r="EEO57" s="276"/>
      <c r="EEP57" s="244"/>
      <c r="EEQ57" s="244"/>
      <c r="EER57" s="244"/>
      <c r="EES57" s="245"/>
      <c r="EET57" s="245"/>
      <c r="EEU57" s="244"/>
      <c r="EEV57" s="246"/>
      <c r="EEW57" s="247"/>
      <c r="EEX57" s="275"/>
      <c r="EEY57" s="275"/>
      <c r="EEZ57" s="275"/>
      <c r="EFA57" s="275"/>
      <c r="EFB57" s="275"/>
      <c r="EFC57" s="275"/>
      <c r="EFD57" s="137"/>
      <c r="EFE57" s="137"/>
      <c r="EFF57" s="135"/>
      <c r="EFG57" s="137"/>
      <c r="EFI57" s="250"/>
      <c r="EFJ57" s="250"/>
      <c r="EFK57" s="243"/>
      <c r="EFL57" s="276"/>
      <c r="EFM57" s="276"/>
      <c r="EFN57" s="276"/>
      <c r="EFO57" s="244"/>
      <c r="EFP57" s="244"/>
      <c r="EFQ57" s="244"/>
      <c r="EFR57" s="245"/>
      <c r="EFS57" s="245"/>
      <c r="EFT57" s="244"/>
      <c r="EFU57" s="246"/>
      <c r="EFV57" s="247"/>
      <c r="EFW57" s="275"/>
      <c r="EFX57" s="275"/>
      <c r="EFY57" s="275"/>
      <c r="EFZ57" s="275"/>
      <c r="EGA57" s="275"/>
      <c r="EGB57" s="275"/>
      <c r="EGC57" s="137"/>
      <c r="EGD57" s="137"/>
      <c r="EGE57" s="135"/>
      <c r="EGF57" s="137"/>
      <c r="EGH57" s="250"/>
      <c r="EGI57" s="250"/>
      <c r="EGJ57" s="243"/>
      <c r="EGK57" s="276"/>
      <c r="EGL57" s="276"/>
      <c r="EGM57" s="276"/>
      <c r="EGN57" s="244"/>
      <c r="EGO57" s="244"/>
      <c r="EGP57" s="244"/>
      <c r="EGQ57" s="245"/>
      <c r="EGR57" s="245"/>
      <c r="EGS57" s="244"/>
      <c r="EGT57" s="246"/>
      <c r="EGU57" s="247"/>
      <c r="EGV57" s="275"/>
      <c r="EGW57" s="275"/>
      <c r="EGX57" s="275"/>
      <c r="EGY57" s="275"/>
      <c r="EGZ57" s="275"/>
      <c r="EHA57" s="275"/>
      <c r="EHB57" s="137"/>
      <c r="EHC57" s="137"/>
      <c r="EHD57" s="135"/>
      <c r="EHE57" s="137"/>
      <c r="EHG57" s="250"/>
      <c r="EHH57" s="250"/>
      <c r="EHI57" s="243"/>
      <c r="EHJ57" s="276"/>
      <c r="EHK57" s="276"/>
      <c r="EHL57" s="276"/>
      <c r="EHM57" s="244"/>
      <c r="EHN57" s="244"/>
      <c r="EHO57" s="244"/>
      <c r="EHP57" s="245"/>
      <c r="EHQ57" s="245"/>
      <c r="EHR57" s="244"/>
      <c r="EHS57" s="246"/>
      <c r="EHT57" s="247"/>
      <c r="EHU57" s="275"/>
      <c r="EHV57" s="275"/>
      <c r="EHW57" s="275"/>
      <c r="EHX57" s="275"/>
      <c r="EHY57" s="275"/>
      <c r="EHZ57" s="275"/>
      <c r="EIA57" s="137"/>
      <c r="EIB57" s="137"/>
      <c r="EIC57" s="135"/>
      <c r="EID57" s="137"/>
      <c r="EIF57" s="250"/>
      <c r="EIG57" s="250"/>
      <c r="EIH57" s="243"/>
      <c r="EII57" s="276"/>
      <c r="EIJ57" s="276"/>
      <c r="EIK57" s="276"/>
      <c r="EIL57" s="244"/>
      <c r="EIM57" s="244"/>
      <c r="EIN57" s="244"/>
      <c r="EIO57" s="245"/>
      <c r="EIP57" s="245"/>
      <c r="EIQ57" s="244"/>
      <c r="EIR57" s="246"/>
      <c r="EIS57" s="247"/>
      <c r="EIT57" s="275"/>
      <c r="EIU57" s="275"/>
      <c r="EIV57" s="275"/>
      <c r="EIW57" s="275"/>
      <c r="EIX57" s="275"/>
      <c r="EIY57" s="275"/>
      <c r="EIZ57" s="137"/>
      <c r="EJA57" s="137"/>
      <c r="EJB57" s="135"/>
      <c r="EJC57" s="137"/>
      <c r="EJE57" s="250"/>
      <c r="EJF57" s="250"/>
      <c r="EJG57" s="243"/>
      <c r="EJH57" s="276"/>
      <c r="EJI57" s="276"/>
      <c r="EJJ57" s="276"/>
      <c r="EJK57" s="244"/>
      <c r="EJL57" s="244"/>
      <c r="EJM57" s="244"/>
      <c r="EJN57" s="245"/>
      <c r="EJO57" s="245"/>
      <c r="EJP57" s="244"/>
      <c r="EJQ57" s="246"/>
      <c r="EJR57" s="247"/>
      <c r="EJS57" s="275"/>
      <c r="EJT57" s="275"/>
      <c r="EJU57" s="275"/>
      <c r="EJV57" s="275"/>
      <c r="EJW57" s="275"/>
      <c r="EJX57" s="275"/>
      <c r="EJY57" s="137"/>
      <c r="EJZ57" s="137"/>
      <c r="EKA57" s="135"/>
      <c r="EKB57" s="137"/>
      <c r="EKD57" s="250"/>
      <c r="EKE57" s="250"/>
      <c r="EKF57" s="243"/>
      <c r="EKG57" s="276"/>
      <c r="EKH57" s="276"/>
      <c r="EKI57" s="276"/>
      <c r="EKJ57" s="244"/>
      <c r="EKK57" s="244"/>
      <c r="EKL57" s="244"/>
      <c r="EKM57" s="245"/>
      <c r="EKN57" s="245"/>
      <c r="EKO57" s="244"/>
      <c r="EKP57" s="246"/>
      <c r="EKQ57" s="247"/>
      <c r="EKR57" s="275"/>
      <c r="EKS57" s="275"/>
      <c r="EKT57" s="275"/>
      <c r="EKU57" s="275"/>
      <c r="EKV57" s="275"/>
      <c r="EKW57" s="275"/>
      <c r="EKX57" s="137"/>
      <c r="EKY57" s="137"/>
      <c r="EKZ57" s="135"/>
      <c r="ELA57" s="137"/>
      <c r="ELC57" s="250"/>
      <c r="ELD57" s="250"/>
      <c r="ELE57" s="243"/>
      <c r="ELF57" s="276"/>
      <c r="ELG57" s="276"/>
      <c r="ELH57" s="276"/>
      <c r="ELI57" s="244"/>
      <c r="ELJ57" s="244"/>
      <c r="ELK57" s="244"/>
      <c r="ELL57" s="245"/>
      <c r="ELM57" s="245"/>
      <c r="ELN57" s="244"/>
      <c r="ELO57" s="246"/>
      <c r="ELP57" s="247"/>
      <c r="ELQ57" s="275"/>
      <c r="ELR57" s="275"/>
      <c r="ELS57" s="275"/>
      <c r="ELT57" s="275"/>
      <c r="ELU57" s="275"/>
      <c r="ELV57" s="275"/>
      <c r="ELW57" s="137"/>
      <c r="ELX57" s="137"/>
      <c r="ELY57" s="135"/>
      <c r="ELZ57" s="137"/>
      <c r="EMB57" s="250"/>
      <c r="EMC57" s="250"/>
      <c r="EMD57" s="243"/>
      <c r="EME57" s="276"/>
      <c r="EMF57" s="276"/>
      <c r="EMG57" s="276"/>
      <c r="EMH57" s="244"/>
      <c r="EMI57" s="244"/>
      <c r="EMJ57" s="244"/>
      <c r="EMK57" s="245"/>
      <c r="EML57" s="245"/>
      <c r="EMM57" s="244"/>
      <c r="EMN57" s="246"/>
      <c r="EMO57" s="247"/>
      <c r="EMP57" s="275"/>
      <c r="EMQ57" s="275"/>
      <c r="EMR57" s="275"/>
      <c r="EMS57" s="275"/>
      <c r="EMT57" s="275"/>
      <c r="EMU57" s="275"/>
      <c r="EMV57" s="137"/>
      <c r="EMW57" s="137"/>
      <c r="EMX57" s="135"/>
      <c r="EMY57" s="137"/>
      <c r="ENA57" s="250"/>
      <c r="ENB57" s="250"/>
      <c r="ENC57" s="243"/>
      <c r="END57" s="276"/>
      <c r="ENE57" s="276"/>
      <c r="ENF57" s="276"/>
      <c r="ENG57" s="244"/>
      <c r="ENH57" s="244"/>
      <c r="ENI57" s="244"/>
      <c r="ENJ57" s="245"/>
      <c r="ENK57" s="245"/>
      <c r="ENL57" s="244"/>
      <c r="ENM57" s="246"/>
      <c r="ENN57" s="247"/>
      <c r="ENO57" s="275"/>
      <c r="ENP57" s="275"/>
      <c r="ENQ57" s="275"/>
      <c r="ENR57" s="275"/>
      <c r="ENS57" s="275"/>
      <c r="ENT57" s="275"/>
      <c r="ENU57" s="137"/>
      <c r="ENV57" s="137"/>
      <c r="ENW57" s="135"/>
      <c r="ENX57" s="137"/>
      <c r="ENZ57" s="250"/>
      <c r="EOA57" s="250"/>
      <c r="EOB57" s="243"/>
      <c r="EOC57" s="276"/>
      <c r="EOD57" s="276"/>
      <c r="EOE57" s="276"/>
      <c r="EOF57" s="244"/>
      <c r="EOG57" s="244"/>
      <c r="EOH57" s="244"/>
      <c r="EOI57" s="245"/>
      <c r="EOJ57" s="245"/>
      <c r="EOK57" s="244"/>
      <c r="EOL57" s="246"/>
      <c r="EOM57" s="247"/>
      <c r="EON57" s="275"/>
      <c r="EOO57" s="275"/>
      <c r="EOP57" s="275"/>
      <c r="EOQ57" s="275"/>
      <c r="EOR57" s="275"/>
      <c r="EOS57" s="275"/>
      <c r="EOT57" s="137"/>
      <c r="EOU57" s="137"/>
      <c r="EOV57" s="135"/>
      <c r="EOW57" s="137"/>
      <c r="EOY57" s="250"/>
      <c r="EOZ57" s="250"/>
      <c r="EPA57" s="243"/>
      <c r="EPB57" s="276"/>
      <c r="EPC57" s="276"/>
      <c r="EPD57" s="276"/>
      <c r="EPE57" s="244"/>
      <c r="EPF57" s="244"/>
      <c r="EPG57" s="244"/>
      <c r="EPH57" s="245"/>
      <c r="EPI57" s="245"/>
      <c r="EPJ57" s="244"/>
      <c r="EPK57" s="246"/>
      <c r="EPL57" s="247"/>
      <c r="EPM57" s="275"/>
      <c r="EPN57" s="275"/>
      <c r="EPO57" s="275"/>
      <c r="EPP57" s="275"/>
      <c r="EPQ57" s="275"/>
      <c r="EPR57" s="275"/>
      <c r="EPS57" s="137"/>
      <c r="EPT57" s="137"/>
      <c r="EPU57" s="135"/>
      <c r="EPV57" s="137"/>
      <c r="EPX57" s="250"/>
      <c r="EPY57" s="250"/>
      <c r="EPZ57" s="243"/>
      <c r="EQA57" s="276"/>
      <c r="EQB57" s="276"/>
      <c r="EQC57" s="276"/>
      <c r="EQD57" s="244"/>
      <c r="EQE57" s="244"/>
      <c r="EQF57" s="244"/>
      <c r="EQG57" s="245"/>
      <c r="EQH57" s="245"/>
      <c r="EQI57" s="244"/>
      <c r="EQJ57" s="246"/>
      <c r="EQK57" s="247"/>
      <c r="EQL57" s="275"/>
      <c r="EQM57" s="275"/>
      <c r="EQN57" s="275"/>
      <c r="EQO57" s="275"/>
      <c r="EQP57" s="275"/>
      <c r="EQQ57" s="275"/>
      <c r="EQR57" s="137"/>
      <c r="EQS57" s="137"/>
      <c r="EQT57" s="135"/>
      <c r="EQU57" s="137"/>
      <c r="EQW57" s="250"/>
      <c r="EQX57" s="250"/>
      <c r="EQY57" s="243"/>
      <c r="EQZ57" s="276"/>
      <c r="ERA57" s="276"/>
      <c r="ERB57" s="276"/>
      <c r="ERC57" s="244"/>
      <c r="ERD57" s="244"/>
      <c r="ERE57" s="244"/>
      <c r="ERF57" s="245"/>
      <c r="ERG57" s="245"/>
      <c r="ERH57" s="244"/>
      <c r="ERI57" s="246"/>
      <c r="ERJ57" s="247"/>
      <c r="ERK57" s="275"/>
      <c r="ERL57" s="275"/>
      <c r="ERM57" s="275"/>
      <c r="ERN57" s="275"/>
      <c r="ERO57" s="275"/>
      <c r="ERP57" s="275"/>
      <c r="ERQ57" s="137"/>
      <c r="ERR57" s="137"/>
      <c r="ERS57" s="135"/>
      <c r="ERT57" s="137"/>
      <c r="ERV57" s="250"/>
      <c r="ERW57" s="250"/>
      <c r="ERX57" s="243"/>
      <c r="ERY57" s="276"/>
      <c r="ERZ57" s="276"/>
      <c r="ESA57" s="276"/>
      <c r="ESB57" s="244"/>
      <c r="ESC57" s="244"/>
      <c r="ESD57" s="244"/>
      <c r="ESE57" s="245"/>
      <c r="ESF57" s="245"/>
      <c r="ESG57" s="244"/>
      <c r="ESH57" s="246"/>
      <c r="ESI57" s="247"/>
      <c r="ESJ57" s="275"/>
      <c r="ESK57" s="275"/>
      <c r="ESL57" s="275"/>
      <c r="ESM57" s="275"/>
      <c r="ESN57" s="275"/>
      <c r="ESO57" s="275"/>
      <c r="ESP57" s="137"/>
      <c r="ESQ57" s="137"/>
      <c r="ESR57" s="135"/>
      <c r="ESS57" s="137"/>
      <c r="ESU57" s="250"/>
      <c r="ESV57" s="250"/>
      <c r="ESW57" s="243"/>
      <c r="ESX57" s="276"/>
      <c r="ESY57" s="276"/>
      <c r="ESZ57" s="276"/>
      <c r="ETA57" s="244"/>
      <c r="ETB57" s="244"/>
      <c r="ETC57" s="244"/>
      <c r="ETD57" s="245"/>
      <c r="ETE57" s="245"/>
      <c r="ETF57" s="244"/>
      <c r="ETG57" s="246"/>
      <c r="ETH57" s="247"/>
      <c r="ETI57" s="275"/>
      <c r="ETJ57" s="275"/>
      <c r="ETK57" s="275"/>
      <c r="ETL57" s="275"/>
      <c r="ETM57" s="275"/>
      <c r="ETN57" s="275"/>
      <c r="ETO57" s="137"/>
      <c r="ETP57" s="137"/>
      <c r="ETQ57" s="135"/>
      <c r="ETR57" s="137"/>
      <c r="ETT57" s="250"/>
      <c r="ETU57" s="250"/>
      <c r="ETV57" s="243"/>
      <c r="ETW57" s="276"/>
      <c r="ETX57" s="276"/>
      <c r="ETY57" s="276"/>
      <c r="ETZ57" s="244"/>
      <c r="EUA57" s="244"/>
      <c r="EUB57" s="244"/>
      <c r="EUC57" s="245"/>
      <c r="EUD57" s="245"/>
      <c r="EUE57" s="244"/>
      <c r="EUF57" s="246"/>
      <c r="EUG57" s="247"/>
      <c r="EUH57" s="275"/>
      <c r="EUI57" s="275"/>
      <c r="EUJ57" s="275"/>
      <c r="EUK57" s="275"/>
      <c r="EUL57" s="275"/>
      <c r="EUM57" s="275"/>
      <c r="EUN57" s="137"/>
      <c r="EUO57" s="137"/>
      <c r="EUP57" s="135"/>
      <c r="EUQ57" s="137"/>
      <c r="EUS57" s="250"/>
      <c r="EUT57" s="250"/>
      <c r="EUU57" s="243"/>
      <c r="EUV57" s="276"/>
      <c r="EUW57" s="276"/>
      <c r="EUX57" s="276"/>
      <c r="EUY57" s="244"/>
      <c r="EUZ57" s="244"/>
      <c r="EVA57" s="244"/>
      <c r="EVB57" s="245"/>
      <c r="EVC57" s="245"/>
      <c r="EVD57" s="244"/>
      <c r="EVE57" s="246"/>
      <c r="EVF57" s="247"/>
      <c r="EVG57" s="275"/>
      <c r="EVH57" s="275"/>
      <c r="EVI57" s="275"/>
      <c r="EVJ57" s="275"/>
      <c r="EVK57" s="275"/>
      <c r="EVL57" s="275"/>
      <c r="EVM57" s="137"/>
      <c r="EVN57" s="137"/>
      <c r="EVO57" s="135"/>
      <c r="EVP57" s="137"/>
      <c r="EVR57" s="250"/>
      <c r="EVS57" s="250"/>
      <c r="EVT57" s="243"/>
      <c r="EVU57" s="276"/>
      <c r="EVV57" s="276"/>
      <c r="EVW57" s="276"/>
      <c r="EVX57" s="244"/>
      <c r="EVY57" s="244"/>
      <c r="EVZ57" s="244"/>
      <c r="EWA57" s="245"/>
      <c r="EWB57" s="245"/>
      <c r="EWC57" s="244"/>
      <c r="EWD57" s="246"/>
      <c r="EWE57" s="247"/>
      <c r="EWF57" s="275"/>
      <c r="EWG57" s="275"/>
      <c r="EWH57" s="275"/>
      <c r="EWI57" s="275"/>
      <c r="EWJ57" s="275"/>
      <c r="EWK57" s="275"/>
      <c r="EWL57" s="137"/>
      <c r="EWM57" s="137"/>
      <c r="EWN57" s="135"/>
      <c r="EWO57" s="137"/>
      <c r="EWQ57" s="250"/>
      <c r="EWR57" s="250"/>
      <c r="EWS57" s="243"/>
      <c r="EWT57" s="276"/>
      <c r="EWU57" s="276"/>
      <c r="EWV57" s="276"/>
      <c r="EWW57" s="244"/>
      <c r="EWX57" s="244"/>
      <c r="EWY57" s="244"/>
      <c r="EWZ57" s="245"/>
      <c r="EXA57" s="245"/>
      <c r="EXB57" s="244"/>
      <c r="EXC57" s="246"/>
      <c r="EXD57" s="247"/>
      <c r="EXE57" s="275"/>
      <c r="EXF57" s="275"/>
      <c r="EXG57" s="275"/>
      <c r="EXH57" s="275"/>
      <c r="EXI57" s="275"/>
      <c r="EXJ57" s="275"/>
      <c r="EXK57" s="137"/>
      <c r="EXL57" s="137"/>
      <c r="EXM57" s="135"/>
      <c r="EXN57" s="137"/>
      <c r="EXP57" s="250"/>
      <c r="EXQ57" s="250"/>
      <c r="EXR57" s="243"/>
      <c r="EXS57" s="276"/>
      <c r="EXT57" s="276"/>
      <c r="EXU57" s="276"/>
      <c r="EXV57" s="244"/>
      <c r="EXW57" s="244"/>
      <c r="EXX57" s="244"/>
      <c r="EXY57" s="245"/>
      <c r="EXZ57" s="245"/>
      <c r="EYA57" s="244"/>
      <c r="EYB57" s="246"/>
      <c r="EYC57" s="247"/>
      <c r="EYD57" s="275"/>
      <c r="EYE57" s="275"/>
      <c r="EYF57" s="275"/>
      <c r="EYG57" s="275"/>
      <c r="EYH57" s="275"/>
      <c r="EYI57" s="275"/>
      <c r="EYJ57" s="137"/>
      <c r="EYK57" s="137"/>
      <c r="EYL57" s="135"/>
      <c r="EYM57" s="137"/>
      <c r="EYO57" s="250"/>
      <c r="EYP57" s="250"/>
      <c r="EYQ57" s="243"/>
      <c r="EYR57" s="276"/>
      <c r="EYS57" s="276"/>
      <c r="EYT57" s="276"/>
      <c r="EYU57" s="244"/>
      <c r="EYV57" s="244"/>
      <c r="EYW57" s="244"/>
      <c r="EYX57" s="245"/>
      <c r="EYY57" s="245"/>
      <c r="EYZ57" s="244"/>
      <c r="EZA57" s="246"/>
      <c r="EZB57" s="247"/>
      <c r="EZC57" s="275"/>
      <c r="EZD57" s="275"/>
      <c r="EZE57" s="275"/>
      <c r="EZF57" s="275"/>
      <c r="EZG57" s="275"/>
      <c r="EZH57" s="275"/>
      <c r="EZI57" s="137"/>
      <c r="EZJ57" s="137"/>
      <c r="EZK57" s="135"/>
      <c r="EZL57" s="137"/>
      <c r="EZN57" s="250"/>
      <c r="EZO57" s="250"/>
      <c r="EZP57" s="243"/>
      <c r="EZQ57" s="276"/>
      <c r="EZR57" s="276"/>
      <c r="EZS57" s="276"/>
      <c r="EZT57" s="244"/>
      <c r="EZU57" s="244"/>
      <c r="EZV57" s="244"/>
      <c r="EZW57" s="245"/>
      <c r="EZX57" s="245"/>
      <c r="EZY57" s="244"/>
      <c r="EZZ57" s="246"/>
      <c r="FAA57" s="247"/>
      <c r="FAB57" s="275"/>
      <c r="FAC57" s="275"/>
      <c r="FAD57" s="275"/>
      <c r="FAE57" s="275"/>
      <c r="FAF57" s="275"/>
      <c r="FAG57" s="275"/>
      <c r="FAH57" s="137"/>
      <c r="FAI57" s="137"/>
      <c r="FAJ57" s="135"/>
      <c r="FAK57" s="137"/>
      <c r="FAM57" s="250"/>
      <c r="FAN57" s="250"/>
      <c r="FAO57" s="243"/>
      <c r="FAP57" s="276"/>
      <c r="FAQ57" s="276"/>
      <c r="FAR57" s="276"/>
      <c r="FAS57" s="244"/>
      <c r="FAT57" s="244"/>
      <c r="FAU57" s="244"/>
      <c r="FAV57" s="245"/>
      <c r="FAW57" s="245"/>
      <c r="FAX57" s="244"/>
      <c r="FAY57" s="246"/>
      <c r="FAZ57" s="247"/>
      <c r="FBA57" s="275"/>
      <c r="FBB57" s="275"/>
      <c r="FBC57" s="275"/>
      <c r="FBD57" s="275"/>
      <c r="FBE57" s="275"/>
      <c r="FBF57" s="275"/>
      <c r="FBG57" s="137"/>
      <c r="FBH57" s="137"/>
      <c r="FBI57" s="135"/>
      <c r="FBJ57" s="137"/>
      <c r="FBL57" s="250"/>
      <c r="FBM57" s="250"/>
      <c r="FBN57" s="243"/>
      <c r="FBO57" s="276"/>
      <c r="FBP57" s="276"/>
      <c r="FBQ57" s="276"/>
      <c r="FBR57" s="244"/>
      <c r="FBS57" s="244"/>
      <c r="FBT57" s="244"/>
      <c r="FBU57" s="245"/>
      <c r="FBV57" s="245"/>
      <c r="FBW57" s="244"/>
      <c r="FBX57" s="246"/>
      <c r="FBY57" s="247"/>
      <c r="FBZ57" s="275"/>
      <c r="FCA57" s="275"/>
      <c r="FCB57" s="275"/>
      <c r="FCC57" s="275"/>
      <c r="FCD57" s="275"/>
      <c r="FCE57" s="275"/>
      <c r="FCF57" s="137"/>
      <c r="FCG57" s="137"/>
      <c r="FCH57" s="135"/>
      <c r="FCI57" s="137"/>
      <c r="FCK57" s="250"/>
      <c r="FCL57" s="250"/>
      <c r="FCM57" s="243"/>
      <c r="FCN57" s="276"/>
      <c r="FCO57" s="276"/>
      <c r="FCP57" s="276"/>
      <c r="FCQ57" s="244"/>
      <c r="FCR57" s="244"/>
      <c r="FCS57" s="244"/>
      <c r="FCT57" s="245"/>
      <c r="FCU57" s="245"/>
      <c r="FCV57" s="244"/>
      <c r="FCW57" s="246"/>
      <c r="FCX57" s="247"/>
      <c r="FCY57" s="275"/>
      <c r="FCZ57" s="275"/>
      <c r="FDA57" s="275"/>
      <c r="FDB57" s="275"/>
      <c r="FDC57" s="275"/>
      <c r="FDD57" s="275"/>
      <c r="FDE57" s="137"/>
      <c r="FDF57" s="137"/>
      <c r="FDG57" s="135"/>
      <c r="FDH57" s="137"/>
      <c r="FDJ57" s="250"/>
      <c r="FDK57" s="250"/>
      <c r="FDL57" s="243"/>
      <c r="FDM57" s="276"/>
      <c r="FDN57" s="276"/>
      <c r="FDO57" s="276"/>
      <c r="FDP57" s="244"/>
      <c r="FDQ57" s="244"/>
      <c r="FDR57" s="244"/>
      <c r="FDS57" s="245"/>
      <c r="FDT57" s="245"/>
      <c r="FDU57" s="244"/>
      <c r="FDV57" s="246"/>
      <c r="FDW57" s="247"/>
      <c r="FDX57" s="275"/>
      <c r="FDY57" s="275"/>
      <c r="FDZ57" s="275"/>
      <c r="FEA57" s="275"/>
      <c r="FEB57" s="275"/>
      <c r="FEC57" s="275"/>
      <c r="FED57" s="137"/>
      <c r="FEE57" s="137"/>
      <c r="FEF57" s="135"/>
      <c r="FEG57" s="137"/>
      <c r="FEI57" s="250"/>
      <c r="FEJ57" s="250"/>
      <c r="FEK57" s="243"/>
      <c r="FEL57" s="276"/>
      <c r="FEM57" s="276"/>
      <c r="FEN57" s="276"/>
      <c r="FEO57" s="244"/>
      <c r="FEP57" s="244"/>
      <c r="FEQ57" s="244"/>
      <c r="FER57" s="245"/>
      <c r="FES57" s="245"/>
      <c r="FET57" s="244"/>
      <c r="FEU57" s="246"/>
      <c r="FEV57" s="247"/>
      <c r="FEW57" s="275"/>
      <c r="FEX57" s="275"/>
      <c r="FEY57" s="275"/>
      <c r="FEZ57" s="275"/>
      <c r="FFA57" s="275"/>
      <c r="FFB57" s="275"/>
      <c r="FFC57" s="137"/>
      <c r="FFD57" s="137"/>
      <c r="FFE57" s="135"/>
      <c r="FFF57" s="137"/>
      <c r="FFH57" s="250"/>
      <c r="FFI57" s="250"/>
      <c r="FFJ57" s="243"/>
      <c r="FFK57" s="276"/>
      <c r="FFL57" s="276"/>
      <c r="FFM57" s="276"/>
      <c r="FFN57" s="244"/>
      <c r="FFO57" s="244"/>
      <c r="FFP57" s="244"/>
      <c r="FFQ57" s="245"/>
      <c r="FFR57" s="245"/>
      <c r="FFS57" s="244"/>
      <c r="FFT57" s="246"/>
      <c r="FFU57" s="247"/>
      <c r="FFV57" s="275"/>
      <c r="FFW57" s="275"/>
      <c r="FFX57" s="275"/>
      <c r="FFY57" s="275"/>
      <c r="FFZ57" s="275"/>
      <c r="FGA57" s="275"/>
      <c r="FGB57" s="137"/>
      <c r="FGC57" s="137"/>
      <c r="FGD57" s="135"/>
      <c r="FGE57" s="137"/>
      <c r="FGG57" s="250"/>
      <c r="FGH57" s="250"/>
      <c r="FGI57" s="243"/>
      <c r="FGJ57" s="276"/>
      <c r="FGK57" s="276"/>
      <c r="FGL57" s="276"/>
      <c r="FGM57" s="244"/>
      <c r="FGN57" s="244"/>
      <c r="FGO57" s="244"/>
      <c r="FGP57" s="245"/>
      <c r="FGQ57" s="245"/>
      <c r="FGR57" s="244"/>
      <c r="FGS57" s="246"/>
      <c r="FGT57" s="247"/>
      <c r="FGU57" s="275"/>
      <c r="FGV57" s="275"/>
      <c r="FGW57" s="275"/>
      <c r="FGX57" s="275"/>
      <c r="FGY57" s="275"/>
      <c r="FGZ57" s="275"/>
      <c r="FHA57" s="137"/>
      <c r="FHB57" s="137"/>
      <c r="FHC57" s="135"/>
      <c r="FHD57" s="137"/>
      <c r="FHF57" s="250"/>
      <c r="FHG57" s="250"/>
      <c r="FHH57" s="243"/>
      <c r="FHI57" s="276"/>
      <c r="FHJ57" s="276"/>
      <c r="FHK57" s="276"/>
      <c r="FHL57" s="244"/>
      <c r="FHM57" s="244"/>
      <c r="FHN57" s="244"/>
      <c r="FHO57" s="245"/>
      <c r="FHP57" s="245"/>
      <c r="FHQ57" s="244"/>
      <c r="FHR57" s="246"/>
      <c r="FHS57" s="247"/>
      <c r="FHT57" s="275"/>
      <c r="FHU57" s="275"/>
      <c r="FHV57" s="275"/>
      <c r="FHW57" s="275"/>
      <c r="FHX57" s="275"/>
      <c r="FHY57" s="275"/>
      <c r="FHZ57" s="137"/>
      <c r="FIA57" s="137"/>
      <c r="FIB57" s="135"/>
      <c r="FIC57" s="137"/>
      <c r="FIE57" s="250"/>
      <c r="FIF57" s="250"/>
      <c r="FIG57" s="243"/>
      <c r="FIH57" s="276"/>
      <c r="FII57" s="276"/>
      <c r="FIJ57" s="276"/>
      <c r="FIK57" s="244"/>
      <c r="FIL57" s="244"/>
      <c r="FIM57" s="244"/>
      <c r="FIN57" s="245"/>
      <c r="FIO57" s="245"/>
      <c r="FIP57" s="244"/>
      <c r="FIQ57" s="246"/>
      <c r="FIR57" s="247"/>
      <c r="FIS57" s="275"/>
      <c r="FIT57" s="275"/>
      <c r="FIU57" s="275"/>
      <c r="FIV57" s="275"/>
      <c r="FIW57" s="275"/>
      <c r="FIX57" s="275"/>
      <c r="FIY57" s="137"/>
      <c r="FIZ57" s="137"/>
      <c r="FJA57" s="135"/>
      <c r="FJB57" s="137"/>
      <c r="FJD57" s="250"/>
      <c r="FJE57" s="250"/>
      <c r="FJF57" s="243"/>
      <c r="FJG57" s="276"/>
      <c r="FJH57" s="276"/>
      <c r="FJI57" s="276"/>
      <c r="FJJ57" s="244"/>
      <c r="FJK57" s="244"/>
      <c r="FJL57" s="244"/>
      <c r="FJM57" s="245"/>
      <c r="FJN57" s="245"/>
      <c r="FJO57" s="244"/>
      <c r="FJP57" s="246"/>
      <c r="FJQ57" s="247"/>
      <c r="FJR57" s="275"/>
      <c r="FJS57" s="275"/>
      <c r="FJT57" s="275"/>
      <c r="FJU57" s="275"/>
      <c r="FJV57" s="275"/>
      <c r="FJW57" s="275"/>
      <c r="FJX57" s="137"/>
      <c r="FJY57" s="137"/>
      <c r="FJZ57" s="135"/>
      <c r="FKA57" s="137"/>
      <c r="FKC57" s="250"/>
      <c r="FKD57" s="250"/>
      <c r="FKE57" s="243"/>
      <c r="FKF57" s="276"/>
      <c r="FKG57" s="276"/>
      <c r="FKH57" s="276"/>
      <c r="FKI57" s="244"/>
      <c r="FKJ57" s="244"/>
      <c r="FKK57" s="244"/>
      <c r="FKL57" s="245"/>
      <c r="FKM57" s="245"/>
      <c r="FKN57" s="244"/>
      <c r="FKO57" s="246"/>
      <c r="FKP57" s="247"/>
      <c r="FKQ57" s="275"/>
      <c r="FKR57" s="275"/>
      <c r="FKS57" s="275"/>
      <c r="FKT57" s="275"/>
      <c r="FKU57" s="275"/>
      <c r="FKV57" s="275"/>
      <c r="FKW57" s="137"/>
      <c r="FKX57" s="137"/>
      <c r="FKY57" s="135"/>
      <c r="FKZ57" s="137"/>
      <c r="FLB57" s="250"/>
      <c r="FLC57" s="250"/>
      <c r="FLD57" s="243"/>
      <c r="FLE57" s="276"/>
      <c r="FLF57" s="276"/>
      <c r="FLG57" s="276"/>
      <c r="FLH57" s="244"/>
      <c r="FLI57" s="244"/>
      <c r="FLJ57" s="244"/>
      <c r="FLK57" s="245"/>
      <c r="FLL57" s="245"/>
      <c r="FLM57" s="244"/>
      <c r="FLN57" s="246"/>
      <c r="FLO57" s="247"/>
      <c r="FLP57" s="275"/>
      <c r="FLQ57" s="275"/>
      <c r="FLR57" s="275"/>
      <c r="FLS57" s="275"/>
      <c r="FLT57" s="275"/>
      <c r="FLU57" s="275"/>
      <c r="FLV57" s="137"/>
      <c r="FLW57" s="137"/>
      <c r="FLX57" s="135"/>
      <c r="FLY57" s="137"/>
      <c r="FMA57" s="250"/>
      <c r="FMB57" s="250"/>
      <c r="FMC57" s="243"/>
      <c r="FMD57" s="276"/>
      <c r="FME57" s="276"/>
      <c r="FMF57" s="276"/>
      <c r="FMG57" s="244"/>
      <c r="FMH57" s="244"/>
      <c r="FMI57" s="244"/>
      <c r="FMJ57" s="245"/>
      <c r="FMK57" s="245"/>
      <c r="FML57" s="244"/>
      <c r="FMM57" s="246"/>
      <c r="FMN57" s="247"/>
      <c r="FMO57" s="275"/>
      <c r="FMP57" s="275"/>
      <c r="FMQ57" s="275"/>
      <c r="FMR57" s="275"/>
      <c r="FMS57" s="275"/>
      <c r="FMT57" s="275"/>
      <c r="FMU57" s="137"/>
      <c r="FMV57" s="137"/>
      <c r="FMW57" s="135"/>
      <c r="FMX57" s="137"/>
      <c r="FMZ57" s="250"/>
      <c r="FNA57" s="250"/>
      <c r="FNB57" s="243"/>
      <c r="FNC57" s="276"/>
      <c r="FND57" s="276"/>
      <c r="FNE57" s="276"/>
      <c r="FNF57" s="244"/>
      <c r="FNG57" s="244"/>
      <c r="FNH57" s="244"/>
      <c r="FNI57" s="245"/>
      <c r="FNJ57" s="245"/>
      <c r="FNK57" s="244"/>
      <c r="FNL57" s="246"/>
      <c r="FNM57" s="247"/>
      <c r="FNN57" s="275"/>
      <c r="FNO57" s="275"/>
      <c r="FNP57" s="275"/>
      <c r="FNQ57" s="275"/>
      <c r="FNR57" s="275"/>
      <c r="FNS57" s="275"/>
      <c r="FNT57" s="137"/>
      <c r="FNU57" s="137"/>
      <c r="FNV57" s="135"/>
      <c r="FNW57" s="137"/>
      <c r="FNY57" s="250"/>
      <c r="FNZ57" s="250"/>
      <c r="FOA57" s="243"/>
      <c r="FOB57" s="276"/>
      <c r="FOC57" s="276"/>
      <c r="FOD57" s="276"/>
      <c r="FOE57" s="244"/>
      <c r="FOF57" s="244"/>
      <c r="FOG57" s="244"/>
      <c r="FOH57" s="245"/>
      <c r="FOI57" s="245"/>
      <c r="FOJ57" s="244"/>
      <c r="FOK57" s="246"/>
      <c r="FOL57" s="247"/>
      <c r="FOM57" s="275"/>
      <c r="FON57" s="275"/>
      <c r="FOO57" s="275"/>
      <c r="FOP57" s="275"/>
      <c r="FOQ57" s="275"/>
      <c r="FOR57" s="275"/>
      <c r="FOS57" s="137"/>
      <c r="FOT57" s="137"/>
      <c r="FOU57" s="135"/>
      <c r="FOV57" s="137"/>
      <c r="FOX57" s="250"/>
      <c r="FOY57" s="250"/>
      <c r="FOZ57" s="243"/>
      <c r="FPA57" s="276"/>
      <c r="FPB57" s="276"/>
      <c r="FPC57" s="276"/>
      <c r="FPD57" s="244"/>
      <c r="FPE57" s="244"/>
      <c r="FPF57" s="244"/>
      <c r="FPG57" s="245"/>
      <c r="FPH57" s="245"/>
      <c r="FPI57" s="244"/>
      <c r="FPJ57" s="246"/>
      <c r="FPK57" s="247"/>
      <c r="FPL57" s="275"/>
      <c r="FPM57" s="275"/>
      <c r="FPN57" s="275"/>
      <c r="FPO57" s="275"/>
      <c r="FPP57" s="275"/>
      <c r="FPQ57" s="275"/>
      <c r="FPR57" s="137"/>
      <c r="FPS57" s="137"/>
      <c r="FPT57" s="135"/>
      <c r="FPU57" s="137"/>
      <c r="FPW57" s="250"/>
      <c r="FPX57" s="250"/>
      <c r="FPY57" s="243"/>
      <c r="FPZ57" s="276"/>
      <c r="FQA57" s="276"/>
      <c r="FQB57" s="276"/>
      <c r="FQC57" s="244"/>
      <c r="FQD57" s="244"/>
      <c r="FQE57" s="244"/>
      <c r="FQF57" s="245"/>
      <c r="FQG57" s="245"/>
      <c r="FQH57" s="244"/>
      <c r="FQI57" s="246"/>
      <c r="FQJ57" s="247"/>
      <c r="FQK57" s="275"/>
      <c r="FQL57" s="275"/>
      <c r="FQM57" s="275"/>
      <c r="FQN57" s="275"/>
      <c r="FQO57" s="275"/>
      <c r="FQP57" s="275"/>
      <c r="FQQ57" s="137"/>
      <c r="FQR57" s="137"/>
      <c r="FQS57" s="135"/>
      <c r="FQT57" s="137"/>
      <c r="FQV57" s="250"/>
      <c r="FQW57" s="250"/>
      <c r="FQX57" s="243"/>
      <c r="FQY57" s="276"/>
      <c r="FQZ57" s="276"/>
      <c r="FRA57" s="276"/>
      <c r="FRB57" s="244"/>
      <c r="FRC57" s="244"/>
      <c r="FRD57" s="244"/>
      <c r="FRE57" s="245"/>
      <c r="FRF57" s="245"/>
      <c r="FRG57" s="244"/>
      <c r="FRH57" s="246"/>
      <c r="FRI57" s="247"/>
      <c r="FRJ57" s="275"/>
      <c r="FRK57" s="275"/>
      <c r="FRL57" s="275"/>
      <c r="FRM57" s="275"/>
      <c r="FRN57" s="275"/>
      <c r="FRO57" s="275"/>
      <c r="FRP57" s="137"/>
      <c r="FRQ57" s="137"/>
      <c r="FRR57" s="135"/>
      <c r="FRS57" s="137"/>
      <c r="FRU57" s="250"/>
      <c r="FRV57" s="250"/>
      <c r="FRW57" s="243"/>
      <c r="FRX57" s="276"/>
      <c r="FRY57" s="276"/>
      <c r="FRZ57" s="276"/>
      <c r="FSA57" s="244"/>
      <c r="FSB57" s="244"/>
      <c r="FSC57" s="244"/>
      <c r="FSD57" s="245"/>
      <c r="FSE57" s="245"/>
      <c r="FSF57" s="244"/>
      <c r="FSG57" s="246"/>
      <c r="FSH57" s="247"/>
      <c r="FSI57" s="275"/>
      <c r="FSJ57" s="275"/>
      <c r="FSK57" s="275"/>
      <c r="FSL57" s="275"/>
      <c r="FSM57" s="275"/>
      <c r="FSN57" s="275"/>
      <c r="FSO57" s="137"/>
      <c r="FSP57" s="137"/>
      <c r="FSQ57" s="135"/>
      <c r="FSR57" s="137"/>
      <c r="FST57" s="250"/>
      <c r="FSU57" s="250"/>
      <c r="FSV57" s="243"/>
      <c r="FSW57" s="276"/>
      <c r="FSX57" s="276"/>
      <c r="FSY57" s="276"/>
      <c r="FSZ57" s="244"/>
      <c r="FTA57" s="244"/>
      <c r="FTB57" s="244"/>
      <c r="FTC57" s="245"/>
      <c r="FTD57" s="245"/>
      <c r="FTE57" s="244"/>
      <c r="FTF57" s="246"/>
      <c r="FTG57" s="247"/>
      <c r="FTH57" s="275"/>
      <c r="FTI57" s="275"/>
      <c r="FTJ57" s="275"/>
      <c r="FTK57" s="275"/>
      <c r="FTL57" s="275"/>
      <c r="FTM57" s="275"/>
      <c r="FTN57" s="137"/>
      <c r="FTO57" s="137"/>
      <c r="FTP57" s="135"/>
      <c r="FTQ57" s="137"/>
      <c r="FTS57" s="250"/>
      <c r="FTT57" s="250"/>
      <c r="FTU57" s="243"/>
      <c r="FTV57" s="276"/>
      <c r="FTW57" s="276"/>
      <c r="FTX57" s="276"/>
      <c r="FTY57" s="244"/>
      <c r="FTZ57" s="244"/>
      <c r="FUA57" s="244"/>
      <c r="FUB57" s="245"/>
      <c r="FUC57" s="245"/>
      <c r="FUD57" s="244"/>
      <c r="FUE57" s="246"/>
      <c r="FUF57" s="247"/>
      <c r="FUG57" s="275"/>
      <c r="FUH57" s="275"/>
      <c r="FUI57" s="275"/>
      <c r="FUJ57" s="275"/>
      <c r="FUK57" s="275"/>
      <c r="FUL57" s="275"/>
      <c r="FUM57" s="137"/>
      <c r="FUN57" s="137"/>
      <c r="FUO57" s="135"/>
      <c r="FUP57" s="137"/>
      <c r="FUR57" s="250"/>
      <c r="FUS57" s="250"/>
      <c r="FUT57" s="243"/>
      <c r="FUU57" s="276"/>
      <c r="FUV57" s="276"/>
      <c r="FUW57" s="276"/>
      <c r="FUX57" s="244"/>
      <c r="FUY57" s="244"/>
      <c r="FUZ57" s="244"/>
      <c r="FVA57" s="245"/>
      <c r="FVB57" s="245"/>
      <c r="FVC57" s="244"/>
      <c r="FVD57" s="246"/>
      <c r="FVE57" s="247"/>
      <c r="FVF57" s="275"/>
      <c r="FVG57" s="275"/>
      <c r="FVH57" s="275"/>
      <c r="FVI57" s="275"/>
      <c r="FVJ57" s="275"/>
      <c r="FVK57" s="275"/>
      <c r="FVL57" s="137"/>
      <c r="FVM57" s="137"/>
      <c r="FVN57" s="135"/>
      <c r="FVO57" s="137"/>
      <c r="FVQ57" s="250"/>
      <c r="FVR57" s="250"/>
      <c r="FVS57" s="243"/>
      <c r="FVT57" s="276"/>
      <c r="FVU57" s="276"/>
      <c r="FVV57" s="276"/>
      <c r="FVW57" s="244"/>
      <c r="FVX57" s="244"/>
      <c r="FVY57" s="244"/>
      <c r="FVZ57" s="245"/>
      <c r="FWA57" s="245"/>
      <c r="FWB57" s="244"/>
      <c r="FWC57" s="246"/>
      <c r="FWD57" s="247"/>
      <c r="FWE57" s="275"/>
      <c r="FWF57" s="275"/>
      <c r="FWG57" s="275"/>
      <c r="FWH57" s="275"/>
      <c r="FWI57" s="275"/>
      <c r="FWJ57" s="275"/>
      <c r="FWK57" s="137"/>
      <c r="FWL57" s="137"/>
      <c r="FWM57" s="135"/>
      <c r="FWN57" s="137"/>
      <c r="FWP57" s="250"/>
      <c r="FWQ57" s="250"/>
      <c r="FWR57" s="243"/>
      <c r="FWS57" s="276"/>
      <c r="FWT57" s="276"/>
      <c r="FWU57" s="276"/>
      <c r="FWV57" s="244"/>
      <c r="FWW57" s="244"/>
      <c r="FWX57" s="244"/>
      <c r="FWY57" s="245"/>
      <c r="FWZ57" s="245"/>
      <c r="FXA57" s="244"/>
      <c r="FXB57" s="246"/>
      <c r="FXC57" s="247"/>
      <c r="FXD57" s="275"/>
      <c r="FXE57" s="275"/>
      <c r="FXF57" s="275"/>
      <c r="FXG57" s="275"/>
      <c r="FXH57" s="275"/>
      <c r="FXI57" s="275"/>
      <c r="FXJ57" s="137"/>
      <c r="FXK57" s="137"/>
      <c r="FXL57" s="135"/>
      <c r="FXM57" s="137"/>
      <c r="FXO57" s="250"/>
      <c r="FXP57" s="250"/>
      <c r="FXQ57" s="243"/>
      <c r="FXR57" s="276"/>
      <c r="FXS57" s="276"/>
      <c r="FXT57" s="276"/>
      <c r="FXU57" s="244"/>
      <c r="FXV57" s="244"/>
      <c r="FXW57" s="244"/>
      <c r="FXX57" s="245"/>
      <c r="FXY57" s="245"/>
      <c r="FXZ57" s="244"/>
      <c r="FYA57" s="246"/>
      <c r="FYB57" s="247"/>
      <c r="FYC57" s="275"/>
      <c r="FYD57" s="275"/>
      <c r="FYE57" s="275"/>
      <c r="FYF57" s="275"/>
      <c r="FYG57" s="275"/>
      <c r="FYH57" s="275"/>
      <c r="FYI57" s="137"/>
      <c r="FYJ57" s="137"/>
      <c r="FYK57" s="135"/>
      <c r="FYL57" s="137"/>
      <c r="FYN57" s="250"/>
      <c r="FYO57" s="250"/>
      <c r="FYP57" s="243"/>
      <c r="FYQ57" s="276"/>
      <c r="FYR57" s="276"/>
      <c r="FYS57" s="276"/>
      <c r="FYT57" s="244"/>
      <c r="FYU57" s="244"/>
      <c r="FYV57" s="244"/>
      <c r="FYW57" s="245"/>
      <c r="FYX57" s="245"/>
      <c r="FYY57" s="244"/>
      <c r="FYZ57" s="246"/>
      <c r="FZA57" s="247"/>
      <c r="FZB57" s="275"/>
      <c r="FZC57" s="275"/>
      <c r="FZD57" s="275"/>
      <c r="FZE57" s="275"/>
      <c r="FZF57" s="275"/>
      <c r="FZG57" s="275"/>
      <c r="FZH57" s="137"/>
      <c r="FZI57" s="137"/>
      <c r="FZJ57" s="135"/>
      <c r="FZK57" s="137"/>
      <c r="FZM57" s="250"/>
      <c r="FZN57" s="250"/>
      <c r="FZO57" s="243"/>
      <c r="FZP57" s="276"/>
      <c r="FZQ57" s="276"/>
      <c r="FZR57" s="276"/>
      <c r="FZS57" s="244"/>
      <c r="FZT57" s="244"/>
      <c r="FZU57" s="244"/>
      <c r="FZV57" s="245"/>
      <c r="FZW57" s="245"/>
      <c r="FZX57" s="244"/>
      <c r="FZY57" s="246"/>
      <c r="FZZ57" s="247"/>
      <c r="GAA57" s="275"/>
      <c r="GAB57" s="275"/>
      <c r="GAC57" s="275"/>
      <c r="GAD57" s="275"/>
      <c r="GAE57" s="275"/>
      <c r="GAF57" s="275"/>
      <c r="GAG57" s="137"/>
      <c r="GAH57" s="137"/>
      <c r="GAI57" s="135"/>
      <c r="GAJ57" s="137"/>
      <c r="GAL57" s="250"/>
      <c r="GAM57" s="250"/>
      <c r="GAN57" s="243"/>
      <c r="GAO57" s="276"/>
      <c r="GAP57" s="276"/>
      <c r="GAQ57" s="276"/>
      <c r="GAR57" s="244"/>
      <c r="GAS57" s="244"/>
      <c r="GAT57" s="244"/>
      <c r="GAU57" s="245"/>
      <c r="GAV57" s="245"/>
      <c r="GAW57" s="244"/>
      <c r="GAX57" s="246"/>
      <c r="GAY57" s="247"/>
      <c r="GAZ57" s="275"/>
      <c r="GBA57" s="275"/>
      <c r="GBB57" s="275"/>
      <c r="GBC57" s="275"/>
      <c r="GBD57" s="275"/>
      <c r="GBE57" s="275"/>
      <c r="GBF57" s="137"/>
      <c r="GBG57" s="137"/>
      <c r="GBH57" s="135"/>
      <c r="GBI57" s="137"/>
      <c r="GBK57" s="250"/>
      <c r="GBL57" s="250"/>
      <c r="GBM57" s="243"/>
      <c r="GBN57" s="276"/>
      <c r="GBO57" s="276"/>
      <c r="GBP57" s="276"/>
      <c r="GBQ57" s="244"/>
      <c r="GBR57" s="244"/>
      <c r="GBS57" s="244"/>
      <c r="GBT57" s="245"/>
      <c r="GBU57" s="245"/>
      <c r="GBV57" s="244"/>
      <c r="GBW57" s="246"/>
      <c r="GBX57" s="247"/>
      <c r="GBY57" s="275"/>
      <c r="GBZ57" s="275"/>
      <c r="GCA57" s="275"/>
      <c r="GCB57" s="275"/>
      <c r="GCC57" s="275"/>
      <c r="GCD57" s="275"/>
      <c r="GCE57" s="137"/>
      <c r="GCF57" s="137"/>
      <c r="GCG57" s="135"/>
      <c r="GCH57" s="137"/>
      <c r="GCJ57" s="250"/>
      <c r="GCK57" s="250"/>
      <c r="GCL57" s="243"/>
      <c r="GCM57" s="276"/>
      <c r="GCN57" s="276"/>
      <c r="GCO57" s="276"/>
      <c r="GCP57" s="244"/>
      <c r="GCQ57" s="244"/>
      <c r="GCR57" s="244"/>
      <c r="GCS57" s="245"/>
      <c r="GCT57" s="245"/>
      <c r="GCU57" s="244"/>
      <c r="GCV57" s="246"/>
      <c r="GCW57" s="247"/>
      <c r="GCX57" s="275"/>
      <c r="GCY57" s="275"/>
      <c r="GCZ57" s="275"/>
      <c r="GDA57" s="275"/>
      <c r="GDB57" s="275"/>
      <c r="GDC57" s="275"/>
      <c r="GDD57" s="137"/>
      <c r="GDE57" s="137"/>
      <c r="GDF57" s="135"/>
      <c r="GDG57" s="137"/>
      <c r="GDI57" s="250"/>
      <c r="GDJ57" s="250"/>
      <c r="GDK57" s="243"/>
      <c r="GDL57" s="276"/>
      <c r="GDM57" s="276"/>
      <c r="GDN57" s="276"/>
      <c r="GDO57" s="244"/>
      <c r="GDP57" s="244"/>
      <c r="GDQ57" s="244"/>
      <c r="GDR57" s="245"/>
      <c r="GDS57" s="245"/>
      <c r="GDT57" s="244"/>
      <c r="GDU57" s="246"/>
      <c r="GDV57" s="247"/>
      <c r="GDW57" s="275"/>
      <c r="GDX57" s="275"/>
      <c r="GDY57" s="275"/>
      <c r="GDZ57" s="275"/>
      <c r="GEA57" s="275"/>
      <c r="GEB57" s="275"/>
      <c r="GEC57" s="137"/>
      <c r="GED57" s="137"/>
      <c r="GEE57" s="135"/>
      <c r="GEF57" s="137"/>
      <c r="GEH57" s="250"/>
      <c r="GEI57" s="250"/>
      <c r="GEJ57" s="243"/>
      <c r="GEK57" s="276"/>
      <c r="GEL57" s="276"/>
      <c r="GEM57" s="276"/>
      <c r="GEN57" s="244"/>
      <c r="GEO57" s="244"/>
      <c r="GEP57" s="244"/>
      <c r="GEQ57" s="245"/>
      <c r="GER57" s="245"/>
      <c r="GES57" s="244"/>
      <c r="GET57" s="246"/>
      <c r="GEU57" s="247"/>
      <c r="GEV57" s="275"/>
      <c r="GEW57" s="275"/>
      <c r="GEX57" s="275"/>
      <c r="GEY57" s="275"/>
      <c r="GEZ57" s="275"/>
      <c r="GFA57" s="275"/>
      <c r="GFB57" s="137"/>
      <c r="GFC57" s="137"/>
      <c r="GFD57" s="135"/>
      <c r="GFE57" s="137"/>
      <c r="GFG57" s="250"/>
      <c r="GFH57" s="250"/>
      <c r="GFI57" s="243"/>
      <c r="GFJ57" s="276"/>
      <c r="GFK57" s="276"/>
      <c r="GFL57" s="276"/>
      <c r="GFM57" s="244"/>
      <c r="GFN57" s="244"/>
      <c r="GFO57" s="244"/>
      <c r="GFP57" s="245"/>
      <c r="GFQ57" s="245"/>
      <c r="GFR57" s="244"/>
      <c r="GFS57" s="246"/>
      <c r="GFT57" s="247"/>
      <c r="GFU57" s="275"/>
      <c r="GFV57" s="275"/>
      <c r="GFW57" s="275"/>
      <c r="GFX57" s="275"/>
      <c r="GFY57" s="275"/>
      <c r="GFZ57" s="275"/>
      <c r="GGA57" s="137"/>
      <c r="GGB57" s="137"/>
      <c r="GGC57" s="135"/>
      <c r="GGD57" s="137"/>
      <c r="GGF57" s="250"/>
      <c r="GGG57" s="250"/>
      <c r="GGH57" s="243"/>
      <c r="GGI57" s="276"/>
      <c r="GGJ57" s="276"/>
      <c r="GGK57" s="276"/>
      <c r="GGL57" s="244"/>
      <c r="GGM57" s="244"/>
      <c r="GGN57" s="244"/>
      <c r="GGO57" s="245"/>
      <c r="GGP57" s="245"/>
      <c r="GGQ57" s="244"/>
      <c r="GGR57" s="246"/>
      <c r="GGS57" s="247"/>
      <c r="GGT57" s="275"/>
      <c r="GGU57" s="275"/>
      <c r="GGV57" s="275"/>
      <c r="GGW57" s="275"/>
      <c r="GGX57" s="275"/>
      <c r="GGY57" s="275"/>
      <c r="GGZ57" s="137"/>
      <c r="GHA57" s="137"/>
      <c r="GHB57" s="135"/>
      <c r="GHC57" s="137"/>
      <c r="GHE57" s="250"/>
      <c r="GHF57" s="250"/>
      <c r="GHG57" s="243"/>
      <c r="GHH57" s="276"/>
      <c r="GHI57" s="276"/>
      <c r="GHJ57" s="276"/>
      <c r="GHK57" s="244"/>
      <c r="GHL57" s="244"/>
      <c r="GHM57" s="244"/>
      <c r="GHN57" s="245"/>
      <c r="GHO57" s="245"/>
      <c r="GHP57" s="244"/>
      <c r="GHQ57" s="246"/>
      <c r="GHR57" s="247"/>
      <c r="GHS57" s="275"/>
      <c r="GHT57" s="275"/>
      <c r="GHU57" s="275"/>
      <c r="GHV57" s="275"/>
      <c r="GHW57" s="275"/>
      <c r="GHX57" s="275"/>
      <c r="GHY57" s="137"/>
      <c r="GHZ57" s="137"/>
      <c r="GIA57" s="135"/>
      <c r="GIB57" s="137"/>
      <c r="GID57" s="250"/>
      <c r="GIE57" s="250"/>
      <c r="GIF57" s="243"/>
      <c r="GIG57" s="276"/>
      <c r="GIH57" s="276"/>
      <c r="GII57" s="276"/>
      <c r="GIJ57" s="244"/>
      <c r="GIK57" s="244"/>
      <c r="GIL57" s="244"/>
      <c r="GIM57" s="245"/>
      <c r="GIN57" s="245"/>
      <c r="GIO57" s="244"/>
      <c r="GIP57" s="246"/>
      <c r="GIQ57" s="247"/>
      <c r="GIR57" s="275"/>
      <c r="GIS57" s="275"/>
      <c r="GIT57" s="275"/>
      <c r="GIU57" s="275"/>
      <c r="GIV57" s="275"/>
      <c r="GIW57" s="275"/>
      <c r="GIX57" s="137"/>
      <c r="GIY57" s="137"/>
      <c r="GIZ57" s="135"/>
      <c r="GJA57" s="137"/>
      <c r="GJC57" s="250"/>
      <c r="GJD57" s="250"/>
      <c r="GJE57" s="243"/>
      <c r="GJF57" s="276"/>
      <c r="GJG57" s="276"/>
      <c r="GJH57" s="276"/>
      <c r="GJI57" s="244"/>
      <c r="GJJ57" s="244"/>
      <c r="GJK57" s="244"/>
      <c r="GJL57" s="245"/>
      <c r="GJM57" s="245"/>
      <c r="GJN57" s="244"/>
      <c r="GJO57" s="246"/>
      <c r="GJP57" s="247"/>
      <c r="GJQ57" s="275"/>
      <c r="GJR57" s="275"/>
      <c r="GJS57" s="275"/>
      <c r="GJT57" s="275"/>
      <c r="GJU57" s="275"/>
      <c r="GJV57" s="275"/>
      <c r="GJW57" s="137"/>
      <c r="GJX57" s="137"/>
      <c r="GJY57" s="135"/>
      <c r="GJZ57" s="137"/>
      <c r="GKB57" s="250"/>
      <c r="GKC57" s="250"/>
      <c r="GKD57" s="243"/>
      <c r="GKE57" s="276"/>
      <c r="GKF57" s="276"/>
      <c r="GKG57" s="276"/>
      <c r="GKH57" s="244"/>
      <c r="GKI57" s="244"/>
      <c r="GKJ57" s="244"/>
      <c r="GKK57" s="245"/>
      <c r="GKL57" s="245"/>
      <c r="GKM57" s="244"/>
      <c r="GKN57" s="246"/>
      <c r="GKO57" s="247"/>
      <c r="GKP57" s="275"/>
      <c r="GKQ57" s="275"/>
      <c r="GKR57" s="275"/>
      <c r="GKS57" s="275"/>
      <c r="GKT57" s="275"/>
      <c r="GKU57" s="275"/>
      <c r="GKV57" s="137"/>
      <c r="GKW57" s="137"/>
      <c r="GKX57" s="135"/>
      <c r="GKY57" s="137"/>
      <c r="GLA57" s="250"/>
      <c r="GLB57" s="250"/>
      <c r="GLC57" s="243"/>
      <c r="GLD57" s="276"/>
      <c r="GLE57" s="276"/>
      <c r="GLF57" s="276"/>
      <c r="GLG57" s="244"/>
      <c r="GLH57" s="244"/>
      <c r="GLI57" s="244"/>
      <c r="GLJ57" s="245"/>
      <c r="GLK57" s="245"/>
      <c r="GLL57" s="244"/>
      <c r="GLM57" s="246"/>
      <c r="GLN57" s="247"/>
      <c r="GLO57" s="275"/>
      <c r="GLP57" s="275"/>
      <c r="GLQ57" s="275"/>
      <c r="GLR57" s="275"/>
      <c r="GLS57" s="275"/>
      <c r="GLT57" s="275"/>
      <c r="GLU57" s="137"/>
      <c r="GLV57" s="137"/>
      <c r="GLW57" s="135"/>
      <c r="GLX57" s="137"/>
      <c r="GLZ57" s="250"/>
      <c r="GMA57" s="250"/>
      <c r="GMB57" s="243"/>
      <c r="GMC57" s="276"/>
      <c r="GMD57" s="276"/>
      <c r="GME57" s="276"/>
      <c r="GMF57" s="244"/>
      <c r="GMG57" s="244"/>
      <c r="GMH57" s="244"/>
      <c r="GMI57" s="245"/>
      <c r="GMJ57" s="245"/>
      <c r="GMK57" s="244"/>
      <c r="GML57" s="246"/>
      <c r="GMM57" s="247"/>
      <c r="GMN57" s="275"/>
      <c r="GMO57" s="275"/>
      <c r="GMP57" s="275"/>
      <c r="GMQ57" s="275"/>
      <c r="GMR57" s="275"/>
      <c r="GMS57" s="275"/>
      <c r="GMT57" s="137"/>
      <c r="GMU57" s="137"/>
      <c r="GMV57" s="135"/>
      <c r="GMW57" s="137"/>
      <c r="GMY57" s="250"/>
      <c r="GMZ57" s="250"/>
      <c r="GNA57" s="243"/>
      <c r="GNB57" s="276"/>
      <c r="GNC57" s="276"/>
      <c r="GND57" s="276"/>
      <c r="GNE57" s="244"/>
      <c r="GNF57" s="244"/>
      <c r="GNG57" s="244"/>
      <c r="GNH57" s="245"/>
      <c r="GNI57" s="245"/>
      <c r="GNJ57" s="244"/>
      <c r="GNK57" s="246"/>
      <c r="GNL57" s="247"/>
      <c r="GNM57" s="275"/>
      <c r="GNN57" s="275"/>
      <c r="GNO57" s="275"/>
      <c r="GNP57" s="275"/>
      <c r="GNQ57" s="275"/>
      <c r="GNR57" s="275"/>
      <c r="GNS57" s="137"/>
      <c r="GNT57" s="137"/>
      <c r="GNU57" s="135"/>
      <c r="GNV57" s="137"/>
      <c r="GNX57" s="250"/>
      <c r="GNY57" s="250"/>
      <c r="GNZ57" s="243"/>
      <c r="GOA57" s="276"/>
      <c r="GOB57" s="276"/>
      <c r="GOC57" s="276"/>
      <c r="GOD57" s="244"/>
      <c r="GOE57" s="244"/>
      <c r="GOF57" s="244"/>
      <c r="GOG57" s="245"/>
      <c r="GOH57" s="245"/>
      <c r="GOI57" s="244"/>
      <c r="GOJ57" s="246"/>
      <c r="GOK57" s="247"/>
      <c r="GOL57" s="275"/>
      <c r="GOM57" s="275"/>
      <c r="GON57" s="275"/>
      <c r="GOO57" s="275"/>
      <c r="GOP57" s="275"/>
      <c r="GOQ57" s="275"/>
      <c r="GOR57" s="137"/>
      <c r="GOS57" s="137"/>
      <c r="GOT57" s="135"/>
      <c r="GOU57" s="137"/>
      <c r="GOW57" s="250"/>
      <c r="GOX57" s="250"/>
      <c r="GOY57" s="243"/>
      <c r="GOZ57" s="276"/>
      <c r="GPA57" s="276"/>
      <c r="GPB57" s="276"/>
      <c r="GPC57" s="244"/>
      <c r="GPD57" s="244"/>
      <c r="GPE57" s="244"/>
      <c r="GPF57" s="245"/>
      <c r="GPG57" s="245"/>
      <c r="GPH57" s="244"/>
      <c r="GPI57" s="246"/>
      <c r="GPJ57" s="247"/>
      <c r="GPK57" s="275"/>
      <c r="GPL57" s="275"/>
      <c r="GPM57" s="275"/>
      <c r="GPN57" s="275"/>
      <c r="GPO57" s="275"/>
      <c r="GPP57" s="275"/>
      <c r="GPQ57" s="137"/>
      <c r="GPR57" s="137"/>
      <c r="GPS57" s="135"/>
      <c r="GPT57" s="137"/>
      <c r="GPV57" s="250"/>
      <c r="GPW57" s="250"/>
      <c r="GPX57" s="243"/>
      <c r="GPY57" s="276"/>
      <c r="GPZ57" s="276"/>
      <c r="GQA57" s="276"/>
      <c r="GQB57" s="244"/>
      <c r="GQC57" s="244"/>
      <c r="GQD57" s="244"/>
      <c r="GQE57" s="245"/>
      <c r="GQF57" s="245"/>
      <c r="GQG57" s="244"/>
      <c r="GQH57" s="246"/>
      <c r="GQI57" s="247"/>
      <c r="GQJ57" s="275"/>
      <c r="GQK57" s="275"/>
      <c r="GQL57" s="275"/>
      <c r="GQM57" s="275"/>
      <c r="GQN57" s="275"/>
      <c r="GQO57" s="275"/>
      <c r="GQP57" s="137"/>
      <c r="GQQ57" s="137"/>
      <c r="GQR57" s="135"/>
      <c r="GQS57" s="137"/>
      <c r="GQU57" s="250"/>
      <c r="GQV57" s="250"/>
      <c r="GQW57" s="243"/>
      <c r="GQX57" s="276"/>
      <c r="GQY57" s="276"/>
      <c r="GQZ57" s="276"/>
      <c r="GRA57" s="244"/>
      <c r="GRB57" s="244"/>
      <c r="GRC57" s="244"/>
      <c r="GRD57" s="245"/>
      <c r="GRE57" s="245"/>
      <c r="GRF57" s="244"/>
      <c r="GRG57" s="246"/>
      <c r="GRH57" s="247"/>
      <c r="GRI57" s="275"/>
      <c r="GRJ57" s="275"/>
      <c r="GRK57" s="275"/>
      <c r="GRL57" s="275"/>
      <c r="GRM57" s="275"/>
      <c r="GRN57" s="275"/>
      <c r="GRO57" s="137"/>
      <c r="GRP57" s="137"/>
      <c r="GRQ57" s="135"/>
      <c r="GRR57" s="137"/>
      <c r="GRT57" s="250"/>
      <c r="GRU57" s="250"/>
      <c r="GRV57" s="243"/>
      <c r="GRW57" s="276"/>
      <c r="GRX57" s="276"/>
      <c r="GRY57" s="276"/>
      <c r="GRZ57" s="244"/>
      <c r="GSA57" s="244"/>
      <c r="GSB57" s="244"/>
      <c r="GSC57" s="245"/>
      <c r="GSD57" s="245"/>
      <c r="GSE57" s="244"/>
      <c r="GSF57" s="246"/>
      <c r="GSG57" s="247"/>
      <c r="GSH57" s="275"/>
      <c r="GSI57" s="275"/>
      <c r="GSJ57" s="275"/>
      <c r="GSK57" s="275"/>
      <c r="GSL57" s="275"/>
      <c r="GSM57" s="275"/>
      <c r="GSN57" s="137"/>
      <c r="GSO57" s="137"/>
      <c r="GSP57" s="135"/>
      <c r="GSQ57" s="137"/>
      <c r="GSS57" s="250"/>
      <c r="GST57" s="250"/>
      <c r="GSU57" s="243"/>
      <c r="GSV57" s="276"/>
      <c r="GSW57" s="276"/>
      <c r="GSX57" s="276"/>
      <c r="GSY57" s="244"/>
      <c r="GSZ57" s="244"/>
      <c r="GTA57" s="244"/>
      <c r="GTB57" s="245"/>
      <c r="GTC57" s="245"/>
      <c r="GTD57" s="244"/>
      <c r="GTE57" s="246"/>
      <c r="GTF57" s="247"/>
      <c r="GTG57" s="275"/>
      <c r="GTH57" s="275"/>
      <c r="GTI57" s="275"/>
      <c r="GTJ57" s="275"/>
      <c r="GTK57" s="275"/>
      <c r="GTL57" s="275"/>
      <c r="GTM57" s="137"/>
      <c r="GTN57" s="137"/>
      <c r="GTO57" s="135"/>
      <c r="GTP57" s="137"/>
      <c r="GTR57" s="250"/>
      <c r="GTS57" s="250"/>
      <c r="GTT57" s="243"/>
      <c r="GTU57" s="276"/>
      <c r="GTV57" s="276"/>
      <c r="GTW57" s="276"/>
      <c r="GTX57" s="244"/>
      <c r="GTY57" s="244"/>
      <c r="GTZ57" s="244"/>
      <c r="GUA57" s="245"/>
      <c r="GUB57" s="245"/>
      <c r="GUC57" s="244"/>
      <c r="GUD57" s="246"/>
      <c r="GUE57" s="247"/>
      <c r="GUF57" s="275"/>
      <c r="GUG57" s="275"/>
      <c r="GUH57" s="275"/>
      <c r="GUI57" s="275"/>
      <c r="GUJ57" s="275"/>
      <c r="GUK57" s="275"/>
      <c r="GUL57" s="137"/>
      <c r="GUM57" s="137"/>
      <c r="GUN57" s="135"/>
      <c r="GUO57" s="137"/>
      <c r="GUQ57" s="250"/>
      <c r="GUR57" s="250"/>
      <c r="GUS57" s="243"/>
      <c r="GUT57" s="276"/>
      <c r="GUU57" s="276"/>
      <c r="GUV57" s="276"/>
      <c r="GUW57" s="244"/>
      <c r="GUX57" s="244"/>
      <c r="GUY57" s="244"/>
      <c r="GUZ57" s="245"/>
      <c r="GVA57" s="245"/>
      <c r="GVB57" s="244"/>
      <c r="GVC57" s="246"/>
      <c r="GVD57" s="247"/>
      <c r="GVE57" s="275"/>
      <c r="GVF57" s="275"/>
      <c r="GVG57" s="275"/>
      <c r="GVH57" s="275"/>
      <c r="GVI57" s="275"/>
      <c r="GVJ57" s="275"/>
      <c r="GVK57" s="137"/>
      <c r="GVL57" s="137"/>
      <c r="GVM57" s="135"/>
      <c r="GVN57" s="137"/>
      <c r="GVP57" s="250"/>
      <c r="GVQ57" s="250"/>
      <c r="GVR57" s="243"/>
      <c r="GVS57" s="276"/>
      <c r="GVT57" s="276"/>
      <c r="GVU57" s="276"/>
      <c r="GVV57" s="244"/>
      <c r="GVW57" s="244"/>
      <c r="GVX57" s="244"/>
      <c r="GVY57" s="245"/>
      <c r="GVZ57" s="245"/>
      <c r="GWA57" s="244"/>
      <c r="GWB57" s="246"/>
      <c r="GWC57" s="247"/>
      <c r="GWD57" s="275"/>
      <c r="GWE57" s="275"/>
      <c r="GWF57" s="275"/>
      <c r="GWG57" s="275"/>
      <c r="GWH57" s="275"/>
      <c r="GWI57" s="275"/>
      <c r="GWJ57" s="137"/>
      <c r="GWK57" s="137"/>
      <c r="GWL57" s="135"/>
      <c r="GWM57" s="137"/>
      <c r="GWO57" s="250"/>
      <c r="GWP57" s="250"/>
      <c r="GWQ57" s="243"/>
      <c r="GWR57" s="276"/>
      <c r="GWS57" s="276"/>
      <c r="GWT57" s="276"/>
      <c r="GWU57" s="244"/>
      <c r="GWV57" s="244"/>
      <c r="GWW57" s="244"/>
      <c r="GWX57" s="245"/>
      <c r="GWY57" s="245"/>
      <c r="GWZ57" s="244"/>
      <c r="GXA57" s="246"/>
      <c r="GXB57" s="247"/>
      <c r="GXC57" s="275"/>
      <c r="GXD57" s="275"/>
      <c r="GXE57" s="275"/>
      <c r="GXF57" s="275"/>
      <c r="GXG57" s="275"/>
      <c r="GXH57" s="275"/>
      <c r="GXI57" s="137"/>
      <c r="GXJ57" s="137"/>
      <c r="GXK57" s="135"/>
      <c r="GXL57" s="137"/>
      <c r="GXN57" s="250"/>
      <c r="GXO57" s="250"/>
      <c r="GXP57" s="243"/>
      <c r="GXQ57" s="276"/>
      <c r="GXR57" s="276"/>
      <c r="GXS57" s="276"/>
      <c r="GXT57" s="244"/>
      <c r="GXU57" s="244"/>
      <c r="GXV57" s="244"/>
      <c r="GXW57" s="245"/>
      <c r="GXX57" s="245"/>
      <c r="GXY57" s="244"/>
      <c r="GXZ57" s="246"/>
      <c r="GYA57" s="247"/>
      <c r="GYB57" s="275"/>
      <c r="GYC57" s="275"/>
      <c r="GYD57" s="275"/>
      <c r="GYE57" s="275"/>
      <c r="GYF57" s="275"/>
      <c r="GYG57" s="275"/>
      <c r="GYH57" s="137"/>
      <c r="GYI57" s="137"/>
      <c r="GYJ57" s="135"/>
      <c r="GYK57" s="137"/>
      <c r="GYM57" s="250"/>
      <c r="GYN57" s="250"/>
      <c r="GYO57" s="243"/>
      <c r="GYP57" s="276"/>
      <c r="GYQ57" s="276"/>
      <c r="GYR57" s="276"/>
      <c r="GYS57" s="244"/>
      <c r="GYT57" s="244"/>
      <c r="GYU57" s="244"/>
      <c r="GYV57" s="245"/>
      <c r="GYW57" s="245"/>
      <c r="GYX57" s="244"/>
      <c r="GYY57" s="246"/>
      <c r="GYZ57" s="247"/>
      <c r="GZA57" s="275"/>
      <c r="GZB57" s="275"/>
      <c r="GZC57" s="275"/>
      <c r="GZD57" s="275"/>
      <c r="GZE57" s="275"/>
      <c r="GZF57" s="275"/>
      <c r="GZG57" s="137"/>
      <c r="GZH57" s="137"/>
      <c r="GZI57" s="135"/>
      <c r="GZJ57" s="137"/>
      <c r="GZL57" s="250"/>
      <c r="GZM57" s="250"/>
      <c r="GZN57" s="243"/>
      <c r="GZO57" s="276"/>
      <c r="GZP57" s="276"/>
      <c r="GZQ57" s="276"/>
      <c r="GZR57" s="244"/>
      <c r="GZS57" s="244"/>
      <c r="GZT57" s="244"/>
      <c r="GZU57" s="245"/>
      <c r="GZV57" s="245"/>
      <c r="GZW57" s="244"/>
      <c r="GZX57" s="246"/>
      <c r="GZY57" s="247"/>
      <c r="GZZ57" s="275"/>
      <c r="HAA57" s="275"/>
      <c r="HAB57" s="275"/>
      <c r="HAC57" s="275"/>
      <c r="HAD57" s="275"/>
      <c r="HAE57" s="275"/>
      <c r="HAF57" s="137"/>
      <c r="HAG57" s="137"/>
      <c r="HAH57" s="135"/>
      <c r="HAI57" s="137"/>
      <c r="HAK57" s="250"/>
      <c r="HAL57" s="250"/>
      <c r="HAM57" s="243"/>
      <c r="HAN57" s="276"/>
      <c r="HAO57" s="276"/>
      <c r="HAP57" s="276"/>
      <c r="HAQ57" s="244"/>
      <c r="HAR57" s="244"/>
      <c r="HAS57" s="244"/>
      <c r="HAT57" s="245"/>
      <c r="HAU57" s="245"/>
      <c r="HAV57" s="244"/>
      <c r="HAW57" s="246"/>
      <c r="HAX57" s="247"/>
      <c r="HAY57" s="275"/>
      <c r="HAZ57" s="275"/>
      <c r="HBA57" s="275"/>
      <c r="HBB57" s="275"/>
      <c r="HBC57" s="275"/>
      <c r="HBD57" s="275"/>
      <c r="HBE57" s="137"/>
      <c r="HBF57" s="137"/>
      <c r="HBG57" s="135"/>
      <c r="HBH57" s="137"/>
      <c r="HBJ57" s="250"/>
      <c r="HBK57" s="250"/>
      <c r="HBL57" s="243"/>
      <c r="HBM57" s="276"/>
      <c r="HBN57" s="276"/>
      <c r="HBO57" s="276"/>
      <c r="HBP57" s="244"/>
      <c r="HBQ57" s="244"/>
      <c r="HBR57" s="244"/>
      <c r="HBS57" s="245"/>
      <c r="HBT57" s="245"/>
      <c r="HBU57" s="244"/>
      <c r="HBV57" s="246"/>
      <c r="HBW57" s="247"/>
      <c r="HBX57" s="275"/>
      <c r="HBY57" s="275"/>
      <c r="HBZ57" s="275"/>
      <c r="HCA57" s="275"/>
      <c r="HCB57" s="275"/>
      <c r="HCC57" s="275"/>
      <c r="HCD57" s="137"/>
      <c r="HCE57" s="137"/>
      <c r="HCF57" s="135"/>
      <c r="HCG57" s="137"/>
      <c r="HCI57" s="250"/>
      <c r="HCJ57" s="250"/>
      <c r="HCK57" s="243"/>
      <c r="HCL57" s="276"/>
      <c r="HCM57" s="276"/>
      <c r="HCN57" s="276"/>
      <c r="HCO57" s="244"/>
      <c r="HCP57" s="244"/>
      <c r="HCQ57" s="244"/>
      <c r="HCR57" s="245"/>
      <c r="HCS57" s="245"/>
      <c r="HCT57" s="244"/>
      <c r="HCU57" s="246"/>
      <c r="HCV57" s="247"/>
      <c r="HCW57" s="275"/>
      <c r="HCX57" s="275"/>
      <c r="HCY57" s="275"/>
      <c r="HCZ57" s="275"/>
      <c r="HDA57" s="275"/>
      <c r="HDB57" s="275"/>
      <c r="HDC57" s="137"/>
      <c r="HDD57" s="137"/>
      <c r="HDE57" s="135"/>
      <c r="HDF57" s="137"/>
      <c r="HDH57" s="250"/>
      <c r="HDI57" s="250"/>
      <c r="HDJ57" s="243"/>
      <c r="HDK57" s="276"/>
      <c r="HDL57" s="276"/>
      <c r="HDM57" s="276"/>
      <c r="HDN57" s="244"/>
      <c r="HDO57" s="244"/>
      <c r="HDP57" s="244"/>
      <c r="HDQ57" s="245"/>
      <c r="HDR57" s="245"/>
      <c r="HDS57" s="244"/>
      <c r="HDT57" s="246"/>
      <c r="HDU57" s="247"/>
      <c r="HDV57" s="275"/>
      <c r="HDW57" s="275"/>
      <c r="HDX57" s="275"/>
      <c r="HDY57" s="275"/>
      <c r="HDZ57" s="275"/>
      <c r="HEA57" s="275"/>
      <c r="HEB57" s="137"/>
      <c r="HEC57" s="137"/>
      <c r="HED57" s="135"/>
      <c r="HEE57" s="137"/>
      <c r="HEG57" s="250"/>
      <c r="HEH57" s="250"/>
      <c r="HEI57" s="243"/>
      <c r="HEJ57" s="276"/>
      <c r="HEK57" s="276"/>
      <c r="HEL57" s="276"/>
      <c r="HEM57" s="244"/>
      <c r="HEN57" s="244"/>
      <c r="HEO57" s="244"/>
      <c r="HEP57" s="245"/>
      <c r="HEQ57" s="245"/>
      <c r="HER57" s="244"/>
      <c r="HES57" s="246"/>
      <c r="HET57" s="247"/>
      <c r="HEU57" s="275"/>
      <c r="HEV57" s="275"/>
      <c r="HEW57" s="275"/>
      <c r="HEX57" s="275"/>
      <c r="HEY57" s="275"/>
      <c r="HEZ57" s="275"/>
      <c r="HFA57" s="137"/>
      <c r="HFB57" s="137"/>
      <c r="HFC57" s="135"/>
      <c r="HFD57" s="137"/>
      <c r="HFF57" s="250"/>
      <c r="HFG57" s="250"/>
      <c r="HFH57" s="243"/>
      <c r="HFI57" s="276"/>
      <c r="HFJ57" s="276"/>
      <c r="HFK57" s="276"/>
      <c r="HFL57" s="244"/>
      <c r="HFM57" s="244"/>
      <c r="HFN57" s="244"/>
      <c r="HFO57" s="245"/>
      <c r="HFP57" s="245"/>
      <c r="HFQ57" s="244"/>
      <c r="HFR57" s="246"/>
      <c r="HFS57" s="247"/>
      <c r="HFT57" s="275"/>
      <c r="HFU57" s="275"/>
      <c r="HFV57" s="275"/>
      <c r="HFW57" s="275"/>
      <c r="HFX57" s="275"/>
      <c r="HFY57" s="275"/>
      <c r="HFZ57" s="137"/>
      <c r="HGA57" s="137"/>
      <c r="HGB57" s="135"/>
      <c r="HGC57" s="137"/>
      <c r="HGE57" s="250"/>
      <c r="HGF57" s="250"/>
      <c r="HGG57" s="243"/>
      <c r="HGH57" s="276"/>
      <c r="HGI57" s="276"/>
      <c r="HGJ57" s="276"/>
      <c r="HGK57" s="244"/>
      <c r="HGL57" s="244"/>
      <c r="HGM57" s="244"/>
      <c r="HGN57" s="245"/>
      <c r="HGO57" s="245"/>
      <c r="HGP57" s="244"/>
      <c r="HGQ57" s="246"/>
      <c r="HGR57" s="247"/>
      <c r="HGS57" s="275"/>
      <c r="HGT57" s="275"/>
      <c r="HGU57" s="275"/>
      <c r="HGV57" s="275"/>
      <c r="HGW57" s="275"/>
      <c r="HGX57" s="275"/>
      <c r="HGY57" s="137"/>
      <c r="HGZ57" s="137"/>
      <c r="HHA57" s="135"/>
      <c r="HHB57" s="137"/>
      <c r="HHD57" s="250"/>
      <c r="HHE57" s="250"/>
      <c r="HHF57" s="243"/>
      <c r="HHG57" s="276"/>
      <c r="HHH57" s="276"/>
      <c r="HHI57" s="276"/>
      <c r="HHJ57" s="244"/>
      <c r="HHK57" s="244"/>
      <c r="HHL57" s="244"/>
      <c r="HHM57" s="245"/>
      <c r="HHN57" s="245"/>
      <c r="HHO57" s="244"/>
      <c r="HHP57" s="246"/>
      <c r="HHQ57" s="247"/>
      <c r="HHR57" s="275"/>
      <c r="HHS57" s="275"/>
      <c r="HHT57" s="275"/>
      <c r="HHU57" s="275"/>
      <c r="HHV57" s="275"/>
      <c r="HHW57" s="275"/>
      <c r="HHX57" s="137"/>
      <c r="HHY57" s="137"/>
      <c r="HHZ57" s="135"/>
      <c r="HIA57" s="137"/>
      <c r="HIC57" s="250"/>
      <c r="HID57" s="250"/>
      <c r="HIE57" s="243"/>
      <c r="HIF57" s="276"/>
      <c r="HIG57" s="276"/>
      <c r="HIH57" s="276"/>
      <c r="HII57" s="244"/>
      <c r="HIJ57" s="244"/>
      <c r="HIK57" s="244"/>
      <c r="HIL57" s="245"/>
      <c r="HIM57" s="245"/>
      <c r="HIN57" s="244"/>
      <c r="HIO57" s="246"/>
      <c r="HIP57" s="247"/>
      <c r="HIQ57" s="275"/>
      <c r="HIR57" s="275"/>
      <c r="HIS57" s="275"/>
      <c r="HIT57" s="275"/>
      <c r="HIU57" s="275"/>
      <c r="HIV57" s="275"/>
      <c r="HIW57" s="137"/>
      <c r="HIX57" s="137"/>
      <c r="HIY57" s="135"/>
      <c r="HIZ57" s="137"/>
      <c r="HJB57" s="250"/>
      <c r="HJC57" s="250"/>
      <c r="HJD57" s="243"/>
      <c r="HJE57" s="276"/>
      <c r="HJF57" s="276"/>
      <c r="HJG57" s="276"/>
      <c r="HJH57" s="244"/>
      <c r="HJI57" s="244"/>
      <c r="HJJ57" s="244"/>
      <c r="HJK57" s="245"/>
      <c r="HJL57" s="245"/>
      <c r="HJM57" s="244"/>
      <c r="HJN57" s="246"/>
      <c r="HJO57" s="247"/>
      <c r="HJP57" s="275"/>
      <c r="HJQ57" s="275"/>
      <c r="HJR57" s="275"/>
      <c r="HJS57" s="275"/>
      <c r="HJT57" s="275"/>
      <c r="HJU57" s="275"/>
      <c r="HJV57" s="137"/>
      <c r="HJW57" s="137"/>
      <c r="HJX57" s="135"/>
      <c r="HJY57" s="137"/>
      <c r="HKA57" s="250"/>
      <c r="HKB57" s="250"/>
      <c r="HKC57" s="243"/>
      <c r="HKD57" s="276"/>
      <c r="HKE57" s="276"/>
      <c r="HKF57" s="276"/>
      <c r="HKG57" s="244"/>
      <c r="HKH57" s="244"/>
      <c r="HKI57" s="244"/>
      <c r="HKJ57" s="245"/>
      <c r="HKK57" s="245"/>
      <c r="HKL57" s="244"/>
      <c r="HKM57" s="246"/>
      <c r="HKN57" s="247"/>
      <c r="HKO57" s="275"/>
      <c r="HKP57" s="275"/>
      <c r="HKQ57" s="275"/>
      <c r="HKR57" s="275"/>
      <c r="HKS57" s="275"/>
      <c r="HKT57" s="275"/>
      <c r="HKU57" s="137"/>
      <c r="HKV57" s="137"/>
      <c r="HKW57" s="135"/>
      <c r="HKX57" s="137"/>
      <c r="HKZ57" s="250"/>
      <c r="HLA57" s="250"/>
      <c r="HLB57" s="243"/>
      <c r="HLC57" s="276"/>
      <c r="HLD57" s="276"/>
      <c r="HLE57" s="276"/>
      <c r="HLF57" s="244"/>
      <c r="HLG57" s="244"/>
      <c r="HLH57" s="244"/>
      <c r="HLI57" s="245"/>
      <c r="HLJ57" s="245"/>
      <c r="HLK57" s="244"/>
      <c r="HLL57" s="246"/>
      <c r="HLM57" s="247"/>
      <c r="HLN57" s="275"/>
      <c r="HLO57" s="275"/>
      <c r="HLP57" s="275"/>
      <c r="HLQ57" s="275"/>
      <c r="HLR57" s="275"/>
      <c r="HLS57" s="275"/>
      <c r="HLT57" s="137"/>
      <c r="HLU57" s="137"/>
      <c r="HLV57" s="135"/>
      <c r="HLW57" s="137"/>
      <c r="HLY57" s="250"/>
      <c r="HLZ57" s="250"/>
      <c r="HMA57" s="243"/>
      <c r="HMB57" s="276"/>
      <c r="HMC57" s="276"/>
      <c r="HMD57" s="276"/>
      <c r="HME57" s="244"/>
      <c r="HMF57" s="244"/>
      <c r="HMG57" s="244"/>
      <c r="HMH57" s="245"/>
      <c r="HMI57" s="245"/>
      <c r="HMJ57" s="244"/>
      <c r="HMK57" s="246"/>
      <c r="HML57" s="247"/>
      <c r="HMM57" s="275"/>
      <c r="HMN57" s="275"/>
      <c r="HMO57" s="275"/>
      <c r="HMP57" s="275"/>
      <c r="HMQ57" s="275"/>
      <c r="HMR57" s="275"/>
      <c r="HMS57" s="137"/>
      <c r="HMT57" s="137"/>
      <c r="HMU57" s="135"/>
      <c r="HMV57" s="137"/>
      <c r="HMX57" s="250"/>
      <c r="HMY57" s="250"/>
      <c r="HMZ57" s="243"/>
      <c r="HNA57" s="276"/>
      <c r="HNB57" s="276"/>
      <c r="HNC57" s="276"/>
      <c r="HND57" s="244"/>
      <c r="HNE57" s="244"/>
      <c r="HNF57" s="244"/>
      <c r="HNG57" s="245"/>
      <c r="HNH57" s="245"/>
      <c r="HNI57" s="244"/>
      <c r="HNJ57" s="246"/>
      <c r="HNK57" s="247"/>
      <c r="HNL57" s="275"/>
      <c r="HNM57" s="275"/>
      <c r="HNN57" s="275"/>
      <c r="HNO57" s="275"/>
      <c r="HNP57" s="275"/>
      <c r="HNQ57" s="275"/>
      <c r="HNR57" s="137"/>
      <c r="HNS57" s="137"/>
      <c r="HNT57" s="135"/>
      <c r="HNU57" s="137"/>
      <c r="HNW57" s="250"/>
      <c r="HNX57" s="250"/>
      <c r="HNY57" s="243"/>
      <c r="HNZ57" s="276"/>
      <c r="HOA57" s="276"/>
      <c r="HOB57" s="276"/>
      <c r="HOC57" s="244"/>
      <c r="HOD57" s="244"/>
      <c r="HOE57" s="244"/>
      <c r="HOF57" s="245"/>
      <c r="HOG57" s="245"/>
      <c r="HOH57" s="244"/>
      <c r="HOI57" s="246"/>
      <c r="HOJ57" s="247"/>
      <c r="HOK57" s="275"/>
      <c r="HOL57" s="275"/>
      <c r="HOM57" s="275"/>
      <c r="HON57" s="275"/>
      <c r="HOO57" s="275"/>
      <c r="HOP57" s="275"/>
      <c r="HOQ57" s="137"/>
      <c r="HOR57" s="137"/>
      <c r="HOS57" s="135"/>
      <c r="HOT57" s="137"/>
      <c r="HOV57" s="250"/>
      <c r="HOW57" s="250"/>
      <c r="HOX57" s="243"/>
      <c r="HOY57" s="276"/>
      <c r="HOZ57" s="276"/>
      <c r="HPA57" s="276"/>
      <c r="HPB57" s="244"/>
      <c r="HPC57" s="244"/>
      <c r="HPD57" s="244"/>
      <c r="HPE57" s="245"/>
      <c r="HPF57" s="245"/>
      <c r="HPG57" s="244"/>
      <c r="HPH57" s="246"/>
      <c r="HPI57" s="247"/>
      <c r="HPJ57" s="275"/>
      <c r="HPK57" s="275"/>
      <c r="HPL57" s="275"/>
      <c r="HPM57" s="275"/>
      <c r="HPN57" s="275"/>
      <c r="HPO57" s="275"/>
      <c r="HPP57" s="137"/>
      <c r="HPQ57" s="137"/>
      <c r="HPR57" s="135"/>
      <c r="HPS57" s="137"/>
      <c r="HPU57" s="250"/>
      <c r="HPV57" s="250"/>
      <c r="HPW57" s="243"/>
      <c r="HPX57" s="276"/>
      <c r="HPY57" s="276"/>
      <c r="HPZ57" s="276"/>
      <c r="HQA57" s="244"/>
      <c r="HQB57" s="244"/>
      <c r="HQC57" s="244"/>
      <c r="HQD57" s="245"/>
      <c r="HQE57" s="245"/>
      <c r="HQF57" s="244"/>
      <c r="HQG57" s="246"/>
      <c r="HQH57" s="247"/>
      <c r="HQI57" s="275"/>
      <c r="HQJ57" s="275"/>
      <c r="HQK57" s="275"/>
      <c r="HQL57" s="275"/>
      <c r="HQM57" s="275"/>
      <c r="HQN57" s="275"/>
      <c r="HQO57" s="137"/>
      <c r="HQP57" s="137"/>
      <c r="HQQ57" s="135"/>
      <c r="HQR57" s="137"/>
      <c r="HQT57" s="250"/>
      <c r="HQU57" s="250"/>
      <c r="HQV57" s="243"/>
      <c r="HQW57" s="276"/>
      <c r="HQX57" s="276"/>
      <c r="HQY57" s="276"/>
      <c r="HQZ57" s="244"/>
      <c r="HRA57" s="244"/>
      <c r="HRB57" s="244"/>
      <c r="HRC57" s="245"/>
      <c r="HRD57" s="245"/>
      <c r="HRE57" s="244"/>
      <c r="HRF57" s="246"/>
      <c r="HRG57" s="247"/>
      <c r="HRH57" s="275"/>
      <c r="HRI57" s="275"/>
      <c r="HRJ57" s="275"/>
      <c r="HRK57" s="275"/>
      <c r="HRL57" s="275"/>
      <c r="HRM57" s="275"/>
      <c r="HRN57" s="137"/>
      <c r="HRO57" s="137"/>
      <c r="HRP57" s="135"/>
      <c r="HRQ57" s="137"/>
      <c r="HRS57" s="250"/>
      <c r="HRT57" s="250"/>
      <c r="HRU57" s="243"/>
      <c r="HRV57" s="276"/>
      <c r="HRW57" s="276"/>
      <c r="HRX57" s="276"/>
      <c r="HRY57" s="244"/>
      <c r="HRZ57" s="244"/>
      <c r="HSA57" s="244"/>
      <c r="HSB57" s="245"/>
      <c r="HSC57" s="245"/>
      <c r="HSD57" s="244"/>
      <c r="HSE57" s="246"/>
      <c r="HSF57" s="247"/>
      <c r="HSG57" s="275"/>
      <c r="HSH57" s="275"/>
      <c r="HSI57" s="275"/>
      <c r="HSJ57" s="275"/>
      <c r="HSK57" s="275"/>
      <c r="HSL57" s="275"/>
      <c r="HSM57" s="137"/>
      <c r="HSN57" s="137"/>
      <c r="HSO57" s="135"/>
      <c r="HSP57" s="137"/>
      <c r="HSR57" s="250"/>
      <c r="HSS57" s="250"/>
      <c r="HST57" s="243"/>
      <c r="HSU57" s="276"/>
      <c r="HSV57" s="276"/>
      <c r="HSW57" s="276"/>
      <c r="HSX57" s="244"/>
      <c r="HSY57" s="244"/>
      <c r="HSZ57" s="244"/>
      <c r="HTA57" s="245"/>
      <c r="HTB57" s="245"/>
      <c r="HTC57" s="244"/>
      <c r="HTD57" s="246"/>
      <c r="HTE57" s="247"/>
      <c r="HTF57" s="275"/>
      <c r="HTG57" s="275"/>
      <c r="HTH57" s="275"/>
      <c r="HTI57" s="275"/>
      <c r="HTJ57" s="275"/>
      <c r="HTK57" s="275"/>
      <c r="HTL57" s="137"/>
      <c r="HTM57" s="137"/>
      <c r="HTN57" s="135"/>
      <c r="HTO57" s="137"/>
      <c r="HTQ57" s="250"/>
      <c r="HTR57" s="250"/>
      <c r="HTS57" s="243"/>
      <c r="HTT57" s="276"/>
      <c r="HTU57" s="276"/>
      <c r="HTV57" s="276"/>
      <c r="HTW57" s="244"/>
      <c r="HTX57" s="244"/>
      <c r="HTY57" s="244"/>
      <c r="HTZ57" s="245"/>
      <c r="HUA57" s="245"/>
      <c r="HUB57" s="244"/>
      <c r="HUC57" s="246"/>
      <c r="HUD57" s="247"/>
      <c r="HUE57" s="275"/>
      <c r="HUF57" s="275"/>
      <c r="HUG57" s="275"/>
      <c r="HUH57" s="275"/>
      <c r="HUI57" s="275"/>
      <c r="HUJ57" s="275"/>
      <c r="HUK57" s="137"/>
      <c r="HUL57" s="137"/>
      <c r="HUM57" s="135"/>
      <c r="HUN57" s="137"/>
      <c r="HUP57" s="250"/>
      <c r="HUQ57" s="250"/>
      <c r="HUR57" s="243"/>
      <c r="HUS57" s="276"/>
      <c r="HUT57" s="276"/>
      <c r="HUU57" s="276"/>
      <c r="HUV57" s="244"/>
      <c r="HUW57" s="244"/>
      <c r="HUX57" s="244"/>
      <c r="HUY57" s="245"/>
      <c r="HUZ57" s="245"/>
      <c r="HVA57" s="244"/>
      <c r="HVB57" s="246"/>
      <c r="HVC57" s="247"/>
      <c r="HVD57" s="275"/>
      <c r="HVE57" s="275"/>
      <c r="HVF57" s="275"/>
      <c r="HVG57" s="275"/>
      <c r="HVH57" s="275"/>
      <c r="HVI57" s="275"/>
      <c r="HVJ57" s="137"/>
      <c r="HVK57" s="137"/>
      <c r="HVL57" s="135"/>
      <c r="HVM57" s="137"/>
      <c r="HVO57" s="250"/>
      <c r="HVP57" s="250"/>
      <c r="HVQ57" s="243"/>
      <c r="HVR57" s="276"/>
      <c r="HVS57" s="276"/>
      <c r="HVT57" s="276"/>
      <c r="HVU57" s="244"/>
      <c r="HVV57" s="244"/>
      <c r="HVW57" s="244"/>
      <c r="HVX57" s="245"/>
      <c r="HVY57" s="245"/>
      <c r="HVZ57" s="244"/>
      <c r="HWA57" s="246"/>
      <c r="HWB57" s="247"/>
      <c r="HWC57" s="275"/>
      <c r="HWD57" s="275"/>
      <c r="HWE57" s="275"/>
      <c r="HWF57" s="275"/>
      <c r="HWG57" s="275"/>
      <c r="HWH57" s="275"/>
      <c r="HWI57" s="137"/>
      <c r="HWJ57" s="137"/>
      <c r="HWK57" s="135"/>
      <c r="HWL57" s="137"/>
      <c r="HWN57" s="250"/>
      <c r="HWO57" s="250"/>
      <c r="HWP57" s="243"/>
      <c r="HWQ57" s="276"/>
      <c r="HWR57" s="276"/>
      <c r="HWS57" s="276"/>
      <c r="HWT57" s="244"/>
      <c r="HWU57" s="244"/>
      <c r="HWV57" s="244"/>
      <c r="HWW57" s="245"/>
      <c r="HWX57" s="245"/>
      <c r="HWY57" s="244"/>
      <c r="HWZ57" s="246"/>
      <c r="HXA57" s="247"/>
      <c r="HXB57" s="275"/>
      <c r="HXC57" s="275"/>
      <c r="HXD57" s="275"/>
      <c r="HXE57" s="275"/>
      <c r="HXF57" s="275"/>
      <c r="HXG57" s="275"/>
      <c r="HXH57" s="137"/>
      <c r="HXI57" s="137"/>
      <c r="HXJ57" s="135"/>
      <c r="HXK57" s="137"/>
      <c r="HXM57" s="250"/>
      <c r="HXN57" s="250"/>
      <c r="HXO57" s="243"/>
      <c r="HXP57" s="276"/>
      <c r="HXQ57" s="276"/>
      <c r="HXR57" s="276"/>
      <c r="HXS57" s="244"/>
      <c r="HXT57" s="244"/>
      <c r="HXU57" s="244"/>
      <c r="HXV57" s="245"/>
      <c r="HXW57" s="245"/>
      <c r="HXX57" s="244"/>
      <c r="HXY57" s="246"/>
      <c r="HXZ57" s="247"/>
      <c r="HYA57" s="275"/>
      <c r="HYB57" s="275"/>
      <c r="HYC57" s="275"/>
      <c r="HYD57" s="275"/>
      <c r="HYE57" s="275"/>
      <c r="HYF57" s="275"/>
      <c r="HYG57" s="137"/>
      <c r="HYH57" s="137"/>
      <c r="HYI57" s="135"/>
      <c r="HYJ57" s="137"/>
      <c r="HYL57" s="250"/>
      <c r="HYM57" s="250"/>
      <c r="HYN57" s="243"/>
      <c r="HYO57" s="276"/>
      <c r="HYP57" s="276"/>
      <c r="HYQ57" s="276"/>
      <c r="HYR57" s="244"/>
      <c r="HYS57" s="244"/>
      <c r="HYT57" s="244"/>
      <c r="HYU57" s="245"/>
      <c r="HYV57" s="245"/>
      <c r="HYW57" s="244"/>
      <c r="HYX57" s="246"/>
      <c r="HYY57" s="247"/>
      <c r="HYZ57" s="275"/>
      <c r="HZA57" s="275"/>
      <c r="HZB57" s="275"/>
      <c r="HZC57" s="275"/>
      <c r="HZD57" s="275"/>
      <c r="HZE57" s="275"/>
      <c r="HZF57" s="137"/>
      <c r="HZG57" s="137"/>
      <c r="HZH57" s="135"/>
      <c r="HZI57" s="137"/>
      <c r="HZK57" s="250"/>
      <c r="HZL57" s="250"/>
      <c r="HZM57" s="243"/>
      <c r="HZN57" s="276"/>
      <c r="HZO57" s="276"/>
      <c r="HZP57" s="276"/>
      <c r="HZQ57" s="244"/>
      <c r="HZR57" s="244"/>
      <c r="HZS57" s="244"/>
      <c r="HZT57" s="245"/>
      <c r="HZU57" s="245"/>
      <c r="HZV57" s="244"/>
      <c r="HZW57" s="246"/>
      <c r="HZX57" s="247"/>
      <c r="HZY57" s="275"/>
      <c r="HZZ57" s="275"/>
      <c r="IAA57" s="275"/>
      <c r="IAB57" s="275"/>
      <c r="IAC57" s="275"/>
      <c r="IAD57" s="275"/>
      <c r="IAE57" s="137"/>
      <c r="IAF57" s="137"/>
      <c r="IAG57" s="135"/>
      <c r="IAH57" s="137"/>
      <c r="IAJ57" s="250"/>
      <c r="IAK57" s="250"/>
      <c r="IAL57" s="243"/>
      <c r="IAM57" s="276"/>
      <c r="IAN57" s="276"/>
      <c r="IAO57" s="276"/>
      <c r="IAP57" s="244"/>
      <c r="IAQ57" s="244"/>
      <c r="IAR57" s="244"/>
      <c r="IAS57" s="245"/>
      <c r="IAT57" s="245"/>
      <c r="IAU57" s="244"/>
      <c r="IAV57" s="246"/>
      <c r="IAW57" s="247"/>
      <c r="IAX57" s="275"/>
      <c r="IAY57" s="275"/>
      <c r="IAZ57" s="275"/>
      <c r="IBA57" s="275"/>
      <c r="IBB57" s="275"/>
      <c r="IBC57" s="275"/>
      <c r="IBD57" s="137"/>
      <c r="IBE57" s="137"/>
      <c r="IBF57" s="135"/>
      <c r="IBG57" s="137"/>
      <c r="IBI57" s="250"/>
      <c r="IBJ57" s="250"/>
      <c r="IBK57" s="243"/>
      <c r="IBL57" s="276"/>
      <c r="IBM57" s="276"/>
      <c r="IBN57" s="276"/>
      <c r="IBO57" s="244"/>
      <c r="IBP57" s="244"/>
      <c r="IBQ57" s="244"/>
      <c r="IBR57" s="245"/>
      <c r="IBS57" s="245"/>
      <c r="IBT57" s="244"/>
      <c r="IBU57" s="246"/>
      <c r="IBV57" s="247"/>
      <c r="IBW57" s="275"/>
      <c r="IBX57" s="275"/>
      <c r="IBY57" s="275"/>
      <c r="IBZ57" s="275"/>
      <c r="ICA57" s="275"/>
      <c r="ICB57" s="275"/>
      <c r="ICC57" s="137"/>
      <c r="ICD57" s="137"/>
      <c r="ICE57" s="135"/>
      <c r="ICF57" s="137"/>
      <c r="ICH57" s="250"/>
      <c r="ICI57" s="250"/>
      <c r="ICJ57" s="243"/>
      <c r="ICK57" s="276"/>
      <c r="ICL57" s="276"/>
      <c r="ICM57" s="276"/>
      <c r="ICN57" s="244"/>
      <c r="ICO57" s="244"/>
      <c r="ICP57" s="244"/>
      <c r="ICQ57" s="245"/>
      <c r="ICR57" s="245"/>
      <c r="ICS57" s="244"/>
      <c r="ICT57" s="246"/>
      <c r="ICU57" s="247"/>
      <c r="ICV57" s="275"/>
      <c r="ICW57" s="275"/>
      <c r="ICX57" s="275"/>
      <c r="ICY57" s="275"/>
      <c r="ICZ57" s="275"/>
      <c r="IDA57" s="275"/>
      <c r="IDB57" s="137"/>
      <c r="IDC57" s="137"/>
      <c r="IDD57" s="135"/>
      <c r="IDE57" s="137"/>
      <c r="IDG57" s="250"/>
      <c r="IDH57" s="250"/>
      <c r="IDI57" s="243"/>
      <c r="IDJ57" s="276"/>
      <c r="IDK57" s="276"/>
      <c r="IDL57" s="276"/>
      <c r="IDM57" s="244"/>
      <c r="IDN57" s="244"/>
      <c r="IDO57" s="244"/>
      <c r="IDP57" s="245"/>
      <c r="IDQ57" s="245"/>
      <c r="IDR57" s="244"/>
      <c r="IDS57" s="246"/>
      <c r="IDT57" s="247"/>
      <c r="IDU57" s="275"/>
      <c r="IDV57" s="275"/>
      <c r="IDW57" s="275"/>
      <c r="IDX57" s="275"/>
      <c r="IDY57" s="275"/>
      <c r="IDZ57" s="275"/>
      <c r="IEA57" s="137"/>
      <c r="IEB57" s="137"/>
      <c r="IEC57" s="135"/>
      <c r="IED57" s="137"/>
      <c r="IEF57" s="250"/>
      <c r="IEG57" s="250"/>
      <c r="IEH57" s="243"/>
      <c r="IEI57" s="276"/>
      <c r="IEJ57" s="276"/>
      <c r="IEK57" s="276"/>
      <c r="IEL57" s="244"/>
      <c r="IEM57" s="244"/>
      <c r="IEN57" s="244"/>
      <c r="IEO57" s="245"/>
      <c r="IEP57" s="245"/>
      <c r="IEQ57" s="244"/>
      <c r="IER57" s="246"/>
      <c r="IES57" s="247"/>
      <c r="IET57" s="275"/>
      <c r="IEU57" s="275"/>
      <c r="IEV57" s="275"/>
      <c r="IEW57" s="275"/>
      <c r="IEX57" s="275"/>
      <c r="IEY57" s="275"/>
      <c r="IEZ57" s="137"/>
      <c r="IFA57" s="137"/>
      <c r="IFB57" s="135"/>
      <c r="IFC57" s="137"/>
      <c r="IFE57" s="250"/>
      <c r="IFF57" s="250"/>
      <c r="IFG57" s="243"/>
      <c r="IFH57" s="276"/>
      <c r="IFI57" s="276"/>
      <c r="IFJ57" s="276"/>
      <c r="IFK57" s="244"/>
      <c r="IFL57" s="244"/>
      <c r="IFM57" s="244"/>
      <c r="IFN57" s="245"/>
      <c r="IFO57" s="245"/>
      <c r="IFP57" s="244"/>
      <c r="IFQ57" s="246"/>
      <c r="IFR57" s="247"/>
      <c r="IFS57" s="275"/>
      <c r="IFT57" s="275"/>
      <c r="IFU57" s="275"/>
      <c r="IFV57" s="275"/>
      <c r="IFW57" s="275"/>
      <c r="IFX57" s="275"/>
      <c r="IFY57" s="137"/>
      <c r="IFZ57" s="137"/>
      <c r="IGA57" s="135"/>
      <c r="IGB57" s="137"/>
      <c r="IGD57" s="250"/>
      <c r="IGE57" s="250"/>
      <c r="IGF57" s="243"/>
      <c r="IGG57" s="276"/>
      <c r="IGH57" s="276"/>
      <c r="IGI57" s="276"/>
      <c r="IGJ57" s="244"/>
      <c r="IGK57" s="244"/>
      <c r="IGL57" s="244"/>
      <c r="IGM57" s="245"/>
      <c r="IGN57" s="245"/>
      <c r="IGO57" s="244"/>
      <c r="IGP57" s="246"/>
      <c r="IGQ57" s="247"/>
      <c r="IGR57" s="275"/>
      <c r="IGS57" s="275"/>
      <c r="IGT57" s="275"/>
      <c r="IGU57" s="275"/>
      <c r="IGV57" s="275"/>
      <c r="IGW57" s="275"/>
      <c r="IGX57" s="137"/>
      <c r="IGY57" s="137"/>
      <c r="IGZ57" s="135"/>
      <c r="IHA57" s="137"/>
      <c r="IHC57" s="250"/>
      <c r="IHD57" s="250"/>
      <c r="IHE57" s="243"/>
      <c r="IHF57" s="276"/>
      <c r="IHG57" s="276"/>
      <c r="IHH57" s="276"/>
      <c r="IHI57" s="244"/>
      <c r="IHJ57" s="244"/>
      <c r="IHK57" s="244"/>
      <c r="IHL57" s="245"/>
      <c r="IHM57" s="245"/>
      <c r="IHN57" s="244"/>
      <c r="IHO57" s="246"/>
      <c r="IHP57" s="247"/>
      <c r="IHQ57" s="275"/>
      <c r="IHR57" s="275"/>
      <c r="IHS57" s="275"/>
      <c r="IHT57" s="275"/>
      <c r="IHU57" s="275"/>
      <c r="IHV57" s="275"/>
      <c r="IHW57" s="137"/>
      <c r="IHX57" s="137"/>
      <c r="IHY57" s="135"/>
      <c r="IHZ57" s="137"/>
      <c r="IIB57" s="250"/>
      <c r="IIC57" s="250"/>
      <c r="IID57" s="243"/>
      <c r="IIE57" s="276"/>
      <c r="IIF57" s="276"/>
      <c r="IIG57" s="276"/>
      <c r="IIH57" s="244"/>
      <c r="III57" s="244"/>
      <c r="IIJ57" s="244"/>
      <c r="IIK57" s="245"/>
      <c r="IIL57" s="245"/>
      <c r="IIM57" s="244"/>
      <c r="IIN57" s="246"/>
      <c r="IIO57" s="247"/>
      <c r="IIP57" s="275"/>
      <c r="IIQ57" s="275"/>
      <c r="IIR57" s="275"/>
      <c r="IIS57" s="275"/>
      <c r="IIT57" s="275"/>
      <c r="IIU57" s="275"/>
      <c r="IIV57" s="137"/>
      <c r="IIW57" s="137"/>
      <c r="IIX57" s="135"/>
      <c r="IIY57" s="137"/>
      <c r="IJA57" s="250"/>
      <c r="IJB57" s="250"/>
      <c r="IJC57" s="243"/>
      <c r="IJD57" s="276"/>
      <c r="IJE57" s="276"/>
      <c r="IJF57" s="276"/>
      <c r="IJG57" s="244"/>
      <c r="IJH57" s="244"/>
      <c r="IJI57" s="244"/>
      <c r="IJJ57" s="245"/>
      <c r="IJK57" s="245"/>
      <c r="IJL57" s="244"/>
      <c r="IJM57" s="246"/>
      <c r="IJN57" s="247"/>
      <c r="IJO57" s="275"/>
      <c r="IJP57" s="275"/>
      <c r="IJQ57" s="275"/>
      <c r="IJR57" s="275"/>
      <c r="IJS57" s="275"/>
      <c r="IJT57" s="275"/>
      <c r="IJU57" s="137"/>
      <c r="IJV57" s="137"/>
      <c r="IJW57" s="135"/>
      <c r="IJX57" s="137"/>
      <c r="IJZ57" s="250"/>
      <c r="IKA57" s="250"/>
      <c r="IKB57" s="243"/>
      <c r="IKC57" s="276"/>
      <c r="IKD57" s="276"/>
      <c r="IKE57" s="276"/>
      <c r="IKF57" s="244"/>
      <c r="IKG57" s="244"/>
      <c r="IKH57" s="244"/>
      <c r="IKI57" s="245"/>
      <c r="IKJ57" s="245"/>
      <c r="IKK57" s="244"/>
      <c r="IKL57" s="246"/>
      <c r="IKM57" s="247"/>
      <c r="IKN57" s="275"/>
      <c r="IKO57" s="275"/>
      <c r="IKP57" s="275"/>
      <c r="IKQ57" s="275"/>
      <c r="IKR57" s="275"/>
      <c r="IKS57" s="275"/>
      <c r="IKT57" s="137"/>
      <c r="IKU57" s="137"/>
      <c r="IKV57" s="135"/>
      <c r="IKW57" s="137"/>
      <c r="IKY57" s="250"/>
      <c r="IKZ57" s="250"/>
      <c r="ILA57" s="243"/>
      <c r="ILB57" s="276"/>
      <c r="ILC57" s="276"/>
      <c r="ILD57" s="276"/>
      <c r="ILE57" s="244"/>
      <c r="ILF57" s="244"/>
      <c r="ILG57" s="244"/>
      <c r="ILH57" s="245"/>
      <c r="ILI57" s="245"/>
      <c r="ILJ57" s="244"/>
      <c r="ILK57" s="246"/>
      <c r="ILL57" s="247"/>
      <c r="ILM57" s="275"/>
      <c r="ILN57" s="275"/>
      <c r="ILO57" s="275"/>
      <c r="ILP57" s="275"/>
      <c r="ILQ57" s="275"/>
      <c r="ILR57" s="275"/>
      <c r="ILS57" s="137"/>
      <c r="ILT57" s="137"/>
      <c r="ILU57" s="135"/>
      <c r="ILV57" s="137"/>
      <c r="ILX57" s="250"/>
      <c r="ILY57" s="250"/>
      <c r="ILZ57" s="243"/>
      <c r="IMA57" s="276"/>
      <c r="IMB57" s="276"/>
      <c r="IMC57" s="276"/>
      <c r="IMD57" s="244"/>
      <c r="IME57" s="244"/>
      <c r="IMF57" s="244"/>
      <c r="IMG57" s="245"/>
      <c r="IMH57" s="245"/>
      <c r="IMI57" s="244"/>
      <c r="IMJ57" s="246"/>
      <c r="IMK57" s="247"/>
      <c r="IML57" s="275"/>
      <c r="IMM57" s="275"/>
      <c r="IMN57" s="275"/>
      <c r="IMO57" s="275"/>
      <c r="IMP57" s="275"/>
      <c r="IMQ57" s="275"/>
      <c r="IMR57" s="137"/>
      <c r="IMS57" s="137"/>
      <c r="IMT57" s="135"/>
      <c r="IMU57" s="137"/>
      <c r="IMW57" s="250"/>
      <c r="IMX57" s="250"/>
      <c r="IMY57" s="243"/>
      <c r="IMZ57" s="276"/>
      <c r="INA57" s="276"/>
      <c r="INB57" s="276"/>
      <c r="INC57" s="244"/>
      <c r="IND57" s="244"/>
      <c r="INE57" s="244"/>
      <c r="INF57" s="245"/>
      <c r="ING57" s="245"/>
      <c r="INH57" s="244"/>
      <c r="INI57" s="246"/>
      <c r="INJ57" s="247"/>
      <c r="INK57" s="275"/>
      <c r="INL57" s="275"/>
      <c r="INM57" s="275"/>
      <c r="INN57" s="275"/>
      <c r="INO57" s="275"/>
      <c r="INP57" s="275"/>
      <c r="INQ57" s="137"/>
      <c r="INR57" s="137"/>
      <c r="INS57" s="135"/>
      <c r="INT57" s="137"/>
      <c r="INV57" s="250"/>
      <c r="INW57" s="250"/>
      <c r="INX57" s="243"/>
      <c r="INY57" s="276"/>
      <c r="INZ57" s="276"/>
      <c r="IOA57" s="276"/>
      <c r="IOB57" s="244"/>
      <c r="IOC57" s="244"/>
      <c r="IOD57" s="244"/>
      <c r="IOE57" s="245"/>
      <c r="IOF57" s="245"/>
      <c r="IOG57" s="244"/>
      <c r="IOH57" s="246"/>
      <c r="IOI57" s="247"/>
      <c r="IOJ57" s="275"/>
      <c r="IOK57" s="275"/>
      <c r="IOL57" s="275"/>
      <c r="IOM57" s="275"/>
      <c r="ION57" s="275"/>
      <c r="IOO57" s="275"/>
      <c r="IOP57" s="137"/>
      <c r="IOQ57" s="137"/>
      <c r="IOR57" s="135"/>
      <c r="IOS57" s="137"/>
      <c r="IOU57" s="250"/>
      <c r="IOV57" s="250"/>
      <c r="IOW57" s="243"/>
      <c r="IOX57" s="276"/>
      <c r="IOY57" s="276"/>
      <c r="IOZ57" s="276"/>
      <c r="IPA57" s="244"/>
      <c r="IPB57" s="244"/>
      <c r="IPC57" s="244"/>
      <c r="IPD57" s="245"/>
      <c r="IPE57" s="245"/>
      <c r="IPF57" s="244"/>
      <c r="IPG57" s="246"/>
      <c r="IPH57" s="247"/>
      <c r="IPI57" s="275"/>
      <c r="IPJ57" s="275"/>
      <c r="IPK57" s="275"/>
      <c r="IPL57" s="275"/>
      <c r="IPM57" s="275"/>
      <c r="IPN57" s="275"/>
      <c r="IPO57" s="137"/>
      <c r="IPP57" s="137"/>
      <c r="IPQ57" s="135"/>
      <c r="IPR57" s="137"/>
      <c r="IPT57" s="250"/>
      <c r="IPU57" s="250"/>
      <c r="IPV57" s="243"/>
      <c r="IPW57" s="276"/>
      <c r="IPX57" s="276"/>
      <c r="IPY57" s="276"/>
      <c r="IPZ57" s="244"/>
      <c r="IQA57" s="244"/>
      <c r="IQB57" s="244"/>
      <c r="IQC57" s="245"/>
      <c r="IQD57" s="245"/>
      <c r="IQE57" s="244"/>
      <c r="IQF57" s="246"/>
      <c r="IQG57" s="247"/>
      <c r="IQH57" s="275"/>
      <c r="IQI57" s="275"/>
      <c r="IQJ57" s="275"/>
      <c r="IQK57" s="275"/>
      <c r="IQL57" s="275"/>
      <c r="IQM57" s="275"/>
      <c r="IQN57" s="137"/>
      <c r="IQO57" s="137"/>
      <c r="IQP57" s="135"/>
      <c r="IQQ57" s="137"/>
      <c r="IQS57" s="250"/>
      <c r="IQT57" s="250"/>
      <c r="IQU57" s="243"/>
      <c r="IQV57" s="276"/>
      <c r="IQW57" s="276"/>
      <c r="IQX57" s="276"/>
      <c r="IQY57" s="244"/>
      <c r="IQZ57" s="244"/>
      <c r="IRA57" s="244"/>
      <c r="IRB57" s="245"/>
      <c r="IRC57" s="245"/>
      <c r="IRD57" s="244"/>
      <c r="IRE57" s="246"/>
      <c r="IRF57" s="247"/>
      <c r="IRG57" s="275"/>
      <c r="IRH57" s="275"/>
      <c r="IRI57" s="275"/>
      <c r="IRJ57" s="275"/>
      <c r="IRK57" s="275"/>
      <c r="IRL57" s="275"/>
      <c r="IRM57" s="137"/>
      <c r="IRN57" s="137"/>
      <c r="IRO57" s="135"/>
      <c r="IRP57" s="137"/>
      <c r="IRR57" s="250"/>
      <c r="IRS57" s="250"/>
      <c r="IRT57" s="243"/>
      <c r="IRU57" s="276"/>
      <c r="IRV57" s="276"/>
      <c r="IRW57" s="276"/>
      <c r="IRX57" s="244"/>
      <c r="IRY57" s="244"/>
      <c r="IRZ57" s="244"/>
      <c r="ISA57" s="245"/>
      <c r="ISB57" s="245"/>
      <c r="ISC57" s="244"/>
      <c r="ISD57" s="246"/>
      <c r="ISE57" s="247"/>
      <c r="ISF57" s="275"/>
      <c r="ISG57" s="275"/>
      <c r="ISH57" s="275"/>
      <c r="ISI57" s="275"/>
      <c r="ISJ57" s="275"/>
      <c r="ISK57" s="275"/>
      <c r="ISL57" s="137"/>
      <c r="ISM57" s="137"/>
      <c r="ISN57" s="135"/>
      <c r="ISO57" s="137"/>
      <c r="ISQ57" s="250"/>
      <c r="ISR57" s="250"/>
      <c r="ISS57" s="243"/>
      <c r="IST57" s="276"/>
      <c r="ISU57" s="276"/>
      <c r="ISV57" s="276"/>
      <c r="ISW57" s="244"/>
      <c r="ISX57" s="244"/>
      <c r="ISY57" s="244"/>
      <c r="ISZ57" s="245"/>
      <c r="ITA57" s="245"/>
      <c r="ITB57" s="244"/>
      <c r="ITC57" s="246"/>
      <c r="ITD57" s="247"/>
      <c r="ITE57" s="275"/>
      <c r="ITF57" s="275"/>
      <c r="ITG57" s="275"/>
      <c r="ITH57" s="275"/>
      <c r="ITI57" s="275"/>
      <c r="ITJ57" s="275"/>
      <c r="ITK57" s="137"/>
      <c r="ITL57" s="137"/>
      <c r="ITM57" s="135"/>
      <c r="ITN57" s="137"/>
      <c r="ITP57" s="250"/>
      <c r="ITQ57" s="250"/>
      <c r="ITR57" s="243"/>
      <c r="ITS57" s="276"/>
      <c r="ITT57" s="276"/>
      <c r="ITU57" s="276"/>
      <c r="ITV57" s="244"/>
      <c r="ITW57" s="244"/>
      <c r="ITX57" s="244"/>
      <c r="ITY57" s="245"/>
      <c r="ITZ57" s="245"/>
      <c r="IUA57" s="244"/>
      <c r="IUB57" s="246"/>
      <c r="IUC57" s="247"/>
      <c r="IUD57" s="275"/>
      <c r="IUE57" s="275"/>
      <c r="IUF57" s="275"/>
      <c r="IUG57" s="275"/>
      <c r="IUH57" s="275"/>
      <c r="IUI57" s="275"/>
      <c r="IUJ57" s="137"/>
      <c r="IUK57" s="137"/>
      <c r="IUL57" s="135"/>
      <c r="IUM57" s="137"/>
      <c r="IUO57" s="250"/>
      <c r="IUP57" s="250"/>
      <c r="IUQ57" s="243"/>
      <c r="IUR57" s="276"/>
      <c r="IUS57" s="276"/>
      <c r="IUT57" s="276"/>
      <c r="IUU57" s="244"/>
      <c r="IUV57" s="244"/>
      <c r="IUW57" s="244"/>
      <c r="IUX57" s="245"/>
      <c r="IUY57" s="245"/>
      <c r="IUZ57" s="244"/>
      <c r="IVA57" s="246"/>
      <c r="IVB57" s="247"/>
      <c r="IVC57" s="275"/>
      <c r="IVD57" s="275"/>
      <c r="IVE57" s="275"/>
      <c r="IVF57" s="275"/>
      <c r="IVG57" s="275"/>
      <c r="IVH57" s="275"/>
      <c r="IVI57" s="137"/>
      <c r="IVJ57" s="137"/>
      <c r="IVK57" s="135"/>
      <c r="IVL57" s="137"/>
      <c r="IVN57" s="250"/>
      <c r="IVO57" s="250"/>
      <c r="IVP57" s="243"/>
      <c r="IVQ57" s="276"/>
      <c r="IVR57" s="276"/>
      <c r="IVS57" s="276"/>
      <c r="IVT57" s="244"/>
      <c r="IVU57" s="244"/>
      <c r="IVV57" s="244"/>
      <c r="IVW57" s="245"/>
      <c r="IVX57" s="245"/>
      <c r="IVY57" s="244"/>
      <c r="IVZ57" s="246"/>
      <c r="IWA57" s="247"/>
      <c r="IWB57" s="275"/>
      <c r="IWC57" s="275"/>
      <c r="IWD57" s="275"/>
      <c r="IWE57" s="275"/>
      <c r="IWF57" s="275"/>
      <c r="IWG57" s="275"/>
      <c r="IWH57" s="137"/>
      <c r="IWI57" s="137"/>
      <c r="IWJ57" s="135"/>
      <c r="IWK57" s="137"/>
      <c r="IWM57" s="250"/>
      <c r="IWN57" s="250"/>
      <c r="IWO57" s="243"/>
      <c r="IWP57" s="276"/>
      <c r="IWQ57" s="276"/>
      <c r="IWR57" s="276"/>
      <c r="IWS57" s="244"/>
      <c r="IWT57" s="244"/>
      <c r="IWU57" s="244"/>
      <c r="IWV57" s="245"/>
      <c r="IWW57" s="245"/>
      <c r="IWX57" s="244"/>
      <c r="IWY57" s="246"/>
      <c r="IWZ57" s="247"/>
      <c r="IXA57" s="275"/>
      <c r="IXB57" s="275"/>
      <c r="IXC57" s="275"/>
      <c r="IXD57" s="275"/>
      <c r="IXE57" s="275"/>
      <c r="IXF57" s="275"/>
      <c r="IXG57" s="137"/>
      <c r="IXH57" s="137"/>
      <c r="IXI57" s="135"/>
      <c r="IXJ57" s="137"/>
      <c r="IXL57" s="250"/>
      <c r="IXM57" s="250"/>
      <c r="IXN57" s="243"/>
      <c r="IXO57" s="276"/>
      <c r="IXP57" s="276"/>
      <c r="IXQ57" s="276"/>
      <c r="IXR57" s="244"/>
      <c r="IXS57" s="244"/>
      <c r="IXT57" s="244"/>
      <c r="IXU57" s="245"/>
      <c r="IXV57" s="245"/>
      <c r="IXW57" s="244"/>
      <c r="IXX57" s="246"/>
      <c r="IXY57" s="247"/>
      <c r="IXZ57" s="275"/>
      <c r="IYA57" s="275"/>
      <c r="IYB57" s="275"/>
      <c r="IYC57" s="275"/>
      <c r="IYD57" s="275"/>
      <c r="IYE57" s="275"/>
      <c r="IYF57" s="137"/>
      <c r="IYG57" s="137"/>
      <c r="IYH57" s="135"/>
      <c r="IYI57" s="137"/>
      <c r="IYK57" s="250"/>
      <c r="IYL57" s="250"/>
      <c r="IYM57" s="243"/>
      <c r="IYN57" s="276"/>
      <c r="IYO57" s="276"/>
      <c r="IYP57" s="276"/>
      <c r="IYQ57" s="244"/>
      <c r="IYR57" s="244"/>
      <c r="IYS57" s="244"/>
      <c r="IYT57" s="245"/>
      <c r="IYU57" s="245"/>
      <c r="IYV57" s="244"/>
      <c r="IYW57" s="246"/>
      <c r="IYX57" s="247"/>
      <c r="IYY57" s="275"/>
      <c r="IYZ57" s="275"/>
      <c r="IZA57" s="275"/>
      <c r="IZB57" s="275"/>
      <c r="IZC57" s="275"/>
      <c r="IZD57" s="275"/>
      <c r="IZE57" s="137"/>
      <c r="IZF57" s="137"/>
      <c r="IZG57" s="135"/>
      <c r="IZH57" s="137"/>
      <c r="IZJ57" s="250"/>
      <c r="IZK57" s="250"/>
      <c r="IZL57" s="243"/>
      <c r="IZM57" s="276"/>
      <c r="IZN57" s="276"/>
      <c r="IZO57" s="276"/>
      <c r="IZP57" s="244"/>
      <c r="IZQ57" s="244"/>
      <c r="IZR57" s="244"/>
      <c r="IZS57" s="245"/>
      <c r="IZT57" s="245"/>
      <c r="IZU57" s="244"/>
      <c r="IZV57" s="246"/>
      <c r="IZW57" s="247"/>
      <c r="IZX57" s="275"/>
      <c r="IZY57" s="275"/>
      <c r="IZZ57" s="275"/>
      <c r="JAA57" s="275"/>
      <c r="JAB57" s="275"/>
      <c r="JAC57" s="275"/>
      <c r="JAD57" s="137"/>
      <c r="JAE57" s="137"/>
      <c r="JAF57" s="135"/>
      <c r="JAG57" s="137"/>
      <c r="JAI57" s="250"/>
      <c r="JAJ57" s="250"/>
      <c r="JAK57" s="243"/>
      <c r="JAL57" s="276"/>
      <c r="JAM57" s="276"/>
      <c r="JAN57" s="276"/>
      <c r="JAO57" s="244"/>
      <c r="JAP57" s="244"/>
      <c r="JAQ57" s="244"/>
      <c r="JAR57" s="245"/>
      <c r="JAS57" s="245"/>
      <c r="JAT57" s="244"/>
      <c r="JAU57" s="246"/>
      <c r="JAV57" s="247"/>
      <c r="JAW57" s="275"/>
      <c r="JAX57" s="275"/>
      <c r="JAY57" s="275"/>
      <c r="JAZ57" s="275"/>
      <c r="JBA57" s="275"/>
      <c r="JBB57" s="275"/>
      <c r="JBC57" s="137"/>
      <c r="JBD57" s="137"/>
      <c r="JBE57" s="135"/>
      <c r="JBF57" s="137"/>
      <c r="JBH57" s="250"/>
      <c r="JBI57" s="250"/>
      <c r="JBJ57" s="243"/>
      <c r="JBK57" s="276"/>
      <c r="JBL57" s="276"/>
      <c r="JBM57" s="276"/>
      <c r="JBN57" s="244"/>
      <c r="JBO57" s="244"/>
      <c r="JBP57" s="244"/>
      <c r="JBQ57" s="245"/>
      <c r="JBR57" s="245"/>
      <c r="JBS57" s="244"/>
      <c r="JBT57" s="246"/>
      <c r="JBU57" s="247"/>
      <c r="JBV57" s="275"/>
      <c r="JBW57" s="275"/>
      <c r="JBX57" s="275"/>
      <c r="JBY57" s="275"/>
      <c r="JBZ57" s="275"/>
      <c r="JCA57" s="275"/>
      <c r="JCB57" s="137"/>
      <c r="JCC57" s="137"/>
      <c r="JCD57" s="135"/>
      <c r="JCE57" s="137"/>
      <c r="JCG57" s="250"/>
      <c r="JCH57" s="250"/>
      <c r="JCI57" s="243"/>
      <c r="JCJ57" s="276"/>
      <c r="JCK57" s="276"/>
      <c r="JCL57" s="276"/>
      <c r="JCM57" s="244"/>
      <c r="JCN57" s="244"/>
      <c r="JCO57" s="244"/>
      <c r="JCP57" s="245"/>
      <c r="JCQ57" s="245"/>
      <c r="JCR57" s="244"/>
      <c r="JCS57" s="246"/>
      <c r="JCT57" s="247"/>
      <c r="JCU57" s="275"/>
      <c r="JCV57" s="275"/>
      <c r="JCW57" s="275"/>
      <c r="JCX57" s="275"/>
      <c r="JCY57" s="275"/>
      <c r="JCZ57" s="275"/>
      <c r="JDA57" s="137"/>
      <c r="JDB57" s="137"/>
      <c r="JDC57" s="135"/>
      <c r="JDD57" s="137"/>
      <c r="JDF57" s="250"/>
      <c r="JDG57" s="250"/>
      <c r="JDH57" s="243"/>
      <c r="JDI57" s="276"/>
      <c r="JDJ57" s="276"/>
      <c r="JDK57" s="276"/>
      <c r="JDL57" s="244"/>
      <c r="JDM57" s="244"/>
      <c r="JDN57" s="244"/>
      <c r="JDO57" s="245"/>
      <c r="JDP57" s="245"/>
      <c r="JDQ57" s="244"/>
      <c r="JDR57" s="246"/>
      <c r="JDS57" s="247"/>
      <c r="JDT57" s="275"/>
      <c r="JDU57" s="275"/>
      <c r="JDV57" s="275"/>
      <c r="JDW57" s="275"/>
      <c r="JDX57" s="275"/>
      <c r="JDY57" s="275"/>
      <c r="JDZ57" s="137"/>
      <c r="JEA57" s="137"/>
      <c r="JEB57" s="135"/>
      <c r="JEC57" s="137"/>
      <c r="JEE57" s="250"/>
      <c r="JEF57" s="250"/>
      <c r="JEG57" s="243"/>
      <c r="JEH57" s="276"/>
      <c r="JEI57" s="276"/>
      <c r="JEJ57" s="276"/>
      <c r="JEK57" s="244"/>
      <c r="JEL57" s="244"/>
      <c r="JEM57" s="244"/>
      <c r="JEN57" s="245"/>
      <c r="JEO57" s="245"/>
      <c r="JEP57" s="244"/>
      <c r="JEQ57" s="246"/>
      <c r="JER57" s="247"/>
      <c r="JES57" s="275"/>
      <c r="JET57" s="275"/>
      <c r="JEU57" s="275"/>
      <c r="JEV57" s="275"/>
      <c r="JEW57" s="275"/>
      <c r="JEX57" s="275"/>
      <c r="JEY57" s="137"/>
      <c r="JEZ57" s="137"/>
      <c r="JFA57" s="135"/>
      <c r="JFB57" s="137"/>
      <c r="JFD57" s="250"/>
      <c r="JFE57" s="250"/>
      <c r="JFF57" s="243"/>
      <c r="JFG57" s="276"/>
      <c r="JFH57" s="276"/>
      <c r="JFI57" s="276"/>
      <c r="JFJ57" s="244"/>
      <c r="JFK57" s="244"/>
      <c r="JFL57" s="244"/>
      <c r="JFM57" s="245"/>
      <c r="JFN57" s="245"/>
      <c r="JFO57" s="244"/>
      <c r="JFP57" s="246"/>
      <c r="JFQ57" s="247"/>
      <c r="JFR57" s="275"/>
      <c r="JFS57" s="275"/>
      <c r="JFT57" s="275"/>
      <c r="JFU57" s="275"/>
      <c r="JFV57" s="275"/>
      <c r="JFW57" s="275"/>
      <c r="JFX57" s="137"/>
      <c r="JFY57" s="137"/>
      <c r="JFZ57" s="135"/>
      <c r="JGA57" s="137"/>
      <c r="JGC57" s="250"/>
      <c r="JGD57" s="250"/>
      <c r="JGE57" s="243"/>
      <c r="JGF57" s="276"/>
      <c r="JGG57" s="276"/>
      <c r="JGH57" s="276"/>
      <c r="JGI57" s="244"/>
      <c r="JGJ57" s="244"/>
      <c r="JGK57" s="244"/>
      <c r="JGL57" s="245"/>
      <c r="JGM57" s="245"/>
      <c r="JGN57" s="244"/>
      <c r="JGO57" s="246"/>
      <c r="JGP57" s="247"/>
      <c r="JGQ57" s="275"/>
      <c r="JGR57" s="275"/>
      <c r="JGS57" s="275"/>
      <c r="JGT57" s="275"/>
      <c r="JGU57" s="275"/>
      <c r="JGV57" s="275"/>
      <c r="JGW57" s="137"/>
      <c r="JGX57" s="137"/>
      <c r="JGY57" s="135"/>
      <c r="JGZ57" s="137"/>
      <c r="JHB57" s="250"/>
      <c r="JHC57" s="250"/>
      <c r="JHD57" s="243"/>
      <c r="JHE57" s="276"/>
      <c r="JHF57" s="276"/>
      <c r="JHG57" s="276"/>
      <c r="JHH57" s="244"/>
      <c r="JHI57" s="244"/>
      <c r="JHJ57" s="244"/>
      <c r="JHK57" s="245"/>
      <c r="JHL57" s="245"/>
      <c r="JHM57" s="244"/>
      <c r="JHN57" s="246"/>
      <c r="JHO57" s="247"/>
      <c r="JHP57" s="275"/>
      <c r="JHQ57" s="275"/>
      <c r="JHR57" s="275"/>
      <c r="JHS57" s="275"/>
      <c r="JHT57" s="275"/>
      <c r="JHU57" s="275"/>
      <c r="JHV57" s="137"/>
      <c r="JHW57" s="137"/>
      <c r="JHX57" s="135"/>
      <c r="JHY57" s="137"/>
      <c r="JIA57" s="250"/>
      <c r="JIB57" s="250"/>
      <c r="JIC57" s="243"/>
      <c r="JID57" s="276"/>
      <c r="JIE57" s="276"/>
      <c r="JIF57" s="276"/>
      <c r="JIG57" s="244"/>
      <c r="JIH57" s="244"/>
      <c r="JII57" s="244"/>
      <c r="JIJ57" s="245"/>
      <c r="JIK57" s="245"/>
      <c r="JIL57" s="244"/>
      <c r="JIM57" s="246"/>
      <c r="JIN57" s="247"/>
      <c r="JIO57" s="275"/>
      <c r="JIP57" s="275"/>
      <c r="JIQ57" s="275"/>
      <c r="JIR57" s="275"/>
      <c r="JIS57" s="275"/>
      <c r="JIT57" s="275"/>
      <c r="JIU57" s="137"/>
      <c r="JIV57" s="137"/>
      <c r="JIW57" s="135"/>
      <c r="JIX57" s="137"/>
      <c r="JIZ57" s="250"/>
      <c r="JJA57" s="250"/>
      <c r="JJB57" s="243"/>
      <c r="JJC57" s="276"/>
      <c r="JJD57" s="276"/>
      <c r="JJE57" s="276"/>
      <c r="JJF57" s="244"/>
      <c r="JJG57" s="244"/>
      <c r="JJH57" s="244"/>
      <c r="JJI57" s="245"/>
      <c r="JJJ57" s="245"/>
      <c r="JJK57" s="244"/>
      <c r="JJL57" s="246"/>
      <c r="JJM57" s="247"/>
      <c r="JJN57" s="275"/>
      <c r="JJO57" s="275"/>
      <c r="JJP57" s="275"/>
      <c r="JJQ57" s="275"/>
      <c r="JJR57" s="275"/>
      <c r="JJS57" s="275"/>
      <c r="JJT57" s="137"/>
      <c r="JJU57" s="137"/>
      <c r="JJV57" s="135"/>
      <c r="JJW57" s="137"/>
      <c r="JJY57" s="250"/>
      <c r="JJZ57" s="250"/>
      <c r="JKA57" s="243"/>
      <c r="JKB57" s="276"/>
      <c r="JKC57" s="276"/>
      <c r="JKD57" s="276"/>
      <c r="JKE57" s="244"/>
      <c r="JKF57" s="244"/>
      <c r="JKG57" s="244"/>
      <c r="JKH57" s="245"/>
      <c r="JKI57" s="245"/>
      <c r="JKJ57" s="244"/>
      <c r="JKK57" s="246"/>
      <c r="JKL57" s="247"/>
      <c r="JKM57" s="275"/>
      <c r="JKN57" s="275"/>
      <c r="JKO57" s="275"/>
      <c r="JKP57" s="275"/>
      <c r="JKQ57" s="275"/>
      <c r="JKR57" s="275"/>
      <c r="JKS57" s="137"/>
      <c r="JKT57" s="137"/>
      <c r="JKU57" s="135"/>
      <c r="JKV57" s="137"/>
      <c r="JKX57" s="250"/>
      <c r="JKY57" s="250"/>
      <c r="JKZ57" s="243"/>
      <c r="JLA57" s="276"/>
      <c r="JLB57" s="276"/>
      <c r="JLC57" s="276"/>
      <c r="JLD57" s="244"/>
      <c r="JLE57" s="244"/>
      <c r="JLF57" s="244"/>
      <c r="JLG57" s="245"/>
      <c r="JLH57" s="245"/>
      <c r="JLI57" s="244"/>
      <c r="JLJ57" s="246"/>
      <c r="JLK57" s="247"/>
      <c r="JLL57" s="275"/>
      <c r="JLM57" s="275"/>
      <c r="JLN57" s="275"/>
      <c r="JLO57" s="275"/>
      <c r="JLP57" s="275"/>
      <c r="JLQ57" s="275"/>
      <c r="JLR57" s="137"/>
      <c r="JLS57" s="137"/>
      <c r="JLT57" s="135"/>
      <c r="JLU57" s="137"/>
      <c r="JLW57" s="250"/>
      <c r="JLX57" s="250"/>
      <c r="JLY57" s="243"/>
      <c r="JLZ57" s="276"/>
      <c r="JMA57" s="276"/>
      <c r="JMB57" s="276"/>
      <c r="JMC57" s="244"/>
      <c r="JMD57" s="244"/>
      <c r="JME57" s="244"/>
      <c r="JMF57" s="245"/>
      <c r="JMG57" s="245"/>
      <c r="JMH57" s="244"/>
      <c r="JMI57" s="246"/>
      <c r="JMJ57" s="247"/>
      <c r="JMK57" s="275"/>
      <c r="JML57" s="275"/>
      <c r="JMM57" s="275"/>
      <c r="JMN57" s="275"/>
      <c r="JMO57" s="275"/>
      <c r="JMP57" s="275"/>
      <c r="JMQ57" s="137"/>
      <c r="JMR57" s="137"/>
      <c r="JMS57" s="135"/>
      <c r="JMT57" s="137"/>
      <c r="JMV57" s="250"/>
      <c r="JMW57" s="250"/>
      <c r="JMX57" s="243"/>
      <c r="JMY57" s="276"/>
      <c r="JMZ57" s="276"/>
      <c r="JNA57" s="276"/>
      <c r="JNB57" s="244"/>
      <c r="JNC57" s="244"/>
      <c r="JND57" s="244"/>
      <c r="JNE57" s="245"/>
      <c r="JNF57" s="245"/>
      <c r="JNG57" s="244"/>
      <c r="JNH57" s="246"/>
      <c r="JNI57" s="247"/>
      <c r="JNJ57" s="275"/>
      <c r="JNK57" s="275"/>
      <c r="JNL57" s="275"/>
      <c r="JNM57" s="275"/>
      <c r="JNN57" s="275"/>
      <c r="JNO57" s="275"/>
      <c r="JNP57" s="137"/>
      <c r="JNQ57" s="137"/>
      <c r="JNR57" s="135"/>
      <c r="JNS57" s="137"/>
      <c r="JNU57" s="250"/>
      <c r="JNV57" s="250"/>
      <c r="JNW57" s="243"/>
      <c r="JNX57" s="276"/>
      <c r="JNY57" s="276"/>
      <c r="JNZ57" s="276"/>
      <c r="JOA57" s="244"/>
      <c r="JOB57" s="244"/>
      <c r="JOC57" s="244"/>
      <c r="JOD57" s="245"/>
      <c r="JOE57" s="245"/>
      <c r="JOF57" s="244"/>
      <c r="JOG57" s="246"/>
      <c r="JOH57" s="247"/>
      <c r="JOI57" s="275"/>
      <c r="JOJ57" s="275"/>
      <c r="JOK57" s="275"/>
      <c r="JOL57" s="275"/>
      <c r="JOM57" s="275"/>
      <c r="JON57" s="275"/>
      <c r="JOO57" s="137"/>
      <c r="JOP57" s="137"/>
      <c r="JOQ57" s="135"/>
      <c r="JOR57" s="137"/>
      <c r="JOT57" s="250"/>
      <c r="JOU57" s="250"/>
      <c r="JOV57" s="243"/>
      <c r="JOW57" s="276"/>
      <c r="JOX57" s="276"/>
      <c r="JOY57" s="276"/>
      <c r="JOZ57" s="244"/>
      <c r="JPA57" s="244"/>
      <c r="JPB57" s="244"/>
      <c r="JPC57" s="245"/>
      <c r="JPD57" s="245"/>
      <c r="JPE57" s="244"/>
      <c r="JPF57" s="246"/>
      <c r="JPG57" s="247"/>
      <c r="JPH57" s="275"/>
      <c r="JPI57" s="275"/>
      <c r="JPJ57" s="275"/>
      <c r="JPK57" s="275"/>
      <c r="JPL57" s="275"/>
      <c r="JPM57" s="275"/>
      <c r="JPN57" s="137"/>
      <c r="JPO57" s="137"/>
      <c r="JPP57" s="135"/>
      <c r="JPQ57" s="137"/>
      <c r="JPS57" s="250"/>
      <c r="JPT57" s="250"/>
      <c r="JPU57" s="243"/>
      <c r="JPV57" s="276"/>
      <c r="JPW57" s="276"/>
      <c r="JPX57" s="276"/>
      <c r="JPY57" s="244"/>
      <c r="JPZ57" s="244"/>
      <c r="JQA57" s="244"/>
      <c r="JQB57" s="245"/>
      <c r="JQC57" s="245"/>
      <c r="JQD57" s="244"/>
      <c r="JQE57" s="246"/>
      <c r="JQF57" s="247"/>
      <c r="JQG57" s="275"/>
      <c r="JQH57" s="275"/>
      <c r="JQI57" s="275"/>
      <c r="JQJ57" s="275"/>
      <c r="JQK57" s="275"/>
      <c r="JQL57" s="275"/>
      <c r="JQM57" s="137"/>
      <c r="JQN57" s="137"/>
      <c r="JQO57" s="135"/>
      <c r="JQP57" s="137"/>
      <c r="JQR57" s="250"/>
      <c r="JQS57" s="250"/>
      <c r="JQT57" s="243"/>
      <c r="JQU57" s="276"/>
      <c r="JQV57" s="276"/>
      <c r="JQW57" s="276"/>
      <c r="JQX57" s="244"/>
      <c r="JQY57" s="244"/>
      <c r="JQZ57" s="244"/>
      <c r="JRA57" s="245"/>
      <c r="JRB57" s="245"/>
      <c r="JRC57" s="244"/>
      <c r="JRD57" s="246"/>
      <c r="JRE57" s="247"/>
      <c r="JRF57" s="275"/>
      <c r="JRG57" s="275"/>
      <c r="JRH57" s="275"/>
      <c r="JRI57" s="275"/>
      <c r="JRJ57" s="275"/>
      <c r="JRK57" s="275"/>
      <c r="JRL57" s="137"/>
      <c r="JRM57" s="137"/>
      <c r="JRN57" s="135"/>
      <c r="JRO57" s="137"/>
      <c r="JRQ57" s="250"/>
      <c r="JRR57" s="250"/>
      <c r="JRS57" s="243"/>
      <c r="JRT57" s="276"/>
      <c r="JRU57" s="276"/>
      <c r="JRV57" s="276"/>
      <c r="JRW57" s="244"/>
      <c r="JRX57" s="244"/>
      <c r="JRY57" s="244"/>
      <c r="JRZ57" s="245"/>
      <c r="JSA57" s="245"/>
      <c r="JSB57" s="244"/>
      <c r="JSC57" s="246"/>
      <c r="JSD57" s="247"/>
      <c r="JSE57" s="275"/>
      <c r="JSF57" s="275"/>
      <c r="JSG57" s="275"/>
      <c r="JSH57" s="275"/>
      <c r="JSI57" s="275"/>
      <c r="JSJ57" s="275"/>
      <c r="JSK57" s="137"/>
      <c r="JSL57" s="137"/>
      <c r="JSM57" s="135"/>
      <c r="JSN57" s="137"/>
      <c r="JSP57" s="250"/>
      <c r="JSQ57" s="250"/>
      <c r="JSR57" s="243"/>
      <c r="JSS57" s="276"/>
      <c r="JST57" s="276"/>
      <c r="JSU57" s="276"/>
      <c r="JSV57" s="244"/>
      <c r="JSW57" s="244"/>
      <c r="JSX57" s="244"/>
      <c r="JSY57" s="245"/>
      <c r="JSZ57" s="245"/>
      <c r="JTA57" s="244"/>
      <c r="JTB57" s="246"/>
      <c r="JTC57" s="247"/>
      <c r="JTD57" s="275"/>
      <c r="JTE57" s="275"/>
      <c r="JTF57" s="275"/>
      <c r="JTG57" s="275"/>
      <c r="JTH57" s="275"/>
      <c r="JTI57" s="275"/>
      <c r="JTJ57" s="137"/>
      <c r="JTK57" s="137"/>
      <c r="JTL57" s="135"/>
      <c r="JTM57" s="137"/>
      <c r="JTO57" s="250"/>
      <c r="JTP57" s="250"/>
      <c r="JTQ57" s="243"/>
      <c r="JTR57" s="276"/>
      <c r="JTS57" s="276"/>
      <c r="JTT57" s="276"/>
      <c r="JTU57" s="244"/>
      <c r="JTV57" s="244"/>
      <c r="JTW57" s="244"/>
      <c r="JTX57" s="245"/>
      <c r="JTY57" s="245"/>
      <c r="JTZ57" s="244"/>
      <c r="JUA57" s="246"/>
      <c r="JUB57" s="247"/>
      <c r="JUC57" s="275"/>
      <c r="JUD57" s="275"/>
      <c r="JUE57" s="275"/>
      <c r="JUF57" s="275"/>
      <c r="JUG57" s="275"/>
      <c r="JUH57" s="275"/>
      <c r="JUI57" s="137"/>
      <c r="JUJ57" s="137"/>
      <c r="JUK57" s="135"/>
      <c r="JUL57" s="137"/>
      <c r="JUN57" s="250"/>
      <c r="JUO57" s="250"/>
      <c r="JUP57" s="243"/>
      <c r="JUQ57" s="276"/>
      <c r="JUR57" s="276"/>
      <c r="JUS57" s="276"/>
      <c r="JUT57" s="244"/>
      <c r="JUU57" s="244"/>
      <c r="JUV57" s="244"/>
      <c r="JUW57" s="245"/>
      <c r="JUX57" s="245"/>
      <c r="JUY57" s="244"/>
      <c r="JUZ57" s="246"/>
      <c r="JVA57" s="247"/>
      <c r="JVB57" s="275"/>
      <c r="JVC57" s="275"/>
      <c r="JVD57" s="275"/>
      <c r="JVE57" s="275"/>
      <c r="JVF57" s="275"/>
      <c r="JVG57" s="275"/>
      <c r="JVH57" s="137"/>
      <c r="JVI57" s="137"/>
      <c r="JVJ57" s="135"/>
      <c r="JVK57" s="137"/>
      <c r="JVM57" s="250"/>
      <c r="JVN57" s="250"/>
      <c r="JVO57" s="243"/>
      <c r="JVP57" s="276"/>
      <c r="JVQ57" s="276"/>
      <c r="JVR57" s="276"/>
      <c r="JVS57" s="244"/>
      <c r="JVT57" s="244"/>
      <c r="JVU57" s="244"/>
      <c r="JVV57" s="245"/>
      <c r="JVW57" s="245"/>
      <c r="JVX57" s="244"/>
      <c r="JVY57" s="246"/>
      <c r="JVZ57" s="247"/>
      <c r="JWA57" s="275"/>
      <c r="JWB57" s="275"/>
      <c r="JWC57" s="275"/>
      <c r="JWD57" s="275"/>
      <c r="JWE57" s="275"/>
      <c r="JWF57" s="275"/>
      <c r="JWG57" s="137"/>
      <c r="JWH57" s="137"/>
      <c r="JWI57" s="135"/>
      <c r="JWJ57" s="137"/>
      <c r="JWL57" s="250"/>
      <c r="JWM57" s="250"/>
      <c r="JWN57" s="243"/>
      <c r="JWO57" s="276"/>
      <c r="JWP57" s="276"/>
      <c r="JWQ57" s="276"/>
      <c r="JWR57" s="244"/>
      <c r="JWS57" s="244"/>
      <c r="JWT57" s="244"/>
      <c r="JWU57" s="245"/>
      <c r="JWV57" s="245"/>
      <c r="JWW57" s="244"/>
      <c r="JWX57" s="246"/>
      <c r="JWY57" s="247"/>
      <c r="JWZ57" s="275"/>
      <c r="JXA57" s="275"/>
      <c r="JXB57" s="275"/>
      <c r="JXC57" s="275"/>
      <c r="JXD57" s="275"/>
      <c r="JXE57" s="275"/>
      <c r="JXF57" s="137"/>
      <c r="JXG57" s="137"/>
      <c r="JXH57" s="135"/>
      <c r="JXI57" s="137"/>
      <c r="JXK57" s="250"/>
      <c r="JXL57" s="250"/>
      <c r="JXM57" s="243"/>
      <c r="JXN57" s="276"/>
      <c r="JXO57" s="276"/>
      <c r="JXP57" s="276"/>
      <c r="JXQ57" s="244"/>
      <c r="JXR57" s="244"/>
      <c r="JXS57" s="244"/>
      <c r="JXT57" s="245"/>
      <c r="JXU57" s="245"/>
      <c r="JXV57" s="244"/>
      <c r="JXW57" s="246"/>
      <c r="JXX57" s="247"/>
      <c r="JXY57" s="275"/>
      <c r="JXZ57" s="275"/>
      <c r="JYA57" s="275"/>
      <c r="JYB57" s="275"/>
      <c r="JYC57" s="275"/>
      <c r="JYD57" s="275"/>
      <c r="JYE57" s="137"/>
      <c r="JYF57" s="137"/>
      <c r="JYG57" s="135"/>
      <c r="JYH57" s="137"/>
      <c r="JYJ57" s="250"/>
      <c r="JYK57" s="250"/>
      <c r="JYL57" s="243"/>
      <c r="JYM57" s="276"/>
      <c r="JYN57" s="276"/>
      <c r="JYO57" s="276"/>
      <c r="JYP57" s="244"/>
      <c r="JYQ57" s="244"/>
      <c r="JYR57" s="244"/>
      <c r="JYS57" s="245"/>
      <c r="JYT57" s="245"/>
      <c r="JYU57" s="244"/>
      <c r="JYV57" s="246"/>
      <c r="JYW57" s="247"/>
      <c r="JYX57" s="275"/>
      <c r="JYY57" s="275"/>
      <c r="JYZ57" s="275"/>
      <c r="JZA57" s="275"/>
      <c r="JZB57" s="275"/>
      <c r="JZC57" s="275"/>
      <c r="JZD57" s="137"/>
      <c r="JZE57" s="137"/>
      <c r="JZF57" s="135"/>
      <c r="JZG57" s="137"/>
      <c r="JZI57" s="250"/>
      <c r="JZJ57" s="250"/>
      <c r="JZK57" s="243"/>
      <c r="JZL57" s="276"/>
      <c r="JZM57" s="276"/>
      <c r="JZN57" s="276"/>
      <c r="JZO57" s="244"/>
      <c r="JZP57" s="244"/>
      <c r="JZQ57" s="244"/>
      <c r="JZR57" s="245"/>
      <c r="JZS57" s="245"/>
      <c r="JZT57" s="244"/>
      <c r="JZU57" s="246"/>
      <c r="JZV57" s="247"/>
      <c r="JZW57" s="275"/>
      <c r="JZX57" s="275"/>
      <c r="JZY57" s="275"/>
      <c r="JZZ57" s="275"/>
      <c r="KAA57" s="275"/>
      <c r="KAB57" s="275"/>
      <c r="KAC57" s="137"/>
      <c r="KAD57" s="137"/>
      <c r="KAE57" s="135"/>
      <c r="KAF57" s="137"/>
      <c r="KAH57" s="250"/>
      <c r="KAI57" s="250"/>
      <c r="KAJ57" s="243"/>
      <c r="KAK57" s="276"/>
      <c r="KAL57" s="276"/>
      <c r="KAM57" s="276"/>
      <c r="KAN57" s="244"/>
      <c r="KAO57" s="244"/>
      <c r="KAP57" s="244"/>
      <c r="KAQ57" s="245"/>
      <c r="KAR57" s="245"/>
      <c r="KAS57" s="244"/>
      <c r="KAT57" s="246"/>
      <c r="KAU57" s="247"/>
      <c r="KAV57" s="275"/>
      <c r="KAW57" s="275"/>
      <c r="KAX57" s="275"/>
      <c r="KAY57" s="275"/>
      <c r="KAZ57" s="275"/>
      <c r="KBA57" s="275"/>
      <c r="KBB57" s="137"/>
      <c r="KBC57" s="137"/>
      <c r="KBD57" s="135"/>
      <c r="KBE57" s="137"/>
      <c r="KBG57" s="250"/>
      <c r="KBH57" s="250"/>
      <c r="KBI57" s="243"/>
      <c r="KBJ57" s="276"/>
      <c r="KBK57" s="276"/>
      <c r="KBL57" s="276"/>
      <c r="KBM57" s="244"/>
      <c r="KBN57" s="244"/>
      <c r="KBO57" s="244"/>
      <c r="KBP57" s="245"/>
      <c r="KBQ57" s="245"/>
      <c r="KBR57" s="244"/>
      <c r="KBS57" s="246"/>
      <c r="KBT57" s="247"/>
      <c r="KBU57" s="275"/>
      <c r="KBV57" s="275"/>
      <c r="KBW57" s="275"/>
      <c r="KBX57" s="275"/>
      <c r="KBY57" s="275"/>
      <c r="KBZ57" s="275"/>
      <c r="KCA57" s="137"/>
      <c r="KCB57" s="137"/>
      <c r="KCC57" s="135"/>
      <c r="KCD57" s="137"/>
      <c r="KCF57" s="250"/>
      <c r="KCG57" s="250"/>
      <c r="KCH57" s="243"/>
      <c r="KCI57" s="276"/>
      <c r="KCJ57" s="276"/>
      <c r="KCK57" s="276"/>
      <c r="KCL57" s="244"/>
      <c r="KCM57" s="244"/>
      <c r="KCN57" s="244"/>
      <c r="KCO57" s="245"/>
      <c r="KCP57" s="245"/>
      <c r="KCQ57" s="244"/>
      <c r="KCR57" s="246"/>
      <c r="KCS57" s="247"/>
      <c r="KCT57" s="275"/>
      <c r="KCU57" s="275"/>
      <c r="KCV57" s="275"/>
      <c r="KCW57" s="275"/>
      <c r="KCX57" s="275"/>
      <c r="KCY57" s="275"/>
      <c r="KCZ57" s="137"/>
      <c r="KDA57" s="137"/>
      <c r="KDB57" s="135"/>
      <c r="KDC57" s="137"/>
      <c r="KDE57" s="250"/>
      <c r="KDF57" s="250"/>
      <c r="KDG57" s="243"/>
      <c r="KDH57" s="276"/>
      <c r="KDI57" s="276"/>
      <c r="KDJ57" s="276"/>
      <c r="KDK57" s="244"/>
      <c r="KDL57" s="244"/>
      <c r="KDM57" s="244"/>
      <c r="KDN57" s="245"/>
      <c r="KDO57" s="245"/>
      <c r="KDP57" s="244"/>
      <c r="KDQ57" s="246"/>
      <c r="KDR57" s="247"/>
      <c r="KDS57" s="275"/>
      <c r="KDT57" s="275"/>
      <c r="KDU57" s="275"/>
      <c r="KDV57" s="275"/>
      <c r="KDW57" s="275"/>
      <c r="KDX57" s="275"/>
      <c r="KDY57" s="137"/>
      <c r="KDZ57" s="137"/>
      <c r="KEA57" s="135"/>
      <c r="KEB57" s="137"/>
      <c r="KED57" s="250"/>
      <c r="KEE57" s="250"/>
      <c r="KEF57" s="243"/>
      <c r="KEG57" s="276"/>
      <c r="KEH57" s="276"/>
      <c r="KEI57" s="276"/>
      <c r="KEJ57" s="244"/>
      <c r="KEK57" s="244"/>
      <c r="KEL57" s="244"/>
      <c r="KEM57" s="245"/>
      <c r="KEN57" s="245"/>
      <c r="KEO57" s="244"/>
      <c r="KEP57" s="246"/>
      <c r="KEQ57" s="247"/>
      <c r="KER57" s="275"/>
      <c r="KES57" s="275"/>
      <c r="KET57" s="275"/>
      <c r="KEU57" s="275"/>
      <c r="KEV57" s="275"/>
      <c r="KEW57" s="275"/>
      <c r="KEX57" s="137"/>
      <c r="KEY57" s="137"/>
      <c r="KEZ57" s="135"/>
      <c r="KFA57" s="137"/>
      <c r="KFC57" s="250"/>
      <c r="KFD57" s="250"/>
      <c r="KFE57" s="243"/>
      <c r="KFF57" s="276"/>
      <c r="KFG57" s="276"/>
      <c r="KFH57" s="276"/>
      <c r="KFI57" s="244"/>
      <c r="KFJ57" s="244"/>
      <c r="KFK57" s="244"/>
      <c r="KFL57" s="245"/>
      <c r="KFM57" s="245"/>
      <c r="KFN57" s="244"/>
      <c r="KFO57" s="246"/>
      <c r="KFP57" s="247"/>
      <c r="KFQ57" s="275"/>
      <c r="KFR57" s="275"/>
      <c r="KFS57" s="275"/>
      <c r="KFT57" s="275"/>
      <c r="KFU57" s="275"/>
      <c r="KFV57" s="275"/>
      <c r="KFW57" s="137"/>
      <c r="KFX57" s="137"/>
      <c r="KFY57" s="135"/>
      <c r="KFZ57" s="137"/>
      <c r="KGB57" s="250"/>
      <c r="KGC57" s="250"/>
      <c r="KGD57" s="243"/>
      <c r="KGE57" s="276"/>
      <c r="KGF57" s="276"/>
      <c r="KGG57" s="276"/>
      <c r="KGH57" s="244"/>
      <c r="KGI57" s="244"/>
      <c r="KGJ57" s="244"/>
      <c r="KGK57" s="245"/>
      <c r="KGL57" s="245"/>
      <c r="KGM57" s="244"/>
      <c r="KGN57" s="246"/>
      <c r="KGO57" s="247"/>
      <c r="KGP57" s="275"/>
      <c r="KGQ57" s="275"/>
      <c r="KGR57" s="275"/>
      <c r="KGS57" s="275"/>
      <c r="KGT57" s="275"/>
      <c r="KGU57" s="275"/>
      <c r="KGV57" s="137"/>
      <c r="KGW57" s="137"/>
      <c r="KGX57" s="135"/>
      <c r="KGY57" s="137"/>
      <c r="KHA57" s="250"/>
      <c r="KHB57" s="250"/>
      <c r="KHC57" s="243"/>
      <c r="KHD57" s="276"/>
      <c r="KHE57" s="276"/>
      <c r="KHF57" s="276"/>
      <c r="KHG57" s="244"/>
      <c r="KHH57" s="244"/>
      <c r="KHI57" s="244"/>
      <c r="KHJ57" s="245"/>
      <c r="KHK57" s="245"/>
      <c r="KHL57" s="244"/>
      <c r="KHM57" s="246"/>
      <c r="KHN57" s="247"/>
      <c r="KHO57" s="275"/>
      <c r="KHP57" s="275"/>
      <c r="KHQ57" s="275"/>
      <c r="KHR57" s="275"/>
      <c r="KHS57" s="275"/>
      <c r="KHT57" s="275"/>
      <c r="KHU57" s="137"/>
      <c r="KHV57" s="137"/>
      <c r="KHW57" s="135"/>
      <c r="KHX57" s="137"/>
      <c r="KHZ57" s="250"/>
      <c r="KIA57" s="250"/>
      <c r="KIB57" s="243"/>
      <c r="KIC57" s="276"/>
      <c r="KID57" s="276"/>
      <c r="KIE57" s="276"/>
      <c r="KIF57" s="244"/>
      <c r="KIG57" s="244"/>
      <c r="KIH57" s="244"/>
      <c r="KII57" s="245"/>
      <c r="KIJ57" s="245"/>
      <c r="KIK57" s="244"/>
      <c r="KIL57" s="246"/>
      <c r="KIM57" s="247"/>
      <c r="KIN57" s="275"/>
      <c r="KIO57" s="275"/>
      <c r="KIP57" s="275"/>
      <c r="KIQ57" s="275"/>
      <c r="KIR57" s="275"/>
      <c r="KIS57" s="275"/>
      <c r="KIT57" s="137"/>
      <c r="KIU57" s="137"/>
      <c r="KIV57" s="135"/>
      <c r="KIW57" s="137"/>
      <c r="KIY57" s="250"/>
      <c r="KIZ57" s="250"/>
      <c r="KJA57" s="243"/>
      <c r="KJB57" s="276"/>
      <c r="KJC57" s="276"/>
      <c r="KJD57" s="276"/>
      <c r="KJE57" s="244"/>
      <c r="KJF57" s="244"/>
      <c r="KJG57" s="244"/>
      <c r="KJH57" s="245"/>
      <c r="KJI57" s="245"/>
      <c r="KJJ57" s="244"/>
      <c r="KJK57" s="246"/>
      <c r="KJL57" s="247"/>
      <c r="KJM57" s="275"/>
      <c r="KJN57" s="275"/>
      <c r="KJO57" s="275"/>
      <c r="KJP57" s="275"/>
      <c r="KJQ57" s="275"/>
      <c r="KJR57" s="275"/>
      <c r="KJS57" s="137"/>
      <c r="KJT57" s="137"/>
      <c r="KJU57" s="135"/>
      <c r="KJV57" s="137"/>
      <c r="KJX57" s="250"/>
      <c r="KJY57" s="250"/>
      <c r="KJZ57" s="243"/>
      <c r="KKA57" s="276"/>
      <c r="KKB57" s="276"/>
      <c r="KKC57" s="276"/>
      <c r="KKD57" s="244"/>
      <c r="KKE57" s="244"/>
      <c r="KKF57" s="244"/>
      <c r="KKG57" s="245"/>
      <c r="KKH57" s="245"/>
      <c r="KKI57" s="244"/>
      <c r="KKJ57" s="246"/>
      <c r="KKK57" s="247"/>
      <c r="KKL57" s="275"/>
      <c r="KKM57" s="275"/>
      <c r="KKN57" s="275"/>
      <c r="KKO57" s="275"/>
      <c r="KKP57" s="275"/>
      <c r="KKQ57" s="275"/>
      <c r="KKR57" s="137"/>
      <c r="KKS57" s="137"/>
      <c r="KKT57" s="135"/>
      <c r="KKU57" s="137"/>
      <c r="KKW57" s="250"/>
      <c r="KKX57" s="250"/>
      <c r="KKY57" s="243"/>
      <c r="KKZ57" s="276"/>
      <c r="KLA57" s="276"/>
      <c r="KLB57" s="276"/>
      <c r="KLC57" s="244"/>
      <c r="KLD57" s="244"/>
      <c r="KLE57" s="244"/>
      <c r="KLF57" s="245"/>
      <c r="KLG57" s="245"/>
      <c r="KLH57" s="244"/>
      <c r="KLI57" s="246"/>
      <c r="KLJ57" s="247"/>
      <c r="KLK57" s="275"/>
      <c r="KLL57" s="275"/>
      <c r="KLM57" s="275"/>
      <c r="KLN57" s="275"/>
      <c r="KLO57" s="275"/>
      <c r="KLP57" s="275"/>
      <c r="KLQ57" s="137"/>
      <c r="KLR57" s="137"/>
      <c r="KLS57" s="135"/>
      <c r="KLT57" s="137"/>
      <c r="KLV57" s="250"/>
      <c r="KLW57" s="250"/>
      <c r="KLX57" s="243"/>
      <c r="KLY57" s="276"/>
      <c r="KLZ57" s="276"/>
      <c r="KMA57" s="276"/>
      <c r="KMB57" s="244"/>
      <c r="KMC57" s="244"/>
      <c r="KMD57" s="244"/>
      <c r="KME57" s="245"/>
      <c r="KMF57" s="245"/>
      <c r="KMG57" s="244"/>
      <c r="KMH57" s="246"/>
      <c r="KMI57" s="247"/>
      <c r="KMJ57" s="275"/>
      <c r="KMK57" s="275"/>
      <c r="KML57" s="275"/>
      <c r="KMM57" s="275"/>
      <c r="KMN57" s="275"/>
      <c r="KMO57" s="275"/>
      <c r="KMP57" s="137"/>
      <c r="KMQ57" s="137"/>
      <c r="KMR57" s="135"/>
      <c r="KMS57" s="137"/>
      <c r="KMU57" s="250"/>
      <c r="KMV57" s="250"/>
      <c r="KMW57" s="243"/>
      <c r="KMX57" s="276"/>
      <c r="KMY57" s="276"/>
      <c r="KMZ57" s="276"/>
      <c r="KNA57" s="244"/>
      <c r="KNB57" s="244"/>
      <c r="KNC57" s="244"/>
      <c r="KND57" s="245"/>
      <c r="KNE57" s="245"/>
      <c r="KNF57" s="244"/>
      <c r="KNG57" s="246"/>
      <c r="KNH57" s="247"/>
      <c r="KNI57" s="275"/>
      <c r="KNJ57" s="275"/>
      <c r="KNK57" s="275"/>
      <c r="KNL57" s="275"/>
      <c r="KNM57" s="275"/>
      <c r="KNN57" s="275"/>
      <c r="KNO57" s="137"/>
      <c r="KNP57" s="137"/>
      <c r="KNQ57" s="135"/>
      <c r="KNR57" s="137"/>
      <c r="KNT57" s="250"/>
      <c r="KNU57" s="250"/>
      <c r="KNV57" s="243"/>
      <c r="KNW57" s="276"/>
      <c r="KNX57" s="276"/>
      <c r="KNY57" s="276"/>
      <c r="KNZ57" s="244"/>
      <c r="KOA57" s="244"/>
      <c r="KOB57" s="244"/>
      <c r="KOC57" s="245"/>
      <c r="KOD57" s="245"/>
      <c r="KOE57" s="244"/>
      <c r="KOF57" s="246"/>
      <c r="KOG57" s="247"/>
      <c r="KOH57" s="275"/>
      <c r="KOI57" s="275"/>
      <c r="KOJ57" s="275"/>
      <c r="KOK57" s="275"/>
      <c r="KOL57" s="275"/>
      <c r="KOM57" s="275"/>
      <c r="KON57" s="137"/>
      <c r="KOO57" s="137"/>
      <c r="KOP57" s="135"/>
      <c r="KOQ57" s="137"/>
      <c r="KOS57" s="250"/>
      <c r="KOT57" s="250"/>
      <c r="KOU57" s="243"/>
      <c r="KOV57" s="276"/>
      <c r="KOW57" s="276"/>
      <c r="KOX57" s="276"/>
      <c r="KOY57" s="244"/>
      <c r="KOZ57" s="244"/>
      <c r="KPA57" s="244"/>
      <c r="KPB57" s="245"/>
      <c r="KPC57" s="245"/>
      <c r="KPD57" s="244"/>
      <c r="KPE57" s="246"/>
      <c r="KPF57" s="247"/>
      <c r="KPG57" s="275"/>
      <c r="KPH57" s="275"/>
      <c r="KPI57" s="275"/>
      <c r="KPJ57" s="275"/>
      <c r="KPK57" s="275"/>
      <c r="KPL57" s="275"/>
      <c r="KPM57" s="137"/>
      <c r="KPN57" s="137"/>
      <c r="KPO57" s="135"/>
      <c r="KPP57" s="137"/>
      <c r="KPR57" s="250"/>
      <c r="KPS57" s="250"/>
      <c r="KPT57" s="243"/>
      <c r="KPU57" s="276"/>
      <c r="KPV57" s="276"/>
      <c r="KPW57" s="276"/>
      <c r="KPX57" s="244"/>
      <c r="KPY57" s="244"/>
      <c r="KPZ57" s="244"/>
      <c r="KQA57" s="245"/>
      <c r="KQB57" s="245"/>
      <c r="KQC57" s="244"/>
      <c r="KQD57" s="246"/>
      <c r="KQE57" s="247"/>
      <c r="KQF57" s="275"/>
      <c r="KQG57" s="275"/>
      <c r="KQH57" s="275"/>
      <c r="KQI57" s="275"/>
      <c r="KQJ57" s="275"/>
      <c r="KQK57" s="275"/>
      <c r="KQL57" s="137"/>
      <c r="KQM57" s="137"/>
      <c r="KQN57" s="135"/>
      <c r="KQO57" s="137"/>
      <c r="KQQ57" s="250"/>
      <c r="KQR57" s="250"/>
      <c r="KQS57" s="243"/>
      <c r="KQT57" s="276"/>
      <c r="KQU57" s="276"/>
      <c r="KQV57" s="276"/>
      <c r="KQW57" s="244"/>
      <c r="KQX57" s="244"/>
      <c r="KQY57" s="244"/>
      <c r="KQZ57" s="245"/>
      <c r="KRA57" s="245"/>
      <c r="KRB57" s="244"/>
      <c r="KRC57" s="246"/>
      <c r="KRD57" s="247"/>
      <c r="KRE57" s="275"/>
      <c r="KRF57" s="275"/>
      <c r="KRG57" s="275"/>
      <c r="KRH57" s="275"/>
      <c r="KRI57" s="275"/>
      <c r="KRJ57" s="275"/>
      <c r="KRK57" s="137"/>
      <c r="KRL57" s="137"/>
      <c r="KRM57" s="135"/>
      <c r="KRN57" s="137"/>
      <c r="KRP57" s="250"/>
      <c r="KRQ57" s="250"/>
      <c r="KRR57" s="243"/>
      <c r="KRS57" s="276"/>
      <c r="KRT57" s="276"/>
      <c r="KRU57" s="276"/>
      <c r="KRV57" s="244"/>
      <c r="KRW57" s="244"/>
      <c r="KRX57" s="244"/>
      <c r="KRY57" s="245"/>
      <c r="KRZ57" s="245"/>
      <c r="KSA57" s="244"/>
      <c r="KSB57" s="246"/>
      <c r="KSC57" s="247"/>
      <c r="KSD57" s="275"/>
      <c r="KSE57" s="275"/>
      <c r="KSF57" s="275"/>
      <c r="KSG57" s="275"/>
      <c r="KSH57" s="275"/>
      <c r="KSI57" s="275"/>
      <c r="KSJ57" s="137"/>
      <c r="KSK57" s="137"/>
      <c r="KSL57" s="135"/>
      <c r="KSM57" s="137"/>
      <c r="KSO57" s="250"/>
      <c r="KSP57" s="250"/>
      <c r="KSQ57" s="243"/>
      <c r="KSR57" s="276"/>
      <c r="KSS57" s="276"/>
      <c r="KST57" s="276"/>
      <c r="KSU57" s="244"/>
      <c r="KSV57" s="244"/>
      <c r="KSW57" s="244"/>
      <c r="KSX57" s="245"/>
      <c r="KSY57" s="245"/>
      <c r="KSZ57" s="244"/>
      <c r="KTA57" s="246"/>
      <c r="KTB57" s="247"/>
      <c r="KTC57" s="275"/>
      <c r="KTD57" s="275"/>
      <c r="KTE57" s="275"/>
      <c r="KTF57" s="275"/>
      <c r="KTG57" s="275"/>
      <c r="KTH57" s="275"/>
      <c r="KTI57" s="137"/>
      <c r="KTJ57" s="137"/>
      <c r="KTK57" s="135"/>
      <c r="KTL57" s="137"/>
      <c r="KTN57" s="250"/>
      <c r="KTO57" s="250"/>
      <c r="KTP57" s="243"/>
      <c r="KTQ57" s="276"/>
      <c r="KTR57" s="276"/>
      <c r="KTS57" s="276"/>
      <c r="KTT57" s="244"/>
      <c r="KTU57" s="244"/>
      <c r="KTV57" s="244"/>
      <c r="KTW57" s="245"/>
      <c r="KTX57" s="245"/>
      <c r="KTY57" s="244"/>
      <c r="KTZ57" s="246"/>
      <c r="KUA57" s="247"/>
      <c r="KUB57" s="275"/>
      <c r="KUC57" s="275"/>
      <c r="KUD57" s="275"/>
      <c r="KUE57" s="275"/>
      <c r="KUF57" s="275"/>
      <c r="KUG57" s="275"/>
      <c r="KUH57" s="137"/>
      <c r="KUI57" s="137"/>
      <c r="KUJ57" s="135"/>
      <c r="KUK57" s="137"/>
      <c r="KUM57" s="250"/>
      <c r="KUN57" s="250"/>
      <c r="KUO57" s="243"/>
      <c r="KUP57" s="276"/>
      <c r="KUQ57" s="276"/>
      <c r="KUR57" s="276"/>
      <c r="KUS57" s="244"/>
      <c r="KUT57" s="244"/>
      <c r="KUU57" s="244"/>
      <c r="KUV57" s="245"/>
      <c r="KUW57" s="245"/>
      <c r="KUX57" s="244"/>
      <c r="KUY57" s="246"/>
      <c r="KUZ57" s="247"/>
      <c r="KVA57" s="275"/>
      <c r="KVB57" s="275"/>
      <c r="KVC57" s="275"/>
      <c r="KVD57" s="275"/>
      <c r="KVE57" s="275"/>
      <c r="KVF57" s="275"/>
      <c r="KVG57" s="137"/>
      <c r="KVH57" s="137"/>
      <c r="KVI57" s="135"/>
      <c r="KVJ57" s="137"/>
      <c r="KVL57" s="250"/>
      <c r="KVM57" s="250"/>
      <c r="KVN57" s="243"/>
      <c r="KVO57" s="276"/>
      <c r="KVP57" s="276"/>
      <c r="KVQ57" s="276"/>
      <c r="KVR57" s="244"/>
      <c r="KVS57" s="244"/>
      <c r="KVT57" s="244"/>
      <c r="KVU57" s="245"/>
      <c r="KVV57" s="245"/>
      <c r="KVW57" s="244"/>
      <c r="KVX57" s="246"/>
      <c r="KVY57" s="247"/>
      <c r="KVZ57" s="275"/>
      <c r="KWA57" s="275"/>
      <c r="KWB57" s="275"/>
      <c r="KWC57" s="275"/>
      <c r="KWD57" s="275"/>
      <c r="KWE57" s="275"/>
      <c r="KWF57" s="137"/>
      <c r="KWG57" s="137"/>
      <c r="KWH57" s="135"/>
      <c r="KWI57" s="137"/>
      <c r="KWK57" s="250"/>
      <c r="KWL57" s="250"/>
      <c r="KWM57" s="243"/>
      <c r="KWN57" s="276"/>
      <c r="KWO57" s="276"/>
      <c r="KWP57" s="276"/>
      <c r="KWQ57" s="244"/>
      <c r="KWR57" s="244"/>
      <c r="KWS57" s="244"/>
      <c r="KWT57" s="245"/>
      <c r="KWU57" s="245"/>
      <c r="KWV57" s="244"/>
      <c r="KWW57" s="246"/>
      <c r="KWX57" s="247"/>
      <c r="KWY57" s="275"/>
      <c r="KWZ57" s="275"/>
      <c r="KXA57" s="275"/>
      <c r="KXB57" s="275"/>
      <c r="KXC57" s="275"/>
      <c r="KXD57" s="275"/>
      <c r="KXE57" s="137"/>
      <c r="KXF57" s="137"/>
      <c r="KXG57" s="135"/>
      <c r="KXH57" s="137"/>
      <c r="KXJ57" s="250"/>
      <c r="KXK57" s="250"/>
      <c r="KXL57" s="243"/>
      <c r="KXM57" s="276"/>
      <c r="KXN57" s="276"/>
      <c r="KXO57" s="276"/>
      <c r="KXP57" s="244"/>
      <c r="KXQ57" s="244"/>
      <c r="KXR57" s="244"/>
      <c r="KXS57" s="245"/>
      <c r="KXT57" s="245"/>
      <c r="KXU57" s="244"/>
      <c r="KXV57" s="246"/>
      <c r="KXW57" s="247"/>
      <c r="KXX57" s="275"/>
      <c r="KXY57" s="275"/>
      <c r="KXZ57" s="275"/>
      <c r="KYA57" s="275"/>
      <c r="KYB57" s="275"/>
      <c r="KYC57" s="275"/>
      <c r="KYD57" s="137"/>
      <c r="KYE57" s="137"/>
      <c r="KYF57" s="135"/>
      <c r="KYG57" s="137"/>
      <c r="KYI57" s="250"/>
      <c r="KYJ57" s="250"/>
      <c r="KYK57" s="243"/>
      <c r="KYL57" s="276"/>
      <c r="KYM57" s="276"/>
      <c r="KYN57" s="276"/>
      <c r="KYO57" s="244"/>
      <c r="KYP57" s="244"/>
      <c r="KYQ57" s="244"/>
      <c r="KYR57" s="245"/>
      <c r="KYS57" s="245"/>
      <c r="KYT57" s="244"/>
      <c r="KYU57" s="246"/>
      <c r="KYV57" s="247"/>
      <c r="KYW57" s="275"/>
      <c r="KYX57" s="275"/>
      <c r="KYY57" s="275"/>
      <c r="KYZ57" s="275"/>
      <c r="KZA57" s="275"/>
      <c r="KZB57" s="275"/>
      <c r="KZC57" s="137"/>
      <c r="KZD57" s="137"/>
      <c r="KZE57" s="135"/>
      <c r="KZF57" s="137"/>
      <c r="KZH57" s="250"/>
      <c r="KZI57" s="250"/>
      <c r="KZJ57" s="243"/>
      <c r="KZK57" s="276"/>
      <c r="KZL57" s="276"/>
      <c r="KZM57" s="276"/>
      <c r="KZN57" s="244"/>
      <c r="KZO57" s="244"/>
      <c r="KZP57" s="244"/>
      <c r="KZQ57" s="245"/>
      <c r="KZR57" s="245"/>
      <c r="KZS57" s="244"/>
      <c r="KZT57" s="246"/>
      <c r="KZU57" s="247"/>
      <c r="KZV57" s="275"/>
      <c r="KZW57" s="275"/>
      <c r="KZX57" s="275"/>
      <c r="KZY57" s="275"/>
      <c r="KZZ57" s="275"/>
      <c r="LAA57" s="275"/>
      <c r="LAB57" s="137"/>
      <c r="LAC57" s="137"/>
      <c r="LAD57" s="135"/>
      <c r="LAE57" s="137"/>
      <c r="LAG57" s="250"/>
      <c r="LAH57" s="250"/>
      <c r="LAI57" s="243"/>
      <c r="LAJ57" s="276"/>
      <c r="LAK57" s="276"/>
      <c r="LAL57" s="276"/>
      <c r="LAM57" s="244"/>
      <c r="LAN57" s="244"/>
      <c r="LAO57" s="244"/>
      <c r="LAP57" s="245"/>
      <c r="LAQ57" s="245"/>
      <c r="LAR57" s="244"/>
      <c r="LAS57" s="246"/>
      <c r="LAT57" s="247"/>
      <c r="LAU57" s="275"/>
      <c r="LAV57" s="275"/>
      <c r="LAW57" s="275"/>
      <c r="LAX57" s="275"/>
      <c r="LAY57" s="275"/>
      <c r="LAZ57" s="275"/>
      <c r="LBA57" s="137"/>
      <c r="LBB57" s="137"/>
      <c r="LBC57" s="135"/>
      <c r="LBD57" s="137"/>
      <c r="LBF57" s="250"/>
      <c r="LBG57" s="250"/>
      <c r="LBH57" s="243"/>
      <c r="LBI57" s="276"/>
      <c r="LBJ57" s="276"/>
      <c r="LBK57" s="276"/>
      <c r="LBL57" s="244"/>
      <c r="LBM57" s="244"/>
      <c r="LBN57" s="244"/>
      <c r="LBO57" s="245"/>
      <c r="LBP57" s="245"/>
      <c r="LBQ57" s="244"/>
      <c r="LBR57" s="246"/>
      <c r="LBS57" s="247"/>
      <c r="LBT57" s="275"/>
      <c r="LBU57" s="275"/>
      <c r="LBV57" s="275"/>
      <c r="LBW57" s="275"/>
      <c r="LBX57" s="275"/>
      <c r="LBY57" s="275"/>
      <c r="LBZ57" s="137"/>
      <c r="LCA57" s="137"/>
      <c r="LCB57" s="135"/>
      <c r="LCC57" s="137"/>
      <c r="LCE57" s="250"/>
      <c r="LCF57" s="250"/>
      <c r="LCG57" s="243"/>
      <c r="LCH57" s="276"/>
      <c r="LCI57" s="276"/>
      <c r="LCJ57" s="276"/>
      <c r="LCK57" s="244"/>
      <c r="LCL57" s="244"/>
      <c r="LCM57" s="244"/>
      <c r="LCN57" s="245"/>
      <c r="LCO57" s="245"/>
      <c r="LCP57" s="244"/>
      <c r="LCQ57" s="246"/>
      <c r="LCR57" s="247"/>
      <c r="LCS57" s="275"/>
      <c r="LCT57" s="275"/>
      <c r="LCU57" s="275"/>
      <c r="LCV57" s="275"/>
      <c r="LCW57" s="275"/>
      <c r="LCX57" s="275"/>
      <c r="LCY57" s="137"/>
      <c r="LCZ57" s="137"/>
      <c r="LDA57" s="135"/>
      <c r="LDB57" s="137"/>
      <c r="LDD57" s="250"/>
      <c r="LDE57" s="250"/>
      <c r="LDF57" s="243"/>
      <c r="LDG57" s="276"/>
      <c r="LDH57" s="276"/>
      <c r="LDI57" s="276"/>
      <c r="LDJ57" s="244"/>
      <c r="LDK57" s="244"/>
      <c r="LDL57" s="244"/>
      <c r="LDM57" s="245"/>
      <c r="LDN57" s="245"/>
      <c r="LDO57" s="244"/>
      <c r="LDP57" s="246"/>
      <c r="LDQ57" s="247"/>
      <c r="LDR57" s="275"/>
      <c r="LDS57" s="275"/>
      <c r="LDT57" s="275"/>
      <c r="LDU57" s="275"/>
      <c r="LDV57" s="275"/>
      <c r="LDW57" s="275"/>
      <c r="LDX57" s="137"/>
      <c r="LDY57" s="137"/>
      <c r="LDZ57" s="135"/>
      <c r="LEA57" s="137"/>
      <c r="LEC57" s="250"/>
      <c r="LED57" s="250"/>
      <c r="LEE57" s="243"/>
      <c r="LEF57" s="276"/>
      <c r="LEG57" s="276"/>
      <c r="LEH57" s="276"/>
      <c r="LEI57" s="244"/>
      <c r="LEJ57" s="244"/>
      <c r="LEK57" s="244"/>
      <c r="LEL57" s="245"/>
      <c r="LEM57" s="245"/>
      <c r="LEN57" s="244"/>
      <c r="LEO57" s="246"/>
      <c r="LEP57" s="247"/>
      <c r="LEQ57" s="275"/>
      <c r="LER57" s="275"/>
      <c r="LES57" s="275"/>
      <c r="LET57" s="275"/>
      <c r="LEU57" s="275"/>
      <c r="LEV57" s="275"/>
      <c r="LEW57" s="137"/>
      <c r="LEX57" s="137"/>
      <c r="LEY57" s="135"/>
      <c r="LEZ57" s="137"/>
      <c r="LFB57" s="250"/>
      <c r="LFC57" s="250"/>
      <c r="LFD57" s="243"/>
      <c r="LFE57" s="276"/>
      <c r="LFF57" s="276"/>
      <c r="LFG57" s="276"/>
      <c r="LFH57" s="244"/>
      <c r="LFI57" s="244"/>
      <c r="LFJ57" s="244"/>
      <c r="LFK57" s="245"/>
      <c r="LFL57" s="245"/>
      <c r="LFM57" s="244"/>
      <c r="LFN57" s="246"/>
      <c r="LFO57" s="247"/>
      <c r="LFP57" s="275"/>
      <c r="LFQ57" s="275"/>
      <c r="LFR57" s="275"/>
      <c r="LFS57" s="275"/>
      <c r="LFT57" s="275"/>
      <c r="LFU57" s="275"/>
      <c r="LFV57" s="137"/>
      <c r="LFW57" s="137"/>
      <c r="LFX57" s="135"/>
      <c r="LFY57" s="137"/>
      <c r="LGA57" s="250"/>
      <c r="LGB57" s="250"/>
      <c r="LGC57" s="243"/>
      <c r="LGD57" s="276"/>
      <c r="LGE57" s="276"/>
      <c r="LGF57" s="276"/>
      <c r="LGG57" s="244"/>
      <c r="LGH57" s="244"/>
      <c r="LGI57" s="244"/>
      <c r="LGJ57" s="245"/>
      <c r="LGK57" s="245"/>
      <c r="LGL57" s="244"/>
      <c r="LGM57" s="246"/>
      <c r="LGN57" s="247"/>
      <c r="LGO57" s="275"/>
      <c r="LGP57" s="275"/>
      <c r="LGQ57" s="275"/>
      <c r="LGR57" s="275"/>
      <c r="LGS57" s="275"/>
      <c r="LGT57" s="275"/>
      <c r="LGU57" s="137"/>
      <c r="LGV57" s="137"/>
      <c r="LGW57" s="135"/>
      <c r="LGX57" s="137"/>
      <c r="LGZ57" s="250"/>
      <c r="LHA57" s="250"/>
      <c r="LHB57" s="243"/>
      <c r="LHC57" s="276"/>
      <c r="LHD57" s="276"/>
      <c r="LHE57" s="276"/>
      <c r="LHF57" s="244"/>
      <c r="LHG57" s="244"/>
      <c r="LHH57" s="244"/>
      <c r="LHI57" s="245"/>
      <c r="LHJ57" s="245"/>
      <c r="LHK57" s="244"/>
      <c r="LHL57" s="246"/>
      <c r="LHM57" s="247"/>
      <c r="LHN57" s="275"/>
      <c r="LHO57" s="275"/>
      <c r="LHP57" s="275"/>
      <c r="LHQ57" s="275"/>
      <c r="LHR57" s="275"/>
      <c r="LHS57" s="275"/>
      <c r="LHT57" s="137"/>
      <c r="LHU57" s="137"/>
      <c r="LHV57" s="135"/>
      <c r="LHW57" s="137"/>
      <c r="LHY57" s="250"/>
      <c r="LHZ57" s="250"/>
      <c r="LIA57" s="243"/>
      <c r="LIB57" s="276"/>
      <c r="LIC57" s="276"/>
      <c r="LID57" s="276"/>
      <c r="LIE57" s="244"/>
      <c r="LIF57" s="244"/>
      <c r="LIG57" s="244"/>
      <c r="LIH57" s="245"/>
      <c r="LII57" s="245"/>
      <c r="LIJ57" s="244"/>
      <c r="LIK57" s="246"/>
      <c r="LIL57" s="247"/>
      <c r="LIM57" s="275"/>
      <c r="LIN57" s="275"/>
      <c r="LIO57" s="275"/>
      <c r="LIP57" s="275"/>
      <c r="LIQ57" s="275"/>
      <c r="LIR57" s="275"/>
      <c r="LIS57" s="137"/>
      <c r="LIT57" s="137"/>
      <c r="LIU57" s="135"/>
      <c r="LIV57" s="137"/>
      <c r="LIX57" s="250"/>
      <c r="LIY57" s="250"/>
      <c r="LIZ57" s="243"/>
      <c r="LJA57" s="276"/>
      <c r="LJB57" s="276"/>
      <c r="LJC57" s="276"/>
      <c r="LJD57" s="244"/>
      <c r="LJE57" s="244"/>
      <c r="LJF57" s="244"/>
      <c r="LJG57" s="245"/>
      <c r="LJH57" s="245"/>
      <c r="LJI57" s="244"/>
      <c r="LJJ57" s="246"/>
      <c r="LJK57" s="247"/>
      <c r="LJL57" s="275"/>
      <c r="LJM57" s="275"/>
      <c r="LJN57" s="275"/>
      <c r="LJO57" s="275"/>
      <c r="LJP57" s="275"/>
      <c r="LJQ57" s="275"/>
      <c r="LJR57" s="137"/>
      <c r="LJS57" s="137"/>
      <c r="LJT57" s="135"/>
      <c r="LJU57" s="137"/>
      <c r="LJW57" s="250"/>
      <c r="LJX57" s="250"/>
      <c r="LJY57" s="243"/>
      <c r="LJZ57" s="276"/>
      <c r="LKA57" s="276"/>
      <c r="LKB57" s="276"/>
      <c r="LKC57" s="244"/>
      <c r="LKD57" s="244"/>
      <c r="LKE57" s="244"/>
      <c r="LKF57" s="245"/>
      <c r="LKG57" s="245"/>
      <c r="LKH57" s="244"/>
      <c r="LKI57" s="246"/>
      <c r="LKJ57" s="247"/>
      <c r="LKK57" s="275"/>
      <c r="LKL57" s="275"/>
      <c r="LKM57" s="275"/>
      <c r="LKN57" s="275"/>
      <c r="LKO57" s="275"/>
      <c r="LKP57" s="275"/>
      <c r="LKQ57" s="137"/>
      <c r="LKR57" s="137"/>
      <c r="LKS57" s="135"/>
      <c r="LKT57" s="137"/>
      <c r="LKV57" s="250"/>
      <c r="LKW57" s="250"/>
      <c r="LKX57" s="243"/>
      <c r="LKY57" s="276"/>
      <c r="LKZ57" s="276"/>
      <c r="LLA57" s="276"/>
      <c r="LLB57" s="244"/>
      <c r="LLC57" s="244"/>
      <c r="LLD57" s="244"/>
      <c r="LLE57" s="245"/>
      <c r="LLF57" s="245"/>
      <c r="LLG57" s="244"/>
      <c r="LLH57" s="246"/>
      <c r="LLI57" s="247"/>
      <c r="LLJ57" s="275"/>
      <c r="LLK57" s="275"/>
      <c r="LLL57" s="275"/>
      <c r="LLM57" s="275"/>
      <c r="LLN57" s="275"/>
      <c r="LLO57" s="275"/>
      <c r="LLP57" s="137"/>
      <c r="LLQ57" s="137"/>
      <c r="LLR57" s="135"/>
      <c r="LLS57" s="137"/>
      <c r="LLU57" s="250"/>
      <c r="LLV57" s="250"/>
      <c r="LLW57" s="243"/>
      <c r="LLX57" s="276"/>
      <c r="LLY57" s="276"/>
      <c r="LLZ57" s="276"/>
      <c r="LMA57" s="244"/>
      <c r="LMB57" s="244"/>
      <c r="LMC57" s="244"/>
      <c r="LMD57" s="245"/>
      <c r="LME57" s="245"/>
      <c r="LMF57" s="244"/>
      <c r="LMG57" s="246"/>
      <c r="LMH57" s="247"/>
      <c r="LMI57" s="275"/>
      <c r="LMJ57" s="275"/>
      <c r="LMK57" s="275"/>
      <c r="LML57" s="275"/>
      <c r="LMM57" s="275"/>
      <c r="LMN57" s="275"/>
      <c r="LMO57" s="137"/>
      <c r="LMP57" s="137"/>
      <c r="LMQ57" s="135"/>
      <c r="LMR57" s="137"/>
      <c r="LMT57" s="250"/>
      <c r="LMU57" s="250"/>
      <c r="LMV57" s="243"/>
      <c r="LMW57" s="276"/>
      <c r="LMX57" s="276"/>
      <c r="LMY57" s="276"/>
      <c r="LMZ57" s="244"/>
      <c r="LNA57" s="244"/>
      <c r="LNB57" s="244"/>
      <c r="LNC57" s="245"/>
      <c r="LND57" s="245"/>
      <c r="LNE57" s="244"/>
      <c r="LNF57" s="246"/>
      <c r="LNG57" s="247"/>
      <c r="LNH57" s="275"/>
      <c r="LNI57" s="275"/>
      <c r="LNJ57" s="275"/>
      <c r="LNK57" s="275"/>
      <c r="LNL57" s="275"/>
      <c r="LNM57" s="275"/>
      <c r="LNN57" s="137"/>
      <c r="LNO57" s="137"/>
      <c r="LNP57" s="135"/>
      <c r="LNQ57" s="137"/>
      <c r="LNS57" s="250"/>
      <c r="LNT57" s="250"/>
      <c r="LNU57" s="243"/>
      <c r="LNV57" s="276"/>
      <c r="LNW57" s="276"/>
      <c r="LNX57" s="276"/>
      <c r="LNY57" s="244"/>
      <c r="LNZ57" s="244"/>
      <c r="LOA57" s="244"/>
      <c r="LOB57" s="245"/>
      <c r="LOC57" s="245"/>
      <c r="LOD57" s="244"/>
      <c r="LOE57" s="246"/>
      <c r="LOF57" s="247"/>
      <c r="LOG57" s="275"/>
      <c r="LOH57" s="275"/>
      <c r="LOI57" s="275"/>
      <c r="LOJ57" s="275"/>
      <c r="LOK57" s="275"/>
      <c r="LOL57" s="275"/>
      <c r="LOM57" s="137"/>
      <c r="LON57" s="137"/>
      <c r="LOO57" s="135"/>
      <c r="LOP57" s="137"/>
      <c r="LOR57" s="250"/>
      <c r="LOS57" s="250"/>
      <c r="LOT57" s="243"/>
      <c r="LOU57" s="276"/>
      <c r="LOV57" s="276"/>
      <c r="LOW57" s="276"/>
      <c r="LOX57" s="244"/>
      <c r="LOY57" s="244"/>
      <c r="LOZ57" s="244"/>
      <c r="LPA57" s="245"/>
      <c r="LPB57" s="245"/>
      <c r="LPC57" s="244"/>
      <c r="LPD57" s="246"/>
      <c r="LPE57" s="247"/>
      <c r="LPF57" s="275"/>
      <c r="LPG57" s="275"/>
      <c r="LPH57" s="275"/>
      <c r="LPI57" s="275"/>
      <c r="LPJ57" s="275"/>
      <c r="LPK57" s="275"/>
      <c r="LPL57" s="137"/>
      <c r="LPM57" s="137"/>
      <c r="LPN57" s="135"/>
      <c r="LPO57" s="137"/>
      <c r="LPQ57" s="250"/>
      <c r="LPR57" s="250"/>
      <c r="LPS57" s="243"/>
      <c r="LPT57" s="276"/>
      <c r="LPU57" s="276"/>
      <c r="LPV57" s="276"/>
      <c r="LPW57" s="244"/>
      <c r="LPX57" s="244"/>
      <c r="LPY57" s="244"/>
      <c r="LPZ57" s="245"/>
      <c r="LQA57" s="245"/>
      <c r="LQB57" s="244"/>
      <c r="LQC57" s="246"/>
      <c r="LQD57" s="247"/>
      <c r="LQE57" s="275"/>
      <c r="LQF57" s="275"/>
      <c r="LQG57" s="275"/>
      <c r="LQH57" s="275"/>
      <c r="LQI57" s="275"/>
      <c r="LQJ57" s="275"/>
      <c r="LQK57" s="137"/>
      <c r="LQL57" s="137"/>
      <c r="LQM57" s="135"/>
      <c r="LQN57" s="137"/>
      <c r="LQP57" s="250"/>
      <c r="LQQ57" s="250"/>
      <c r="LQR57" s="243"/>
      <c r="LQS57" s="276"/>
      <c r="LQT57" s="276"/>
      <c r="LQU57" s="276"/>
      <c r="LQV57" s="244"/>
      <c r="LQW57" s="244"/>
      <c r="LQX57" s="244"/>
      <c r="LQY57" s="245"/>
      <c r="LQZ57" s="245"/>
      <c r="LRA57" s="244"/>
      <c r="LRB57" s="246"/>
      <c r="LRC57" s="247"/>
      <c r="LRD57" s="275"/>
      <c r="LRE57" s="275"/>
      <c r="LRF57" s="275"/>
      <c r="LRG57" s="275"/>
      <c r="LRH57" s="275"/>
      <c r="LRI57" s="275"/>
      <c r="LRJ57" s="137"/>
      <c r="LRK57" s="137"/>
      <c r="LRL57" s="135"/>
      <c r="LRM57" s="137"/>
      <c r="LRO57" s="250"/>
      <c r="LRP57" s="250"/>
      <c r="LRQ57" s="243"/>
      <c r="LRR57" s="276"/>
      <c r="LRS57" s="276"/>
      <c r="LRT57" s="276"/>
      <c r="LRU57" s="244"/>
      <c r="LRV57" s="244"/>
      <c r="LRW57" s="244"/>
      <c r="LRX57" s="245"/>
      <c r="LRY57" s="245"/>
      <c r="LRZ57" s="244"/>
      <c r="LSA57" s="246"/>
      <c r="LSB57" s="247"/>
      <c r="LSC57" s="275"/>
      <c r="LSD57" s="275"/>
      <c r="LSE57" s="275"/>
      <c r="LSF57" s="275"/>
      <c r="LSG57" s="275"/>
      <c r="LSH57" s="275"/>
      <c r="LSI57" s="137"/>
      <c r="LSJ57" s="137"/>
      <c r="LSK57" s="135"/>
      <c r="LSL57" s="137"/>
      <c r="LSN57" s="250"/>
      <c r="LSO57" s="250"/>
      <c r="LSP57" s="243"/>
      <c r="LSQ57" s="276"/>
      <c r="LSR57" s="276"/>
      <c r="LSS57" s="276"/>
      <c r="LST57" s="244"/>
      <c r="LSU57" s="244"/>
      <c r="LSV57" s="244"/>
      <c r="LSW57" s="245"/>
      <c r="LSX57" s="245"/>
      <c r="LSY57" s="244"/>
      <c r="LSZ57" s="246"/>
      <c r="LTA57" s="247"/>
      <c r="LTB57" s="275"/>
      <c r="LTC57" s="275"/>
      <c r="LTD57" s="275"/>
      <c r="LTE57" s="275"/>
      <c r="LTF57" s="275"/>
      <c r="LTG57" s="275"/>
      <c r="LTH57" s="137"/>
      <c r="LTI57" s="137"/>
      <c r="LTJ57" s="135"/>
      <c r="LTK57" s="137"/>
      <c r="LTM57" s="250"/>
      <c r="LTN57" s="250"/>
      <c r="LTO57" s="243"/>
      <c r="LTP57" s="276"/>
      <c r="LTQ57" s="276"/>
      <c r="LTR57" s="276"/>
      <c r="LTS57" s="244"/>
      <c r="LTT57" s="244"/>
      <c r="LTU57" s="244"/>
      <c r="LTV57" s="245"/>
      <c r="LTW57" s="245"/>
      <c r="LTX57" s="244"/>
      <c r="LTY57" s="246"/>
      <c r="LTZ57" s="247"/>
      <c r="LUA57" s="275"/>
      <c r="LUB57" s="275"/>
      <c r="LUC57" s="275"/>
      <c r="LUD57" s="275"/>
      <c r="LUE57" s="275"/>
      <c r="LUF57" s="275"/>
      <c r="LUG57" s="137"/>
      <c r="LUH57" s="137"/>
      <c r="LUI57" s="135"/>
      <c r="LUJ57" s="137"/>
      <c r="LUL57" s="250"/>
      <c r="LUM57" s="250"/>
      <c r="LUN57" s="243"/>
      <c r="LUO57" s="276"/>
      <c r="LUP57" s="276"/>
      <c r="LUQ57" s="276"/>
      <c r="LUR57" s="244"/>
      <c r="LUS57" s="244"/>
      <c r="LUT57" s="244"/>
      <c r="LUU57" s="245"/>
      <c r="LUV57" s="245"/>
      <c r="LUW57" s="244"/>
      <c r="LUX57" s="246"/>
      <c r="LUY57" s="247"/>
      <c r="LUZ57" s="275"/>
      <c r="LVA57" s="275"/>
      <c r="LVB57" s="275"/>
      <c r="LVC57" s="275"/>
      <c r="LVD57" s="275"/>
      <c r="LVE57" s="275"/>
      <c r="LVF57" s="137"/>
      <c r="LVG57" s="137"/>
      <c r="LVH57" s="135"/>
      <c r="LVI57" s="137"/>
      <c r="LVK57" s="250"/>
      <c r="LVL57" s="250"/>
      <c r="LVM57" s="243"/>
      <c r="LVN57" s="276"/>
      <c r="LVO57" s="276"/>
      <c r="LVP57" s="276"/>
      <c r="LVQ57" s="244"/>
      <c r="LVR57" s="244"/>
      <c r="LVS57" s="244"/>
      <c r="LVT57" s="245"/>
      <c r="LVU57" s="245"/>
      <c r="LVV57" s="244"/>
      <c r="LVW57" s="246"/>
      <c r="LVX57" s="247"/>
      <c r="LVY57" s="275"/>
      <c r="LVZ57" s="275"/>
      <c r="LWA57" s="275"/>
      <c r="LWB57" s="275"/>
      <c r="LWC57" s="275"/>
      <c r="LWD57" s="275"/>
      <c r="LWE57" s="137"/>
      <c r="LWF57" s="137"/>
      <c r="LWG57" s="135"/>
      <c r="LWH57" s="137"/>
      <c r="LWJ57" s="250"/>
      <c r="LWK57" s="250"/>
      <c r="LWL57" s="243"/>
      <c r="LWM57" s="276"/>
      <c r="LWN57" s="276"/>
      <c r="LWO57" s="276"/>
      <c r="LWP57" s="244"/>
      <c r="LWQ57" s="244"/>
      <c r="LWR57" s="244"/>
      <c r="LWS57" s="245"/>
      <c r="LWT57" s="245"/>
      <c r="LWU57" s="244"/>
      <c r="LWV57" s="246"/>
      <c r="LWW57" s="247"/>
      <c r="LWX57" s="275"/>
      <c r="LWY57" s="275"/>
      <c r="LWZ57" s="275"/>
      <c r="LXA57" s="275"/>
      <c r="LXB57" s="275"/>
      <c r="LXC57" s="275"/>
      <c r="LXD57" s="137"/>
      <c r="LXE57" s="137"/>
      <c r="LXF57" s="135"/>
      <c r="LXG57" s="137"/>
      <c r="LXI57" s="250"/>
      <c r="LXJ57" s="250"/>
      <c r="LXK57" s="243"/>
      <c r="LXL57" s="276"/>
      <c r="LXM57" s="276"/>
      <c r="LXN57" s="276"/>
      <c r="LXO57" s="244"/>
      <c r="LXP57" s="244"/>
      <c r="LXQ57" s="244"/>
      <c r="LXR57" s="245"/>
      <c r="LXS57" s="245"/>
      <c r="LXT57" s="244"/>
      <c r="LXU57" s="246"/>
      <c r="LXV57" s="247"/>
      <c r="LXW57" s="275"/>
      <c r="LXX57" s="275"/>
      <c r="LXY57" s="275"/>
      <c r="LXZ57" s="275"/>
      <c r="LYA57" s="275"/>
      <c r="LYB57" s="275"/>
      <c r="LYC57" s="137"/>
      <c r="LYD57" s="137"/>
      <c r="LYE57" s="135"/>
      <c r="LYF57" s="137"/>
      <c r="LYH57" s="250"/>
      <c r="LYI57" s="250"/>
      <c r="LYJ57" s="243"/>
      <c r="LYK57" s="276"/>
      <c r="LYL57" s="276"/>
      <c r="LYM57" s="276"/>
      <c r="LYN57" s="244"/>
      <c r="LYO57" s="244"/>
      <c r="LYP57" s="244"/>
      <c r="LYQ57" s="245"/>
      <c r="LYR57" s="245"/>
      <c r="LYS57" s="244"/>
      <c r="LYT57" s="246"/>
      <c r="LYU57" s="247"/>
      <c r="LYV57" s="275"/>
      <c r="LYW57" s="275"/>
      <c r="LYX57" s="275"/>
      <c r="LYY57" s="275"/>
      <c r="LYZ57" s="275"/>
      <c r="LZA57" s="275"/>
      <c r="LZB57" s="137"/>
      <c r="LZC57" s="137"/>
      <c r="LZD57" s="135"/>
      <c r="LZE57" s="137"/>
      <c r="LZG57" s="250"/>
      <c r="LZH57" s="250"/>
      <c r="LZI57" s="243"/>
      <c r="LZJ57" s="276"/>
      <c r="LZK57" s="276"/>
      <c r="LZL57" s="276"/>
      <c r="LZM57" s="244"/>
      <c r="LZN57" s="244"/>
      <c r="LZO57" s="244"/>
      <c r="LZP57" s="245"/>
      <c r="LZQ57" s="245"/>
      <c r="LZR57" s="244"/>
      <c r="LZS57" s="246"/>
      <c r="LZT57" s="247"/>
      <c r="LZU57" s="275"/>
      <c r="LZV57" s="275"/>
      <c r="LZW57" s="275"/>
      <c r="LZX57" s="275"/>
      <c r="LZY57" s="275"/>
      <c r="LZZ57" s="275"/>
      <c r="MAA57" s="137"/>
      <c r="MAB57" s="137"/>
      <c r="MAC57" s="135"/>
      <c r="MAD57" s="137"/>
      <c r="MAF57" s="250"/>
      <c r="MAG57" s="250"/>
      <c r="MAH57" s="243"/>
      <c r="MAI57" s="276"/>
      <c r="MAJ57" s="276"/>
      <c r="MAK57" s="276"/>
      <c r="MAL57" s="244"/>
      <c r="MAM57" s="244"/>
      <c r="MAN57" s="244"/>
      <c r="MAO57" s="245"/>
      <c r="MAP57" s="245"/>
      <c r="MAQ57" s="244"/>
      <c r="MAR57" s="246"/>
      <c r="MAS57" s="247"/>
      <c r="MAT57" s="275"/>
      <c r="MAU57" s="275"/>
      <c r="MAV57" s="275"/>
      <c r="MAW57" s="275"/>
      <c r="MAX57" s="275"/>
      <c r="MAY57" s="275"/>
      <c r="MAZ57" s="137"/>
      <c r="MBA57" s="137"/>
      <c r="MBB57" s="135"/>
      <c r="MBC57" s="137"/>
      <c r="MBE57" s="250"/>
      <c r="MBF57" s="250"/>
      <c r="MBG57" s="243"/>
      <c r="MBH57" s="276"/>
      <c r="MBI57" s="276"/>
      <c r="MBJ57" s="276"/>
      <c r="MBK57" s="244"/>
      <c r="MBL57" s="244"/>
      <c r="MBM57" s="244"/>
      <c r="MBN57" s="245"/>
      <c r="MBO57" s="245"/>
      <c r="MBP57" s="244"/>
      <c r="MBQ57" s="246"/>
      <c r="MBR57" s="247"/>
      <c r="MBS57" s="275"/>
      <c r="MBT57" s="275"/>
      <c r="MBU57" s="275"/>
      <c r="MBV57" s="275"/>
      <c r="MBW57" s="275"/>
      <c r="MBX57" s="275"/>
      <c r="MBY57" s="137"/>
      <c r="MBZ57" s="137"/>
      <c r="MCA57" s="135"/>
      <c r="MCB57" s="137"/>
      <c r="MCD57" s="250"/>
      <c r="MCE57" s="250"/>
      <c r="MCF57" s="243"/>
      <c r="MCG57" s="276"/>
      <c r="MCH57" s="276"/>
      <c r="MCI57" s="276"/>
      <c r="MCJ57" s="244"/>
      <c r="MCK57" s="244"/>
      <c r="MCL57" s="244"/>
      <c r="MCM57" s="245"/>
      <c r="MCN57" s="245"/>
      <c r="MCO57" s="244"/>
      <c r="MCP57" s="246"/>
      <c r="MCQ57" s="247"/>
      <c r="MCR57" s="275"/>
      <c r="MCS57" s="275"/>
      <c r="MCT57" s="275"/>
      <c r="MCU57" s="275"/>
      <c r="MCV57" s="275"/>
      <c r="MCW57" s="275"/>
      <c r="MCX57" s="137"/>
      <c r="MCY57" s="137"/>
      <c r="MCZ57" s="135"/>
      <c r="MDA57" s="137"/>
      <c r="MDC57" s="250"/>
      <c r="MDD57" s="250"/>
      <c r="MDE57" s="243"/>
      <c r="MDF57" s="276"/>
      <c r="MDG57" s="276"/>
      <c r="MDH57" s="276"/>
      <c r="MDI57" s="244"/>
      <c r="MDJ57" s="244"/>
      <c r="MDK57" s="244"/>
      <c r="MDL57" s="245"/>
      <c r="MDM57" s="245"/>
      <c r="MDN57" s="244"/>
      <c r="MDO57" s="246"/>
      <c r="MDP57" s="247"/>
      <c r="MDQ57" s="275"/>
      <c r="MDR57" s="275"/>
      <c r="MDS57" s="275"/>
      <c r="MDT57" s="275"/>
      <c r="MDU57" s="275"/>
      <c r="MDV57" s="275"/>
      <c r="MDW57" s="137"/>
      <c r="MDX57" s="137"/>
      <c r="MDY57" s="135"/>
      <c r="MDZ57" s="137"/>
      <c r="MEB57" s="250"/>
      <c r="MEC57" s="250"/>
      <c r="MED57" s="243"/>
      <c r="MEE57" s="276"/>
      <c r="MEF57" s="276"/>
      <c r="MEG57" s="276"/>
      <c r="MEH57" s="244"/>
      <c r="MEI57" s="244"/>
      <c r="MEJ57" s="244"/>
      <c r="MEK57" s="245"/>
      <c r="MEL57" s="245"/>
      <c r="MEM57" s="244"/>
      <c r="MEN57" s="246"/>
      <c r="MEO57" s="247"/>
      <c r="MEP57" s="275"/>
      <c r="MEQ57" s="275"/>
      <c r="MER57" s="275"/>
      <c r="MES57" s="275"/>
      <c r="MET57" s="275"/>
      <c r="MEU57" s="275"/>
      <c r="MEV57" s="137"/>
      <c r="MEW57" s="137"/>
      <c r="MEX57" s="135"/>
      <c r="MEY57" s="137"/>
      <c r="MFA57" s="250"/>
      <c r="MFB57" s="250"/>
      <c r="MFC57" s="243"/>
      <c r="MFD57" s="276"/>
      <c r="MFE57" s="276"/>
      <c r="MFF57" s="276"/>
      <c r="MFG57" s="244"/>
      <c r="MFH57" s="244"/>
      <c r="MFI57" s="244"/>
      <c r="MFJ57" s="245"/>
      <c r="MFK57" s="245"/>
      <c r="MFL57" s="244"/>
      <c r="MFM57" s="246"/>
      <c r="MFN57" s="247"/>
      <c r="MFO57" s="275"/>
      <c r="MFP57" s="275"/>
      <c r="MFQ57" s="275"/>
      <c r="MFR57" s="275"/>
      <c r="MFS57" s="275"/>
      <c r="MFT57" s="275"/>
      <c r="MFU57" s="137"/>
      <c r="MFV57" s="137"/>
      <c r="MFW57" s="135"/>
      <c r="MFX57" s="137"/>
      <c r="MFZ57" s="250"/>
      <c r="MGA57" s="250"/>
      <c r="MGB57" s="243"/>
      <c r="MGC57" s="276"/>
      <c r="MGD57" s="276"/>
      <c r="MGE57" s="276"/>
      <c r="MGF57" s="244"/>
      <c r="MGG57" s="244"/>
      <c r="MGH57" s="244"/>
      <c r="MGI57" s="245"/>
      <c r="MGJ57" s="245"/>
      <c r="MGK57" s="244"/>
      <c r="MGL57" s="246"/>
      <c r="MGM57" s="247"/>
      <c r="MGN57" s="275"/>
      <c r="MGO57" s="275"/>
      <c r="MGP57" s="275"/>
      <c r="MGQ57" s="275"/>
      <c r="MGR57" s="275"/>
      <c r="MGS57" s="275"/>
      <c r="MGT57" s="137"/>
      <c r="MGU57" s="137"/>
      <c r="MGV57" s="135"/>
      <c r="MGW57" s="137"/>
      <c r="MGY57" s="250"/>
      <c r="MGZ57" s="250"/>
      <c r="MHA57" s="243"/>
      <c r="MHB57" s="276"/>
      <c r="MHC57" s="276"/>
      <c r="MHD57" s="276"/>
      <c r="MHE57" s="244"/>
      <c r="MHF57" s="244"/>
      <c r="MHG57" s="244"/>
      <c r="MHH57" s="245"/>
      <c r="MHI57" s="245"/>
      <c r="MHJ57" s="244"/>
      <c r="MHK57" s="246"/>
      <c r="MHL57" s="247"/>
      <c r="MHM57" s="275"/>
      <c r="MHN57" s="275"/>
      <c r="MHO57" s="275"/>
      <c r="MHP57" s="275"/>
      <c r="MHQ57" s="275"/>
      <c r="MHR57" s="275"/>
      <c r="MHS57" s="137"/>
      <c r="MHT57" s="137"/>
      <c r="MHU57" s="135"/>
      <c r="MHV57" s="137"/>
      <c r="MHX57" s="250"/>
      <c r="MHY57" s="250"/>
      <c r="MHZ57" s="243"/>
      <c r="MIA57" s="276"/>
      <c r="MIB57" s="276"/>
      <c r="MIC57" s="276"/>
      <c r="MID57" s="244"/>
      <c r="MIE57" s="244"/>
      <c r="MIF57" s="244"/>
      <c r="MIG57" s="245"/>
      <c r="MIH57" s="245"/>
      <c r="MII57" s="244"/>
      <c r="MIJ57" s="246"/>
      <c r="MIK57" s="247"/>
      <c r="MIL57" s="275"/>
      <c r="MIM57" s="275"/>
      <c r="MIN57" s="275"/>
      <c r="MIO57" s="275"/>
      <c r="MIP57" s="275"/>
      <c r="MIQ57" s="275"/>
      <c r="MIR57" s="137"/>
      <c r="MIS57" s="137"/>
      <c r="MIT57" s="135"/>
      <c r="MIU57" s="137"/>
      <c r="MIW57" s="250"/>
      <c r="MIX57" s="250"/>
      <c r="MIY57" s="243"/>
      <c r="MIZ57" s="276"/>
      <c r="MJA57" s="276"/>
      <c r="MJB57" s="276"/>
      <c r="MJC57" s="244"/>
      <c r="MJD57" s="244"/>
      <c r="MJE57" s="244"/>
      <c r="MJF57" s="245"/>
      <c r="MJG57" s="245"/>
      <c r="MJH57" s="244"/>
      <c r="MJI57" s="246"/>
      <c r="MJJ57" s="247"/>
      <c r="MJK57" s="275"/>
      <c r="MJL57" s="275"/>
      <c r="MJM57" s="275"/>
      <c r="MJN57" s="275"/>
      <c r="MJO57" s="275"/>
      <c r="MJP57" s="275"/>
      <c r="MJQ57" s="137"/>
      <c r="MJR57" s="137"/>
      <c r="MJS57" s="135"/>
      <c r="MJT57" s="137"/>
      <c r="MJV57" s="250"/>
      <c r="MJW57" s="250"/>
      <c r="MJX57" s="243"/>
      <c r="MJY57" s="276"/>
      <c r="MJZ57" s="276"/>
      <c r="MKA57" s="276"/>
      <c r="MKB57" s="244"/>
      <c r="MKC57" s="244"/>
      <c r="MKD57" s="244"/>
      <c r="MKE57" s="245"/>
      <c r="MKF57" s="245"/>
      <c r="MKG57" s="244"/>
      <c r="MKH57" s="246"/>
      <c r="MKI57" s="247"/>
      <c r="MKJ57" s="275"/>
      <c r="MKK57" s="275"/>
      <c r="MKL57" s="275"/>
      <c r="MKM57" s="275"/>
      <c r="MKN57" s="275"/>
      <c r="MKO57" s="275"/>
      <c r="MKP57" s="137"/>
      <c r="MKQ57" s="137"/>
      <c r="MKR57" s="135"/>
      <c r="MKS57" s="137"/>
      <c r="MKU57" s="250"/>
      <c r="MKV57" s="250"/>
      <c r="MKW57" s="243"/>
      <c r="MKX57" s="276"/>
      <c r="MKY57" s="276"/>
      <c r="MKZ57" s="276"/>
      <c r="MLA57" s="244"/>
      <c r="MLB57" s="244"/>
      <c r="MLC57" s="244"/>
      <c r="MLD57" s="245"/>
      <c r="MLE57" s="245"/>
      <c r="MLF57" s="244"/>
      <c r="MLG57" s="246"/>
      <c r="MLH57" s="247"/>
      <c r="MLI57" s="275"/>
      <c r="MLJ57" s="275"/>
      <c r="MLK57" s="275"/>
      <c r="MLL57" s="275"/>
      <c r="MLM57" s="275"/>
      <c r="MLN57" s="275"/>
      <c r="MLO57" s="137"/>
      <c r="MLP57" s="137"/>
      <c r="MLQ57" s="135"/>
      <c r="MLR57" s="137"/>
      <c r="MLT57" s="250"/>
      <c r="MLU57" s="250"/>
      <c r="MLV57" s="243"/>
      <c r="MLW57" s="276"/>
      <c r="MLX57" s="276"/>
      <c r="MLY57" s="276"/>
      <c r="MLZ57" s="244"/>
      <c r="MMA57" s="244"/>
      <c r="MMB57" s="244"/>
      <c r="MMC57" s="245"/>
      <c r="MMD57" s="245"/>
      <c r="MME57" s="244"/>
      <c r="MMF57" s="246"/>
      <c r="MMG57" s="247"/>
      <c r="MMH57" s="275"/>
      <c r="MMI57" s="275"/>
      <c r="MMJ57" s="275"/>
      <c r="MMK57" s="275"/>
      <c r="MML57" s="275"/>
      <c r="MMM57" s="275"/>
      <c r="MMN57" s="137"/>
      <c r="MMO57" s="137"/>
      <c r="MMP57" s="135"/>
      <c r="MMQ57" s="137"/>
      <c r="MMS57" s="250"/>
      <c r="MMT57" s="250"/>
      <c r="MMU57" s="243"/>
      <c r="MMV57" s="276"/>
      <c r="MMW57" s="276"/>
      <c r="MMX57" s="276"/>
      <c r="MMY57" s="244"/>
      <c r="MMZ57" s="244"/>
      <c r="MNA57" s="244"/>
      <c r="MNB57" s="245"/>
      <c r="MNC57" s="245"/>
      <c r="MND57" s="244"/>
      <c r="MNE57" s="246"/>
      <c r="MNF57" s="247"/>
      <c r="MNG57" s="275"/>
      <c r="MNH57" s="275"/>
      <c r="MNI57" s="275"/>
      <c r="MNJ57" s="275"/>
      <c r="MNK57" s="275"/>
      <c r="MNL57" s="275"/>
      <c r="MNM57" s="137"/>
      <c r="MNN57" s="137"/>
      <c r="MNO57" s="135"/>
      <c r="MNP57" s="137"/>
      <c r="MNR57" s="250"/>
      <c r="MNS57" s="250"/>
      <c r="MNT57" s="243"/>
      <c r="MNU57" s="276"/>
      <c r="MNV57" s="276"/>
      <c r="MNW57" s="276"/>
      <c r="MNX57" s="244"/>
      <c r="MNY57" s="244"/>
      <c r="MNZ57" s="244"/>
      <c r="MOA57" s="245"/>
      <c r="MOB57" s="245"/>
      <c r="MOC57" s="244"/>
      <c r="MOD57" s="246"/>
      <c r="MOE57" s="247"/>
      <c r="MOF57" s="275"/>
      <c r="MOG57" s="275"/>
      <c r="MOH57" s="275"/>
      <c r="MOI57" s="275"/>
      <c r="MOJ57" s="275"/>
      <c r="MOK57" s="275"/>
      <c r="MOL57" s="137"/>
      <c r="MOM57" s="137"/>
      <c r="MON57" s="135"/>
      <c r="MOO57" s="137"/>
      <c r="MOQ57" s="250"/>
      <c r="MOR57" s="250"/>
      <c r="MOS57" s="243"/>
      <c r="MOT57" s="276"/>
      <c r="MOU57" s="276"/>
      <c r="MOV57" s="276"/>
      <c r="MOW57" s="244"/>
      <c r="MOX57" s="244"/>
      <c r="MOY57" s="244"/>
      <c r="MOZ57" s="245"/>
      <c r="MPA57" s="245"/>
      <c r="MPB57" s="244"/>
      <c r="MPC57" s="246"/>
      <c r="MPD57" s="247"/>
      <c r="MPE57" s="275"/>
      <c r="MPF57" s="275"/>
      <c r="MPG57" s="275"/>
      <c r="MPH57" s="275"/>
      <c r="MPI57" s="275"/>
      <c r="MPJ57" s="275"/>
      <c r="MPK57" s="137"/>
      <c r="MPL57" s="137"/>
      <c r="MPM57" s="135"/>
      <c r="MPN57" s="137"/>
      <c r="MPP57" s="250"/>
      <c r="MPQ57" s="250"/>
      <c r="MPR57" s="243"/>
      <c r="MPS57" s="276"/>
      <c r="MPT57" s="276"/>
      <c r="MPU57" s="276"/>
      <c r="MPV57" s="244"/>
      <c r="MPW57" s="244"/>
      <c r="MPX57" s="244"/>
      <c r="MPY57" s="245"/>
      <c r="MPZ57" s="245"/>
      <c r="MQA57" s="244"/>
      <c r="MQB57" s="246"/>
      <c r="MQC57" s="247"/>
      <c r="MQD57" s="275"/>
      <c r="MQE57" s="275"/>
      <c r="MQF57" s="275"/>
      <c r="MQG57" s="275"/>
      <c r="MQH57" s="275"/>
      <c r="MQI57" s="275"/>
      <c r="MQJ57" s="137"/>
      <c r="MQK57" s="137"/>
      <c r="MQL57" s="135"/>
      <c r="MQM57" s="137"/>
      <c r="MQO57" s="250"/>
      <c r="MQP57" s="250"/>
      <c r="MQQ57" s="243"/>
      <c r="MQR57" s="276"/>
      <c r="MQS57" s="276"/>
      <c r="MQT57" s="276"/>
      <c r="MQU57" s="244"/>
      <c r="MQV57" s="244"/>
      <c r="MQW57" s="244"/>
      <c r="MQX57" s="245"/>
      <c r="MQY57" s="245"/>
      <c r="MQZ57" s="244"/>
      <c r="MRA57" s="246"/>
      <c r="MRB57" s="247"/>
      <c r="MRC57" s="275"/>
      <c r="MRD57" s="275"/>
      <c r="MRE57" s="275"/>
      <c r="MRF57" s="275"/>
      <c r="MRG57" s="275"/>
      <c r="MRH57" s="275"/>
      <c r="MRI57" s="137"/>
      <c r="MRJ57" s="137"/>
      <c r="MRK57" s="135"/>
      <c r="MRL57" s="137"/>
      <c r="MRN57" s="250"/>
      <c r="MRO57" s="250"/>
      <c r="MRP57" s="243"/>
      <c r="MRQ57" s="276"/>
      <c r="MRR57" s="276"/>
      <c r="MRS57" s="276"/>
      <c r="MRT57" s="244"/>
      <c r="MRU57" s="244"/>
      <c r="MRV57" s="244"/>
      <c r="MRW57" s="245"/>
      <c r="MRX57" s="245"/>
      <c r="MRY57" s="244"/>
      <c r="MRZ57" s="246"/>
      <c r="MSA57" s="247"/>
      <c r="MSB57" s="275"/>
      <c r="MSC57" s="275"/>
      <c r="MSD57" s="275"/>
      <c r="MSE57" s="275"/>
      <c r="MSF57" s="275"/>
      <c r="MSG57" s="275"/>
      <c r="MSH57" s="137"/>
      <c r="MSI57" s="137"/>
      <c r="MSJ57" s="135"/>
      <c r="MSK57" s="137"/>
      <c r="MSM57" s="250"/>
      <c r="MSN57" s="250"/>
      <c r="MSO57" s="243"/>
      <c r="MSP57" s="276"/>
      <c r="MSQ57" s="276"/>
      <c r="MSR57" s="276"/>
      <c r="MSS57" s="244"/>
      <c r="MST57" s="244"/>
      <c r="MSU57" s="244"/>
      <c r="MSV57" s="245"/>
      <c r="MSW57" s="245"/>
      <c r="MSX57" s="244"/>
      <c r="MSY57" s="246"/>
      <c r="MSZ57" s="247"/>
      <c r="MTA57" s="275"/>
      <c r="MTB57" s="275"/>
      <c r="MTC57" s="275"/>
      <c r="MTD57" s="275"/>
      <c r="MTE57" s="275"/>
      <c r="MTF57" s="275"/>
      <c r="MTG57" s="137"/>
      <c r="MTH57" s="137"/>
      <c r="MTI57" s="135"/>
      <c r="MTJ57" s="137"/>
      <c r="MTL57" s="250"/>
      <c r="MTM57" s="250"/>
      <c r="MTN57" s="243"/>
      <c r="MTO57" s="276"/>
      <c r="MTP57" s="276"/>
      <c r="MTQ57" s="276"/>
      <c r="MTR57" s="244"/>
      <c r="MTS57" s="244"/>
      <c r="MTT57" s="244"/>
      <c r="MTU57" s="245"/>
      <c r="MTV57" s="245"/>
      <c r="MTW57" s="244"/>
      <c r="MTX57" s="246"/>
      <c r="MTY57" s="247"/>
      <c r="MTZ57" s="275"/>
      <c r="MUA57" s="275"/>
      <c r="MUB57" s="275"/>
      <c r="MUC57" s="275"/>
      <c r="MUD57" s="275"/>
      <c r="MUE57" s="275"/>
      <c r="MUF57" s="137"/>
      <c r="MUG57" s="137"/>
      <c r="MUH57" s="135"/>
      <c r="MUI57" s="137"/>
      <c r="MUK57" s="250"/>
      <c r="MUL57" s="250"/>
      <c r="MUM57" s="243"/>
      <c r="MUN57" s="276"/>
      <c r="MUO57" s="276"/>
      <c r="MUP57" s="276"/>
      <c r="MUQ57" s="244"/>
      <c r="MUR57" s="244"/>
      <c r="MUS57" s="244"/>
      <c r="MUT57" s="245"/>
      <c r="MUU57" s="245"/>
      <c r="MUV57" s="244"/>
      <c r="MUW57" s="246"/>
      <c r="MUX57" s="247"/>
      <c r="MUY57" s="275"/>
      <c r="MUZ57" s="275"/>
      <c r="MVA57" s="275"/>
      <c r="MVB57" s="275"/>
      <c r="MVC57" s="275"/>
      <c r="MVD57" s="275"/>
      <c r="MVE57" s="137"/>
      <c r="MVF57" s="137"/>
      <c r="MVG57" s="135"/>
      <c r="MVH57" s="137"/>
      <c r="MVJ57" s="250"/>
      <c r="MVK57" s="250"/>
      <c r="MVL57" s="243"/>
      <c r="MVM57" s="276"/>
      <c r="MVN57" s="276"/>
      <c r="MVO57" s="276"/>
      <c r="MVP57" s="244"/>
      <c r="MVQ57" s="244"/>
      <c r="MVR57" s="244"/>
      <c r="MVS57" s="245"/>
      <c r="MVT57" s="245"/>
      <c r="MVU57" s="244"/>
      <c r="MVV57" s="246"/>
      <c r="MVW57" s="247"/>
      <c r="MVX57" s="275"/>
      <c r="MVY57" s="275"/>
      <c r="MVZ57" s="275"/>
      <c r="MWA57" s="275"/>
      <c r="MWB57" s="275"/>
      <c r="MWC57" s="275"/>
      <c r="MWD57" s="137"/>
      <c r="MWE57" s="137"/>
      <c r="MWF57" s="135"/>
      <c r="MWG57" s="137"/>
      <c r="MWI57" s="250"/>
      <c r="MWJ57" s="250"/>
      <c r="MWK57" s="243"/>
      <c r="MWL57" s="276"/>
      <c r="MWM57" s="276"/>
      <c r="MWN57" s="276"/>
      <c r="MWO57" s="244"/>
      <c r="MWP57" s="244"/>
      <c r="MWQ57" s="244"/>
      <c r="MWR57" s="245"/>
      <c r="MWS57" s="245"/>
      <c r="MWT57" s="244"/>
      <c r="MWU57" s="246"/>
      <c r="MWV57" s="247"/>
      <c r="MWW57" s="275"/>
      <c r="MWX57" s="275"/>
      <c r="MWY57" s="275"/>
      <c r="MWZ57" s="275"/>
      <c r="MXA57" s="275"/>
      <c r="MXB57" s="275"/>
      <c r="MXC57" s="137"/>
      <c r="MXD57" s="137"/>
      <c r="MXE57" s="135"/>
      <c r="MXF57" s="137"/>
      <c r="MXH57" s="250"/>
      <c r="MXI57" s="250"/>
      <c r="MXJ57" s="243"/>
      <c r="MXK57" s="276"/>
      <c r="MXL57" s="276"/>
      <c r="MXM57" s="276"/>
      <c r="MXN57" s="244"/>
      <c r="MXO57" s="244"/>
      <c r="MXP57" s="244"/>
      <c r="MXQ57" s="245"/>
      <c r="MXR57" s="245"/>
      <c r="MXS57" s="244"/>
      <c r="MXT57" s="246"/>
      <c r="MXU57" s="247"/>
      <c r="MXV57" s="275"/>
      <c r="MXW57" s="275"/>
      <c r="MXX57" s="275"/>
      <c r="MXY57" s="275"/>
      <c r="MXZ57" s="275"/>
      <c r="MYA57" s="275"/>
      <c r="MYB57" s="137"/>
      <c r="MYC57" s="137"/>
      <c r="MYD57" s="135"/>
      <c r="MYE57" s="137"/>
      <c r="MYG57" s="250"/>
      <c r="MYH57" s="250"/>
      <c r="MYI57" s="243"/>
      <c r="MYJ57" s="276"/>
      <c r="MYK57" s="276"/>
      <c r="MYL57" s="276"/>
      <c r="MYM57" s="244"/>
      <c r="MYN57" s="244"/>
      <c r="MYO57" s="244"/>
      <c r="MYP57" s="245"/>
      <c r="MYQ57" s="245"/>
      <c r="MYR57" s="244"/>
      <c r="MYS57" s="246"/>
      <c r="MYT57" s="247"/>
      <c r="MYU57" s="275"/>
      <c r="MYV57" s="275"/>
      <c r="MYW57" s="275"/>
      <c r="MYX57" s="275"/>
      <c r="MYY57" s="275"/>
      <c r="MYZ57" s="275"/>
      <c r="MZA57" s="137"/>
      <c r="MZB57" s="137"/>
      <c r="MZC57" s="135"/>
      <c r="MZD57" s="137"/>
      <c r="MZF57" s="250"/>
      <c r="MZG57" s="250"/>
      <c r="MZH57" s="243"/>
      <c r="MZI57" s="276"/>
      <c r="MZJ57" s="276"/>
      <c r="MZK57" s="276"/>
      <c r="MZL57" s="244"/>
      <c r="MZM57" s="244"/>
      <c r="MZN57" s="244"/>
      <c r="MZO57" s="245"/>
      <c r="MZP57" s="245"/>
      <c r="MZQ57" s="244"/>
      <c r="MZR57" s="246"/>
      <c r="MZS57" s="247"/>
      <c r="MZT57" s="275"/>
      <c r="MZU57" s="275"/>
      <c r="MZV57" s="275"/>
      <c r="MZW57" s="275"/>
      <c r="MZX57" s="275"/>
      <c r="MZY57" s="275"/>
      <c r="MZZ57" s="137"/>
      <c r="NAA57" s="137"/>
      <c r="NAB57" s="135"/>
      <c r="NAC57" s="137"/>
      <c r="NAE57" s="250"/>
      <c r="NAF57" s="250"/>
      <c r="NAG57" s="243"/>
      <c r="NAH57" s="276"/>
      <c r="NAI57" s="276"/>
      <c r="NAJ57" s="276"/>
      <c r="NAK57" s="244"/>
      <c r="NAL57" s="244"/>
      <c r="NAM57" s="244"/>
      <c r="NAN57" s="245"/>
      <c r="NAO57" s="245"/>
      <c r="NAP57" s="244"/>
      <c r="NAQ57" s="246"/>
      <c r="NAR57" s="247"/>
      <c r="NAS57" s="275"/>
      <c r="NAT57" s="275"/>
      <c r="NAU57" s="275"/>
      <c r="NAV57" s="275"/>
      <c r="NAW57" s="275"/>
      <c r="NAX57" s="275"/>
      <c r="NAY57" s="137"/>
      <c r="NAZ57" s="137"/>
      <c r="NBA57" s="135"/>
      <c r="NBB57" s="137"/>
      <c r="NBD57" s="250"/>
      <c r="NBE57" s="250"/>
      <c r="NBF57" s="243"/>
      <c r="NBG57" s="276"/>
      <c r="NBH57" s="276"/>
      <c r="NBI57" s="276"/>
      <c r="NBJ57" s="244"/>
      <c r="NBK57" s="244"/>
      <c r="NBL57" s="244"/>
      <c r="NBM57" s="245"/>
      <c r="NBN57" s="245"/>
      <c r="NBO57" s="244"/>
      <c r="NBP57" s="246"/>
      <c r="NBQ57" s="247"/>
      <c r="NBR57" s="275"/>
      <c r="NBS57" s="275"/>
      <c r="NBT57" s="275"/>
      <c r="NBU57" s="275"/>
      <c r="NBV57" s="275"/>
      <c r="NBW57" s="275"/>
      <c r="NBX57" s="137"/>
      <c r="NBY57" s="137"/>
      <c r="NBZ57" s="135"/>
      <c r="NCA57" s="137"/>
      <c r="NCC57" s="250"/>
      <c r="NCD57" s="250"/>
      <c r="NCE57" s="243"/>
      <c r="NCF57" s="276"/>
      <c r="NCG57" s="276"/>
      <c r="NCH57" s="276"/>
      <c r="NCI57" s="244"/>
      <c r="NCJ57" s="244"/>
      <c r="NCK57" s="244"/>
      <c r="NCL57" s="245"/>
      <c r="NCM57" s="245"/>
      <c r="NCN57" s="244"/>
      <c r="NCO57" s="246"/>
      <c r="NCP57" s="247"/>
      <c r="NCQ57" s="275"/>
      <c r="NCR57" s="275"/>
      <c r="NCS57" s="275"/>
      <c r="NCT57" s="275"/>
      <c r="NCU57" s="275"/>
      <c r="NCV57" s="275"/>
      <c r="NCW57" s="137"/>
      <c r="NCX57" s="137"/>
      <c r="NCY57" s="135"/>
      <c r="NCZ57" s="137"/>
      <c r="NDB57" s="250"/>
      <c r="NDC57" s="250"/>
      <c r="NDD57" s="243"/>
      <c r="NDE57" s="276"/>
      <c r="NDF57" s="276"/>
      <c r="NDG57" s="276"/>
      <c r="NDH57" s="244"/>
      <c r="NDI57" s="244"/>
      <c r="NDJ57" s="244"/>
      <c r="NDK57" s="245"/>
      <c r="NDL57" s="245"/>
      <c r="NDM57" s="244"/>
      <c r="NDN57" s="246"/>
      <c r="NDO57" s="247"/>
      <c r="NDP57" s="275"/>
      <c r="NDQ57" s="275"/>
      <c r="NDR57" s="275"/>
      <c r="NDS57" s="275"/>
      <c r="NDT57" s="275"/>
      <c r="NDU57" s="275"/>
      <c r="NDV57" s="137"/>
      <c r="NDW57" s="137"/>
      <c r="NDX57" s="135"/>
      <c r="NDY57" s="137"/>
      <c r="NEA57" s="250"/>
      <c r="NEB57" s="250"/>
      <c r="NEC57" s="243"/>
      <c r="NED57" s="276"/>
      <c r="NEE57" s="276"/>
      <c r="NEF57" s="276"/>
      <c r="NEG57" s="244"/>
      <c r="NEH57" s="244"/>
      <c r="NEI57" s="244"/>
      <c r="NEJ57" s="245"/>
      <c r="NEK57" s="245"/>
      <c r="NEL57" s="244"/>
      <c r="NEM57" s="246"/>
      <c r="NEN57" s="247"/>
      <c r="NEO57" s="275"/>
      <c r="NEP57" s="275"/>
      <c r="NEQ57" s="275"/>
      <c r="NER57" s="275"/>
      <c r="NES57" s="275"/>
      <c r="NET57" s="275"/>
      <c r="NEU57" s="137"/>
      <c r="NEV57" s="137"/>
      <c r="NEW57" s="135"/>
      <c r="NEX57" s="137"/>
      <c r="NEZ57" s="250"/>
      <c r="NFA57" s="250"/>
      <c r="NFB57" s="243"/>
      <c r="NFC57" s="276"/>
      <c r="NFD57" s="276"/>
      <c r="NFE57" s="276"/>
      <c r="NFF57" s="244"/>
      <c r="NFG57" s="244"/>
      <c r="NFH57" s="244"/>
      <c r="NFI57" s="245"/>
      <c r="NFJ57" s="245"/>
      <c r="NFK57" s="244"/>
      <c r="NFL57" s="246"/>
      <c r="NFM57" s="247"/>
      <c r="NFN57" s="275"/>
      <c r="NFO57" s="275"/>
      <c r="NFP57" s="275"/>
      <c r="NFQ57" s="275"/>
      <c r="NFR57" s="275"/>
      <c r="NFS57" s="275"/>
      <c r="NFT57" s="137"/>
      <c r="NFU57" s="137"/>
      <c r="NFV57" s="135"/>
      <c r="NFW57" s="137"/>
      <c r="NFY57" s="250"/>
      <c r="NFZ57" s="250"/>
      <c r="NGA57" s="243"/>
      <c r="NGB57" s="276"/>
      <c r="NGC57" s="276"/>
      <c r="NGD57" s="276"/>
      <c r="NGE57" s="244"/>
      <c r="NGF57" s="244"/>
      <c r="NGG57" s="244"/>
      <c r="NGH57" s="245"/>
      <c r="NGI57" s="245"/>
      <c r="NGJ57" s="244"/>
      <c r="NGK57" s="246"/>
      <c r="NGL57" s="247"/>
      <c r="NGM57" s="275"/>
      <c r="NGN57" s="275"/>
      <c r="NGO57" s="275"/>
      <c r="NGP57" s="275"/>
      <c r="NGQ57" s="275"/>
      <c r="NGR57" s="275"/>
      <c r="NGS57" s="137"/>
      <c r="NGT57" s="137"/>
      <c r="NGU57" s="135"/>
      <c r="NGV57" s="137"/>
      <c r="NGX57" s="250"/>
      <c r="NGY57" s="250"/>
      <c r="NGZ57" s="243"/>
      <c r="NHA57" s="276"/>
      <c r="NHB57" s="276"/>
      <c r="NHC57" s="276"/>
      <c r="NHD57" s="244"/>
      <c r="NHE57" s="244"/>
      <c r="NHF57" s="244"/>
      <c r="NHG57" s="245"/>
      <c r="NHH57" s="245"/>
      <c r="NHI57" s="244"/>
      <c r="NHJ57" s="246"/>
      <c r="NHK57" s="247"/>
      <c r="NHL57" s="275"/>
      <c r="NHM57" s="275"/>
      <c r="NHN57" s="275"/>
      <c r="NHO57" s="275"/>
      <c r="NHP57" s="275"/>
      <c r="NHQ57" s="275"/>
      <c r="NHR57" s="137"/>
      <c r="NHS57" s="137"/>
      <c r="NHT57" s="135"/>
      <c r="NHU57" s="137"/>
      <c r="NHW57" s="250"/>
      <c r="NHX57" s="250"/>
      <c r="NHY57" s="243"/>
      <c r="NHZ57" s="276"/>
      <c r="NIA57" s="276"/>
      <c r="NIB57" s="276"/>
      <c r="NIC57" s="244"/>
      <c r="NID57" s="244"/>
      <c r="NIE57" s="244"/>
      <c r="NIF57" s="245"/>
      <c r="NIG57" s="245"/>
      <c r="NIH57" s="244"/>
      <c r="NII57" s="246"/>
      <c r="NIJ57" s="247"/>
      <c r="NIK57" s="275"/>
      <c r="NIL57" s="275"/>
      <c r="NIM57" s="275"/>
      <c r="NIN57" s="275"/>
      <c r="NIO57" s="275"/>
      <c r="NIP57" s="275"/>
      <c r="NIQ57" s="137"/>
      <c r="NIR57" s="137"/>
      <c r="NIS57" s="135"/>
      <c r="NIT57" s="137"/>
      <c r="NIV57" s="250"/>
      <c r="NIW57" s="250"/>
      <c r="NIX57" s="243"/>
      <c r="NIY57" s="276"/>
      <c r="NIZ57" s="276"/>
      <c r="NJA57" s="276"/>
      <c r="NJB57" s="244"/>
      <c r="NJC57" s="244"/>
      <c r="NJD57" s="244"/>
      <c r="NJE57" s="245"/>
      <c r="NJF57" s="245"/>
      <c r="NJG57" s="244"/>
      <c r="NJH57" s="246"/>
      <c r="NJI57" s="247"/>
      <c r="NJJ57" s="275"/>
      <c r="NJK57" s="275"/>
      <c r="NJL57" s="275"/>
      <c r="NJM57" s="275"/>
      <c r="NJN57" s="275"/>
      <c r="NJO57" s="275"/>
      <c r="NJP57" s="137"/>
      <c r="NJQ57" s="137"/>
      <c r="NJR57" s="135"/>
      <c r="NJS57" s="137"/>
      <c r="NJU57" s="250"/>
      <c r="NJV57" s="250"/>
      <c r="NJW57" s="243"/>
      <c r="NJX57" s="276"/>
      <c r="NJY57" s="276"/>
      <c r="NJZ57" s="276"/>
      <c r="NKA57" s="244"/>
      <c r="NKB57" s="244"/>
      <c r="NKC57" s="244"/>
      <c r="NKD57" s="245"/>
      <c r="NKE57" s="245"/>
      <c r="NKF57" s="244"/>
      <c r="NKG57" s="246"/>
      <c r="NKH57" s="247"/>
      <c r="NKI57" s="275"/>
      <c r="NKJ57" s="275"/>
      <c r="NKK57" s="275"/>
      <c r="NKL57" s="275"/>
      <c r="NKM57" s="275"/>
      <c r="NKN57" s="275"/>
      <c r="NKO57" s="137"/>
      <c r="NKP57" s="137"/>
      <c r="NKQ57" s="135"/>
      <c r="NKR57" s="137"/>
      <c r="NKT57" s="250"/>
      <c r="NKU57" s="250"/>
      <c r="NKV57" s="243"/>
      <c r="NKW57" s="276"/>
      <c r="NKX57" s="276"/>
      <c r="NKY57" s="276"/>
      <c r="NKZ57" s="244"/>
      <c r="NLA57" s="244"/>
      <c r="NLB57" s="244"/>
      <c r="NLC57" s="245"/>
      <c r="NLD57" s="245"/>
      <c r="NLE57" s="244"/>
      <c r="NLF57" s="246"/>
      <c r="NLG57" s="247"/>
      <c r="NLH57" s="275"/>
      <c r="NLI57" s="275"/>
      <c r="NLJ57" s="275"/>
      <c r="NLK57" s="275"/>
      <c r="NLL57" s="275"/>
      <c r="NLM57" s="275"/>
      <c r="NLN57" s="137"/>
      <c r="NLO57" s="137"/>
      <c r="NLP57" s="135"/>
      <c r="NLQ57" s="137"/>
      <c r="NLS57" s="250"/>
      <c r="NLT57" s="250"/>
      <c r="NLU57" s="243"/>
      <c r="NLV57" s="276"/>
      <c r="NLW57" s="276"/>
      <c r="NLX57" s="276"/>
      <c r="NLY57" s="244"/>
      <c r="NLZ57" s="244"/>
      <c r="NMA57" s="244"/>
      <c r="NMB57" s="245"/>
      <c r="NMC57" s="245"/>
      <c r="NMD57" s="244"/>
      <c r="NME57" s="246"/>
      <c r="NMF57" s="247"/>
      <c r="NMG57" s="275"/>
      <c r="NMH57" s="275"/>
      <c r="NMI57" s="275"/>
      <c r="NMJ57" s="275"/>
      <c r="NMK57" s="275"/>
      <c r="NML57" s="275"/>
      <c r="NMM57" s="137"/>
      <c r="NMN57" s="137"/>
      <c r="NMO57" s="135"/>
      <c r="NMP57" s="137"/>
      <c r="NMR57" s="250"/>
      <c r="NMS57" s="250"/>
      <c r="NMT57" s="243"/>
      <c r="NMU57" s="276"/>
      <c r="NMV57" s="276"/>
      <c r="NMW57" s="276"/>
      <c r="NMX57" s="244"/>
      <c r="NMY57" s="244"/>
      <c r="NMZ57" s="244"/>
      <c r="NNA57" s="245"/>
      <c r="NNB57" s="245"/>
      <c r="NNC57" s="244"/>
      <c r="NND57" s="246"/>
      <c r="NNE57" s="247"/>
      <c r="NNF57" s="275"/>
      <c r="NNG57" s="275"/>
      <c r="NNH57" s="275"/>
      <c r="NNI57" s="275"/>
      <c r="NNJ57" s="275"/>
      <c r="NNK57" s="275"/>
      <c r="NNL57" s="137"/>
      <c r="NNM57" s="137"/>
      <c r="NNN57" s="135"/>
      <c r="NNO57" s="137"/>
      <c r="NNQ57" s="250"/>
      <c r="NNR57" s="250"/>
      <c r="NNS57" s="243"/>
      <c r="NNT57" s="276"/>
      <c r="NNU57" s="276"/>
      <c r="NNV57" s="276"/>
      <c r="NNW57" s="244"/>
      <c r="NNX57" s="244"/>
      <c r="NNY57" s="244"/>
      <c r="NNZ57" s="245"/>
      <c r="NOA57" s="245"/>
      <c r="NOB57" s="244"/>
      <c r="NOC57" s="246"/>
      <c r="NOD57" s="247"/>
      <c r="NOE57" s="275"/>
      <c r="NOF57" s="275"/>
      <c r="NOG57" s="275"/>
      <c r="NOH57" s="275"/>
      <c r="NOI57" s="275"/>
      <c r="NOJ57" s="275"/>
      <c r="NOK57" s="137"/>
      <c r="NOL57" s="137"/>
      <c r="NOM57" s="135"/>
      <c r="NON57" s="137"/>
      <c r="NOP57" s="250"/>
      <c r="NOQ57" s="250"/>
      <c r="NOR57" s="243"/>
      <c r="NOS57" s="276"/>
      <c r="NOT57" s="276"/>
      <c r="NOU57" s="276"/>
      <c r="NOV57" s="244"/>
      <c r="NOW57" s="244"/>
      <c r="NOX57" s="244"/>
      <c r="NOY57" s="245"/>
      <c r="NOZ57" s="245"/>
      <c r="NPA57" s="244"/>
      <c r="NPB57" s="246"/>
      <c r="NPC57" s="247"/>
      <c r="NPD57" s="275"/>
      <c r="NPE57" s="275"/>
      <c r="NPF57" s="275"/>
      <c r="NPG57" s="275"/>
      <c r="NPH57" s="275"/>
      <c r="NPI57" s="275"/>
      <c r="NPJ57" s="137"/>
      <c r="NPK57" s="137"/>
      <c r="NPL57" s="135"/>
      <c r="NPM57" s="137"/>
      <c r="NPO57" s="250"/>
      <c r="NPP57" s="250"/>
      <c r="NPQ57" s="243"/>
      <c r="NPR57" s="276"/>
      <c r="NPS57" s="276"/>
      <c r="NPT57" s="276"/>
      <c r="NPU57" s="244"/>
      <c r="NPV57" s="244"/>
      <c r="NPW57" s="244"/>
      <c r="NPX57" s="245"/>
      <c r="NPY57" s="245"/>
      <c r="NPZ57" s="244"/>
      <c r="NQA57" s="246"/>
      <c r="NQB57" s="247"/>
      <c r="NQC57" s="275"/>
      <c r="NQD57" s="275"/>
      <c r="NQE57" s="275"/>
      <c r="NQF57" s="275"/>
      <c r="NQG57" s="275"/>
      <c r="NQH57" s="275"/>
      <c r="NQI57" s="137"/>
      <c r="NQJ57" s="137"/>
      <c r="NQK57" s="135"/>
      <c r="NQL57" s="137"/>
      <c r="NQN57" s="250"/>
      <c r="NQO57" s="250"/>
      <c r="NQP57" s="243"/>
      <c r="NQQ57" s="276"/>
      <c r="NQR57" s="276"/>
      <c r="NQS57" s="276"/>
      <c r="NQT57" s="244"/>
      <c r="NQU57" s="244"/>
      <c r="NQV57" s="244"/>
      <c r="NQW57" s="245"/>
      <c r="NQX57" s="245"/>
      <c r="NQY57" s="244"/>
      <c r="NQZ57" s="246"/>
      <c r="NRA57" s="247"/>
      <c r="NRB57" s="275"/>
      <c r="NRC57" s="275"/>
      <c r="NRD57" s="275"/>
      <c r="NRE57" s="275"/>
      <c r="NRF57" s="275"/>
      <c r="NRG57" s="275"/>
      <c r="NRH57" s="137"/>
      <c r="NRI57" s="137"/>
      <c r="NRJ57" s="135"/>
      <c r="NRK57" s="137"/>
      <c r="NRM57" s="250"/>
      <c r="NRN57" s="250"/>
      <c r="NRO57" s="243"/>
      <c r="NRP57" s="276"/>
      <c r="NRQ57" s="276"/>
      <c r="NRR57" s="276"/>
      <c r="NRS57" s="244"/>
      <c r="NRT57" s="244"/>
      <c r="NRU57" s="244"/>
      <c r="NRV57" s="245"/>
      <c r="NRW57" s="245"/>
      <c r="NRX57" s="244"/>
      <c r="NRY57" s="246"/>
      <c r="NRZ57" s="247"/>
      <c r="NSA57" s="275"/>
      <c r="NSB57" s="275"/>
      <c r="NSC57" s="275"/>
      <c r="NSD57" s="275"/>
      <c r="NSE57" s="275"/>
      <c r="NSF57" s="275"/>
      <c r="NSG57" s="137"/>
      <c r="NSH57" s="137"/>
      <c r="NSI57" s="135"/>
      <c r="NSJ57" s="137"/>
      <c r="NSL57" s="250"/>
      <c r="NSM57" s="250"/>
      <c r="NSN57" s="243"/>
      <c r="NSO57" s="276"/>
      <c r="NSP57" s="276"/>
      <c r="NSQ57" s="276"/>
      <c r="NSR57" s="244"/>
      <c r="NSS57" s="244"/>
      <c r="NST57" s="244"/>
      <c r="NSU57" s="245"/>
      <c r="NSV57" s="245"/>
      <c r="NSW57" s="244"/>
      <c r="NSX57" s="246"/>
      <c r="NSY57" s="247"/>
      <c r="NSZ57" s="275"/>
      <c r="NTA57" s="275"/>
      <c r="NTB57" s="275"/>
      <c r="NTC57" s="275"/>
      <c r="NTD57" s="275"/>
      <c r="NTE57" s="275"/>
      <c r="NTF57" s="137"/>
      <c r="NTG57" s="137"/>
      <c r="NTH57" s="135"/>
      <c r="NTI57" s="137"/>
      <c r="NTK57" s="250"/>
      <c r="NTL57" s="250"/>
      <c r="NTM57" s="243"/>
      <c r="NTN57" s="276"/>
      <c r="NTO57" s="276"/>
      <c r="NTP57" s="276"/>
      <c r="NTQ57" s="244"/>
      <c r="NTR57" s="244"/>
      <c r="NTS57" s="244"/>
      <c r="NTT57" s="245"/>
      <c r="NTU57" s="245"/>
      <c r="NTV57" s="244"/>
      <c r="NTW57" s="246"/>
      <c r="NTX57" s="247"/>
      <c r="NTY57" s="275"/>
      <c r="NTZ57" s="275"/>
      <c r="NUA57" s="275"/>
      <c r="NUB57" s="275"/>
      <c r="NUC57" s="275"/>
      <c r="NUD57" s="275"/>
      <c r="NUE57" s="137"/>
      <c r="NUF57" s="137"/>
      <c r="NUG57" s="135"/>
      <c r="NUH57" s="137"/>
      <c r="NUJ57" s="250"/>
      <c r="NUK57" s="250"/>
      <c r="NUL57" s="243"/>
      <c r="NUM57" s="276"/>
      <c r="NUN57" s="276"/>
      <c r="NUO57" s="276"/>
      <c r="NUP57" s="244"/>
      <c r="NUQ57" s="244"/>
      <c r="NUR57" s="244"/>
      <c r="NUS57" s="245"/>
      <c r="NUT57" s="245"/>
      <c r="NUU57" s="244"/>
      <c r="NUV57" s="246"/>
      <c r="NUW57" s="247"/>
      <c r="NUX57" s="275"/>
      <c r="NUY57" s="275"/>
      <c r="NUZ57" s="275"/>
      <c r="NVA57" s="275"/>
      <c r="NVB57" s="275"/>
      <c r="NVC57" s="275"/>
      <c r="NVD57" s="137"/>
      <c r="NVE57" s="137"/>
      <c r="NVF57" s="135"/>
      <c r="NVG57" s="137"/>
      <c r="NVI57" s="250"/>
      <c r="NVJ57" s="250"/>
      <c r="NVK57" s="243"/>
      <c r="NVL57" s="276"/>
      <c r="NVM57" s="276"/>
      <c r="NVN57" s="276"/>
      <c r="NVO57" s="244"/>
      <c r="NVP57" s="244"/>
      <c r="NVQ57" s="244"/>
      <c r="NVR57" s="245"/>
      <c r="NVS57" s="245"/>
      <c r="NVT57" s="244"/>
      <c r="NVU57" s="246"/>
      <c r="NVV57" s="247"/>
      <c r="NVW57" s="275"/>
      <c r="NVX57" s="275"/>
      <c r="NVY57" s="275"/>
      <c r="NVZ57" s="275"/>
      <c r="NWA57" s="275"/>
      <c r="NWB57" s="275"/>
      <c r="NWC57" s="137"/>
      <c r="NWD57" s="137"/>
      <c r="NWE57" s="135"/>
      <c r="NWF57" s="137"/>
      <c r="NWH57" s="250"/>
      <c r="NWI57" s="250"/>
      <c r="NWJ57" s="243"/>
      <c r="NWK57" s="276"/>
      <c r="NWL57" s="276"/>
      <c r="NWM57" s="276"/>
      <c r="NWN57" s="244"/>
      <c r="NWO57" s="244"/>
      <c r="NWP57" s="244"/>
      <c r="NWQ57" s="245"/>
      <c r="NWR57" s="245"/>
      <c r="NWS57" s="244"/>
      <c r="NWT57" s="246"/>
      <c r="NWU57" s="247"/>
      <c r="NWV57" s="275"/>
      <c r="NWW57" s="275"/>
      <c r="NWX57" s="275"/>
      <c r="NWY57" s="275"/>
      <c r="NWZ57" s="275"/>
      <c r="NXA57" s="275"/>
      <c r="NXB57" s="137"/>
      <c r="NXC57" s="137"/>
      <c r="NXD57" s="135"/>
      <c r="NXE57" s="137"/>
      <c r="NXG57" s="250"/>
      <c r="NXH57" s="250"/>
      <c r="NXI57" s="243"/>
      <c r="NXJ57" s="276"/>
      <c r="NXK57" s="276"/>
      <c r="NXL57" s="276"/>
      <c r="NXM57" s="244"/>
      <c r="NXN57" s="244"/>
      <c r="NXO57" s="244"/>
      <c r="NXP57" s="245"/>
      <c r="NXQ57" s="245"/>
      <c r="NXR57" s="244"/>
      <c r="NXS57" s="246"/>
      <c r="NXT57" s="247"/>
      <c r="NXU57" s="275"/>
      <c r="NXV57" s="275"/>
      <c r="NXW57" s="275"/>
      <c r="NXX57" s="275"/>
      <c r="NXY57" s="275"/>
      <c r="NXZ57" s="275"/>
      <c r="NYA57" s="137"/>
      <c r="NYB57" s="137"/>
      <c r="NYC57" s="135"/>
      <c r="NYD57" s="137"/>
      <c r="NYF57" s="250"/>
      <c r="NYG57" s="250"/>
      <c r="NYH57" s="243"/>
      <c r="NYI57" s="276"/>
      <c r="NYJ57" s="276"/>
      <c r="NYK57" s="276"/>
      <c r="NYL57" s="244"/>
      <c r="NYM57" s="244"/>
      <c r="NYN57" s="244"/>
      <c r="NYO57" s="245"/>
      <c r="NYP57" s="245"/>
      <c r="NYQ57" s="244"/>
      <c r="NYR57" s="246"/>
      <c r="NYS57" s="247"/>
      <c r="NYT57" s="275"/>
      <c r="NYU57" s="275"/>
      <c r="NYV57" s="275"/>
      <c r="NYW57" s="275"/>
      <c r="NYX57" s="275"/>
      <c r="NYY57" s="275"/>
      <c r="NYZ57" s="137"/>
      <c r="NZA57" s="137"/>
      <c r="NZB57" s="135"/>
      <c r="NZC57" s="137"/>
      <c r="NZE57" s="250"/>
      <c r="NZF57" s="250"/>
      <c r="NZG57" s="243"/>
      <c r="NZH57" s="276"/>
      <c r="NZI57" s="276"/>
      <c r="NZJ57" s="276"/>
      <c r="NZK57" s="244"/>
      <c r="NZL57" s="244"/>
      <c r="NZM57" s="244"/>
      <c r="NZN57" s="245"/>
      <c r="NZO57" s="245"/>
      <c r="NZP57" s="244"/>
      <c r="NZQ57" s="246"/>
      <c r="NZR57" s="247"/>
      <c r="NZS57" s="275"/>
      <c r="NZT57" s="275"/>
      <c r="NZU57" s="275"/>
      <c r="NZV57" s="275"/>
      <c r="NZW57" s="275"/>
      <c r="NZX57" s="275"/>
      <c r="NZY57" s="137"/>
      <c r="NZZ57" s="137"/>
      <c r="OAA57" s="135"/>
      <c r="OAB57" s="137"/>
      <c r="OAD57" s="250"/>
      <c r="OAE57" s="250"/>
      <c r="OAF57" s="243"/>
      <c r="OAG57" s="276"/>
      <c r="OAH57" s="276"/>
      <c r="OAI57" s="276"/>
      <c r="OAJ57" s="244"/>
      <c r="OAK57" s="244"/>
      <c r="OAL57" s="244"/>
      <c r="OAM57" s="245"/>
      <c r="OAN57" s="245"/>
      <c r="OAO57" s="244"/>
      <c r="OAP57" s="246"/>
      <c r="OAQ57" s="247"/>
      <c r="OAR57" s="275"/>
      <c r="OAS57" s="275"/>
      <c r="OAT57" s="275"/>
      <c r="OAU57" s="275"/>
      <c r="OAV57" s="275"/>
      <c r="OAW57" s="275"/>
      <c r="OAX57" s="137"/>
      <c r="OAY57" s="137"/>
      <c r="OAZ57" s="135"/>
      <c r="OBA57" s="137"/>
      <c r="OBC57" s="250"/>
      <c r="OBD57" s="250"/>
      <c r="OBE57" s="243"/>
      <c r="OBF57" s="276"/>
      <c r="OBG57" s="276"/>
      <c r="OBH57" s="276"/>
      <c r="OBI57" s="244"/>
      <c r="OBJ57" s="244"/>
      <c r="OBK57" s="244"/>
      <c r="OBL57" s="245"/>
      <c r="OBM57" s="245"/>
      <c r="OBN57" s="244"/>
      <c r="OBO57" s="246"/>
      <c r="OBP57" s="247"/>
      <c r="OBQ57" s="275"/>
      <c r="OBR57" s="275"/>
      <c r="OBS57" s="275"/>
      <c r="OBT57" s="275"/>
      <c r="OBU57" s="275"/>
      <c r="OBV57" s="275"/>
      <c r="OBW57" s="137"/>
      <c r="OBX57" s="137"/>
      <c r="OBY57" s="135"/>
      <c r="OBZ57" s="137"/>
      <c r="OCB57" s="250"/>
      <c r="OCC57" s="250"/>
      <c r="OCD57" s="243"/>
      <c r="OCE57" s="276"/>
      <c r="OCF57" s="276"/>
      <c r="OCG57" s="276"/>
      <c r="OCH57" s="244"/>
      <c r="OCI57" s="244"/>
      <c r="OCJ57" s="244"/>
      <c r="OCK57" s="245"/>
      <c r="OCL57" s="245"/>
      <c r="OCM57" s="244"/>
      <c r="OCN57" s="246"/>
      <c r="OCO57" s="247"/>
      <c r="OCP57" s="275"/>
      <c r="OCQ57" s="275"/>
      <c r="OCR57" s="275"/>
      <c r="OCS57" s="275"/>
      <c r="OCT57" s="275"/>
      <c r="OCU57" s="275"/>
      <c r="OCV57" s="137"/>
      <c r="OCW57" s="137"/>
      <c r="OCX57" s="135"/>
      <c r="OCY57" s="137"/>
      <c r="ODA57" s="250"/>
      <c r="ODB57" s="250"/>
      <c r="ODC57" s="243"/>
      <c r="ODD57" s="276"/>
      <c r="ODE57" s="276"/>
      <c r="ODF57" s="276"/>
      <c r="ODG57" s="244"/>
      <c r="ODH57" s="244"/>
      <c r="ODI57" s="244"/>
      <c r="ODJ57" s="245"/>
      <c r="ODK57" s="245"/>
      <c r="ODL57" s="244"/>
      <c r="ODM57" s="246"/>
      <c r="ODN57" s="247"/>
      <c r="ODO57" s="275"/>
      <c r="ODP57" s="275"/>
      <c r="ODQ57" s="275"/>
      <c r="ODR57" s="275"/>
      <c r="ODS57" s="275"/>
      <c r="ODT57" s="275"/>
      <c r="ODU57" s="137"/>
      <c r="ODV57" s="137"/>
      <c r="ODW57" s="135"/>
      <c r="ODX57" s="137"/>
      <c r="ODZ57" s="250"/>
      <c r="OEA57" s="250"/>
      <c r="OEB57" s="243"/>
      <c r="OEC57" s="276"/>
      <c r="OED57" s="276"/>
      <c r="OEE57" s="276"/>
      <c r="OEF57" s="244"/>
      <c r="OEG57" s="244"/>
      <c r="OEH57" s="244"/>
      <c r="OEI57" s="245"/>
      <c r="OEJ57" s="245"/>
      <c r="OEK57" s="244"/>
      <c r="OEL57" s="246"/>
      <c r="OEM57" s="247"/>
      <c r="OEN57" s="275"/>
      <c r="OEO57" s="275"/>
      <c r="OEP57" s="275"/>
      <c r="OEQ57" s="275"/>
      <c r="OER57" s="275"/>
      <c r="OES57" s="275"/>
      <c r="OET57" s="137"/>
      <c r="OEU57" s="137"/>
      <c r="OEV57" s="135"/>
      <c r="OEW57" s="137"/>
      <c r="OEY57" s="250"/>
      <c r="OEZ57" s="250"/>
      <c r="OFA57" s="243"/>
      <c r="OFB57" s="276"/>
      <c r="OFC57" s="276"/>
      <c r="OFD57" s="276"/>
      <c r="OFE57" s="244"/>
      <c r="OFF57" s="244"/>
      <c r="OFG57" s="244"/>
      <c r="OFH57" s="245"/>
      <c r="OFI57" s="245"/>
      <c r="OFJ57" s="244"/>
      <c r="OFK57" s="246"/>
      <c r="OFL57" s="247"/>
      <c r="OFM57" s="275"/>
      <c r="OFN57" s="275"/>
      <c r="OFO57" s="275"/>
      <c r="OFP57" s="275"/>
      <c r="OFQ57" s="275"/>
      <c r="OFR57" s="275"/>
      <c r="OFS57" s="137"/>
      <c r="OFT57" s="137"/>
      <c r="OFU57" s="135"/>
      <c r="OFV57" s="137"/>
      <c r="OFX57" s="250"/>
      <c r="OFY57" s="250"/>
      <c r="OFZ57" s="243"/>
      <c r="OGA57" s="276"/>
      <c r="OGB57" s="276"/>
      <c r="OGC57" s="276"/>
      <c r="OGD57" s="244"/>
      <c r="OGE57" s="244"/>
      <c r="OGF57" s="244"/>
      <c r="OGG57" s="245"/>
      <c r="OGH57" s="245"/>
      <c r="OGI57" s="244"/>
      <c r="OGJ57" s="246"/>
      <c r="OGK57" s="247"/>
      <c r="OGL57" s="275"/>
      <c r="OGM57" s="275"/>
      <c r="OGN57" s="275"/>
      <c r="OGO57" s="275"/>
      <c r="OGP57" s="275"/>
      <c r="OGQ57" s="275"/>
      <c r="OGR57" s="137"/>
      <c r="OGS57" s="137"/>
      <c r="OGT57" s="135"/>
      <c r="OGU57" s="137"/>
      <c r="OGW57" s="250"/>
      <c r="OGX57" s="250"/>
      <c r="OGY57" s="243"/>
      <c r="OGZ57" s="276"/>
      <c r="OHA57" s="276"/>
      <c r="OHB57" s="276"/>
      <c r="OHC57" s="244"/>
      <c r="OHD57" s="244"/>
      <c r="OHE57" s="244"/>
      <c r="OHF57" s="245"/>
      <c r="OHG57" s="245"/>
      <c r="OHH57" s="244"/>
      <c r="OHI57" s="246"/>
      <c r="OHJ57" s="247"/>
      <c r="OHK57" s="275"/>
      <c r="OHL57" s="275"/>
      <c r="OHM57" s="275"/>
      <c r="OHN57" s="275"/>
      <c r="OHO57" s="275"/>
      <c r="OHP57" s="275"/>
      <c r="OHQ57" s="137"/>
      <c r="OHR57" s="137"/>
      <c r="OHS57" s="135"/>
      <c r="OHT57" s="137"/>
      <c r="OHV57" s="250"/>
      <c r="OHW57" s="250"/>
      <c r="OHX57" s="243"/>
      <c r="OHY57" s="276"/>
      <c r="OHZ57" s="276"/>
      <c r="OIA57" s="276"/>
      <c r="OIB57" s="244"/>
      <c r="OIC57" s="244"/>
      <c r="OID57" s="244"/>
      <c r="OIE57" s="245"/>
      <c r="OIF57" s="245"/>
      <c r="OIG57" s="244"/>
      <c r="OIH57" s="246"/>
      <c r="OII57" s="247"/>
      <c r="OIJ57" s="275"/>
      <c r="OIK57" s="275"/>
      <c r="OIL57" s="275"/>
      <c r="OIM57" s="275"/>
      <c r="OIN57" s="275"/>
      <c r="OIO57" s="275"/>
      <c r="OIP57" s="137"/>
      <c r="OIQ57" s="137"/>
      <c r="OIR57" s="135"/>
      <c r="OIS57" s="137"/>
      <c r="OIU57" s="250"/>
      <c r="OIV57" s="250"/>
      <c r="OIW57" s="243"/>
      <c r="OIX57" s="276"/>
      <c r="OIY57" s="276"/>
      <c r="OIZ57" s="276"/>
      <c r="OJA57" s="244"/>
      <c r="OJB57" s="244"/>
      <c r="OJC57" s="244"/>
      <c r="OJD57" s="245"/>
      <c r="OJE57" s="245"/>
      <c r="OJF57" s="244"/>
      <c r="OJG57" s="246"/>
      <c r="OJH57" s="247"/>
      <c r="OJI57" s="275"/>
      <c r="OJJ57" s="275"/>
      <c r="OJK57" s="275"/>
      <c r="OJL57" s="275"/>
      <c r="OJM57" s="275"/>
      <c r="OJN57" s="275"/>
      <c r="OJO57" s="137"/>
      <c r="OJP57" s="137"/>
      <c r="OJQ57" s="135"/>
      <c r="OJR57" s="137"/>
      <c r="OJT57" s="250"/>
      <c r="OJU57" s="250"/>
      <c r="OJV57" s="243"/>
      <c r="OJW57" s="276"/>
      <c r="OJX57" s="276"/>
      <c r="OJY57" s="276"/>
      <c r="OJZ57" s="244"/>
      <c r="OKA57" s="244"/>
      <c r="OKB57" s="244"/>
      <c r="OKC57" s="245"/>
      <c r="OKD57" s="245"/>
      <c r="OKE57" s="244"/>
      <c r="OKF57" s="246"/>
      <c r="OKG57" s="247"/>
      <c r="OKH57" s="275"/>
      <c r="OKI57" s="275"/>
      <c r="OKJ57" s="275"/>
      <c r="OKK57" s="275"/>
      <c r="OKL57" s="275"/>
      <c r="OKM57" s="275"/>
      <c r="OKN57" s="137"/>
      <c r="OKO57" s="137"/>
      <c r="OKP57" s="135"/>
      <c r="OKQ57" s="137"/>
      <c r="OKS57" s="250"/>
      <c r="OKT57" s="250"/>
      <c r="OKU57" s="243"/>
      <c r="OKV57" s="276"/>
      <c r="OKW57" s="276"/>
      <c r="OKX57" s="276"/>
      <c r="OKY57" s="244"/>
      <c r="OKZ57" s="244"/>
      <c r="OLA57" s="244"/>
      <c r="OLB57" s="245"/>
      <c r="OLC57" s="245"/>
      <c r="OLD57" s="244"/>
      <c r="OLE57" s="246"/>
      <c r="OLF57" s="247"/>
      <c r="OLG57" s="275"/>
      <c r="OLH57" s="275"/>
      <c r="OLI57" s="275"/>
      <c r="OLJ57" s="275"/>
      <c r="OLK57" s="275"/>
      <c r="OLL57" s="275"/>
      <c r="OLM57" s="137"/>
      <c r="OLN57" s="137"/>
      <c r="OLO57" s="135"/>
      <c r="OLP57" s="137"/>
      <c r="OLR57" s="250"/>
      <c r="OLS57" s="250"/>
      <c r="OLT57" s="243"/>
      <c r="OLU57" s="276"/>
      <c r="OLV57" s="276"/>
      <c r="OLW57" s="276"/>
      <c r="OLX57" s="244"/>
      <c r="OLY57" s="244"/>
      <c r="OLZ57" s="244"/>
      <c r="OMA57" s="245"/>
      <c r="OMB57" s="245"/>
      <c r="OMC57" s="244"/>
      <c r="OMD57" s="246"/>
      <c r="OME57" s="247"/>
      <c r="OMF57" s="275"/>
      <c r="OMG57" s="275"/>
      <c r="OMH57" s="275"/>
      <c r="OMI57" s="275"/>
      <c r="OMJ57" s="275"/>
      <c r="OMK57" s="275"/>
      <c r="OML57" s="137"/>
      <c r="OMM57" s="137"/>
      <c r="OMN57" s="135"/>
      <c r="OMO57" s="137"/>
      <c r="OMQ57" s="250"/>
      <c r="OMR57" s="250"/>
      <c r="OMS57" s="243"/>
      <c r="OMT57" s="276"/>
      <c r="OMU57" s="276"/>
      <c r="OMV57" s="276"/>
      <c r="OMW57" s="244"/>
      <c r="OMX57" s="244"/>
      <c r="OMY57" s="244"/>
      <c r="OMZ57" s="245"/>
      <c r="ONA57" s="245"/>
      <c r="ONB57" s="244"/>
      <c r="ONC57" s="246"/>
      <c r="OND57" s="247"/>
      <c r="ONE57" s="275"/>
      <c r="ONF57" s="275"/>
      <c r="ONG57" s="275"/>
      <c r="ONH57" s="275"/>
      <c r="ONI57" s="275"/>
      <c r="ONJ57" s="275"/>
      <c r="ONK57" s="137"/>
      <c r="ONL57" s="137"/>
      <c r="ONM57" s="135"/>
      <c r="ONN57" s="137"/>
      <c r="ONP57" s="250"/>
      <c r="ONQ57" s="250"/>
      <c r="ONR57" s="243"/>
      <c r="ONS57" s="276"/>
      <c r="ONT57" s="276"/>
      <c r="ONU57" s="276"/>
      <c r="ONV57" s="244"/>
      <c r="ONW57" s="244"/>
      <c r="ONX57" s="244"/>
      <c r="ONY57" s="245"/>
      <c r="ONZ57" s="245"/>
      <c r="OOA57" s="244"/>
      <c r="OOB57" s="246"/>
      <c r="OOC57" s="247"/>
      <c r="OOD57" s="275"/>
      <c r="OOE57" s="275"/>
      <c r="OOF57" s="275"/>
      <c r="OOG57" s="275"/>
      <c r="OOH57" s="275"/>
      <c r="OOI57" s="275"/>
      <c r="OOJ57" s="137"/>
      <c r="OOK57" s="137"/>
      <c r="OOL57" s="135"/>
      <c r="OOM57" s="137"/>
      <c r="OOO57" s="250"/>
      <c r="OOP57" s="250"/>
      <c r="OOQ57" s="243"/>
      <c r="OOR57" s="276"/>
      <c r="OOS57" s="276"/>
      <c r="OOT57" s="276"/>
      <c r="OOU57" s="244"/>
      <c r="OOV57" s="244"/>
      <c r="OOW57" s="244"/>
      <c r="OOX57" s="245"/>
      <c r="OOY57" s="245"/>
      <c r="OOZ57" s="244"/>
      <c r="OPA57" s="246"/>
      <c r="OPB57" s="247"/>
      <c r="OPC57" s="275"/>
      <c r="OPD57" s="275"/>
      <c r="OPE57" s="275"/>
      <c r="OPF57" s="275"/>
      <c r="OPG57" s="275"/>
      <c r="OPH57" s="275"/>
      <c r="OPI57" s="137"/>
      <c r="OPJ57" s="137"/>
      <c r="OPK57" s="135"/>
      <c r="OPL57" s="137"/>
      <c r="OPN57" s="250"/>
      <c r="OPO57" s="250"/>
      <c r="OPP57" s="243"/>
      <c r="OPQ57" s="276"/>
      <c r="OPR57" s="276"/>
      <c r="OPS57" s="276"/>
      <c r="OPT57" s="244"/>
      <c r="OPU57" s="244"/>
      <c r="OPV57" s="244"/>
      <c r="OPW57" s="245"/>
      <c r="OPX57" s="245"/>
      <c r="OPY57" s="244"/>
      <c r="OPZ57" s="246"/>
      <c r="OQA57" s="247"/>
      <c r="OQB57" s="275"/>
      <c r="OQC57" s="275"/>
      <c r="OQD57" s="275"/>
      <c r="OQE57" s="275"/>
      <c r="OQF57" s="275"/>
      <c r="OQG57" s="275"/>
      <c r="OQH57" s="137"/>
      <c r="OQI57" s="137"/>
      <c r="OQJ57" s="135"/>
      <c r="OQK57" s="137"/>
      <c r="OQM57" s="250"/>
      <c r="OQN57" s="250"/>
      <c r="OQO57" s="243"/>
      <c r="OQP57" s="276"/>
      <c r="OQQ57" s="276"/>
      <c r="OQR57" s="276"/>
      <c r="OQS57" s="244"/>
      <c r="OQT57" s="244"/>
      <c r="OQU57" s="244"/>
      <c r="OQV57" s="245"/>
      <c r="OQW57" s="245"/>
      <c r="OQX57" s="244"/>
      <c r="OQY57" s="246"/>
      <c r="OQZ57" s="247"/>
      <c r="ORA57" s="275"/>
      <c r="ORB57" s="275"/>
      <c r="ORC57" s="275"/>
      <c r="ORD57" s="275"/>
      <c r="ORE57" s="275"/>
      <c r="ORF57" s="275"/>
      <c r="ORG57" s="137"/>
      <c r="ORH57" s="137"/>
      <c r="ORI57" s="135"/>
      <c r="ORJ57" s="137"/>
      <c r="ORL57" s="250"/>
      <c r="ORM57" s="250"/>
      <c r="ORN57" s="243"/>
      <c r="ORO57" s="276"/>
      <c r="ORP57" s="276"/>
      <c r="ORQ57" s="276"/>
      <c r="ORR57" s="244"/>
      <c r="ORS57" s="244"/>
      <c r="ORT57" s="244"/>
      <c r="ORU57" s="245"/>
      <c r="ORV57" s="245"/>
      <c r="ORW57" s="244"/>
      <c r="ORX57" s="246"/>
      <c r="ORY57" s="247"/>
      <c r="ORZ57" s="275"/>
      <c r="OSA57" s="275"/>
      <c r="OSB57" s="275"/>
      <c r="OSC57" s="275"/>
      <c r="OSD57" s="275"/>
      <c r="OSE57" s="275"/>
      <c r="OSF57" s="137"/>
      <c r="OSG57" s="137"/>
      <c r="OSH57" s="135"/>
      <c r="OSI57" s="137"/>
      <c r="OSK57" s="250"/>
      <c r="OSL57" s="250"/>
      <c r="OSM57" s="243"/>
      <c r="OSN57" s="276"/>
      <c r="OSO57" s="276"/>
      <c r="OSP57" s="276"/>
      <c r="OSQ57" s="244"/>
      <c r="OSR57" s="244"/>
      <c r="OSS57" s="244"/>
      <c r="OST57" s="245"/>
      <c r="OSU57" s="245"/>
      <c r="OSV57" s="244"/>
      <c r="OSW57" s="246"/>
      <c r="OSX57" s="247"/>
      <c r="OSY57" s="275"/>
      <c r="OSZ57" s="275"/>
      <c r="OTA57" s="275"/>
      <c r="OTB57" s="275"/>
      <c r="OTC57" s="275"/>
      <c r="OTD57" s="275"/>
      <c r="OTE57" s="137"/>
      <c r="OTF57" s="137"/>
      <c r="OTG57" s="135"/>
      <c r="OTH57" s="137"/>
      <c r="OTJ57" s="250"/>
      <c r="OTK57" s="250"/>
      <c r="OTL57" s="243"/>
      <c r="OTM57" s="276"/>
      <c r="OTN57" s="276"/>
      <c r="OTO57" s="276"/>
      <c r="OTP57" s="244"/>
      <c r="OTQ57" s="244"/>
      <c r="OTR57" s="244"/>
      <c r="OTS57" s="245"/>
      <c r="OTT57" s="245"/>
      <c r="OTU57" s="244"/>
      <c r="OTV57" s="246"/>
      <c r="OTW57" s="247"/>
      <c r="OTX57" s="275"/>
      <c r="OTY57" s="275"/>
      <c r="OTZ57" s="275"/>
      <c r="OUA57" s="275"/>
      <c r="OUB57" s="275"/>
      <c r="OUC57" s="275"/>
      <c r="OUD57" s="137"/>
      <c r="OUE57" s="137"/>
      <c r="OUF57" s="135"/>
      <c r="OUG57" s="137"/>
      <c r="OUI57" s="250"/>
      <c r="OUJ57" s="250"/>
      <c r="OUK57" s="243"/>
      <c r="OUL57" s="276"/>
      <c r="OUM57" s="276"/>
      <c r="OUN57" s="276"/>
      <c r="OUO57" s="244"/>
      <c r="OUP57" s="244"/>
      <c r="OUQ57" s="244"/>
      <c r="OUR57" s="245"/>
      <c r="OUS57" s="245"/>
      <c r="OUT57" s="244"/>
      <c r="OUU57" s="246"/>
      <c r="OUV57" s="247"/>
      <c r="OUW57" s="275"/>
      <c r="OUX57" s="275"/>
      <c r="OUY57" s="275"/>
      <c r="OUZ57" s="275"/>
      <c r="OVA57" s="275"/>
      <c r="OVB57" s="275"/>
      <c r="OVC57" s="137"/>
      <c r="OVD57" s="137"/>
      <c r="OVE57" s="135"/>
      <c r="OVF57" s="137"/>
      <c r="OVH57" s="250"/>
      <c r="OVI57" s="250"/>
      <c r="OVJ57" s="243"/>
      <c r="OVK57" s="276"/>
      <c r="OVL57" s="276"/>
      <c r="OVM57" s="276"/>
      <c r="OVN57" s="244"/>
      <c r="OVO57" s="244"/>
      <c r="OVP57" s="244"/>
      <c r="OVQ57" s="245"/>
      <c r="OVR57" s="245"/>
      <c r="OVS57" s="244"/>
      <c r="OVT57" s="246"/>
      <c r="OVU57" s="247"/>
      <c r="OVV57" s="275"/>
      <c r="OVW57" s="275"/>
      <c r="OVX57" s="275"/>
      <c r="OVY57" s="275"/>
      <c r="OVZ57" s="275"/>
      <c r="OWA57" s="275"/>
      <c r="OWB57" s="137"/>
      <c r="OWC57" s="137"/>
      <c r="OWD57" s="135"/>
      <c r="OWE57" s="137"/>
      <c r="OWG57" s="250"/>
      <c r="OWH57" s="250"/>
      <c r="OWI57" s="243"/>
      <c r="OWJ57" s="276"/>
      <c r="OWK57" s="276"/>
      <c r="OWL57" s="276"/>
      <c r="OWM57" s="244"/>
      <c r="OWN57" s="244"/>
      <c r="OWO57" s="244"/>
      <c r="OWP57" s="245"/>
      <c r="OWQ57" s="245"/>
      <c r="OWR57" s="244"/>
      <c r="OWS57" s="246"/>
      <c r="OWT57" s="247"/>
      <c r="OWU57" s="275"/>
      <c r="OWV57" s="275"/>
      <c r="OWW57" s="275"/>
      <c r="OWX57" s="275"/>
      <c r="OWY57" s="275"/>
      <c r="OWZ57" s="275"/>
      <c r="OXA57" s="137"/>
      <c r="OXB57" s="137"/>
      <c r="OXC57" s="135"/>
      <c r="OXD57" s="137"/>
      <c r="OXF57" s="250"/>
      <c r="OXG57" s="250"/>
      <c r="OXH57" s="243"/>
      <c r="OXI57" s="276"/>
      <c r="OXJ57" s="276"/>
      <c r="OXK57" s="276"/>
      <c r="OXL57" s="244"/>
      <c r="OXM57" s="244"/>
      <c r="OXN57" s="244"/>
      <c r="OXO57" s="245"/>
      <c r="OXP57" s="245"/>
      <c r="OXQ57" s="244"/>
      <c r="OXR57" s="246"/>
      <c r="OXS57" s="247"/>
      <c r="OXT57" s="275"/>
      <c r="OXU57" s="275"/>
      <c r="OXV57" s="275"/>
      <c r="OXW57" s="275"/>
      <c r="OXX57" s="275"/>
      <c r="OXY57" s="275"/>
      <c r="OXZ57" s="137"/>
      <c r="OYA57" s="137"/>
      <c r="OYB57" s="135"/>
      <c r="OYC57" s="137"/>
      <c r="OYE57" s="250"/>
      <c r="OYF57" s="250"/>
      <c r="OYG57" s="243"/>
      <c r="OYH57" s="276"/>
      <c r="OYI57" s="276"/>
      <c r="OYJ57" s="276"/>
      <c r="OYK57" s="244"/>
      <c r="OYL57" s="244"/>
      <c r="OYM57" s="244"/>
      <c r="OYN57" s="245"/>
      <c r="OYO57" s="245"/>
      <c r="OYP57" s="244"/>
      <c r="OYQ57" s="246"/>
      <c r="OYR57" s="247"/>
      <c r="OYS57" s="275"/>
      <c r="OYT57" s="275"/>
      <c r="OYU57" s="275"/>
      <c r="OYV57" s="275"/>
      <c r="OYW57" s="275"/>
      <c r="OYX57" s="275"/>
      <c r="OYY57" s="137"/>
      <c r="OYZ57" s="137"/>
      <c r="OZA57" s="135"/>
      <c r="OZB57" s="137"/>
      <c r="OZD57" s="250"/>
      <c r="OZE57" s="250"/>
      <c r="OZF57" s="243"/>
      <c r="OZG57" s="276"/>
      <c r="OZH57" s="276"/>
      <c r="OZI57" s="276"/>
      <c r="OZJ57" s="244"/>
      <c r="OZK57" s="244"/>
      <c r="OZL57" s="244"/>
      <c r="OZM57" s="245"/>
      <c r="OZN57" s="245"/>
      <c r="OZO57" s="244"/>
      <c r="OZP57" s="246"/>
      <c r="OZQ57" s="247"/>
      <c r="OZR57" s="275"/>
      <c r="OZS57" s="275"/>
      <c r="OZT57" s="275"/>
      <c r="OZU57" s="275"/>
      <c r="OZV57" s="275"/>
      <c r="OZW57" s="275"/>
      <c r="OZX57" s="137"/>
      <c r="OZY57" s="137"/>
      <c r="OZZ57" s="135"/>
      <c r="PAA57" s="137"/>
      <c r="PAC57" s="250"/>
      <c r="PAD57" s="250"/>
      <c r="PAE57" s="243"/>
      <c r="PAF57" s="276"/>
      <c r="PAG57" s="276"/>
      <c r="PAH57" s="276"/>
      <c r="PAI57" s="244"/>
      <c r="PAJ57" s="244"/>
      <c r="PAK57" s="244"/>
      <c r="PAL57" s="245"/>
      <c r="PAM57" s="245"/>
      <c r="PAN57" s="244"/>
      <c r="PAO57" s="246"/>
      <c r="PAP57" s="247"/>
      <c r="PAQ57" s="275"/>
      <c r="PAR57" s="275"/>
      <c r="PAS57" s="275"/>
      <c r="PAT57" s="275"/>
      <c r="PAU57" s="275"/>
      <c r="PAV57" s="275"/>
      <c r="PAW57" s="137"/>
      <c r="PAX57" s="137"/>
      <c r="PAY57" s="135"/>
      <c r="PAZ57" s="137"/>
      <c r="PBB57" s="250"/>
      <c r="PBC57" s="250"/>
      <c r="PBD57" s="243"/>
      <c r="PBE57" s="276"/>
      <c r="PBF57" s="276"/>
      <c r="PBG57" s="276"/>
      <c r="PBH57" s="244"/>
      <c r="PBI57" s="244"/>
      <c r="PBJ57" s="244"/>
      <c r="PBK57" s="245"/>
      <c r="PBL57" s="245"/>
      <c r="PBM57" s="244"/>
      <c r="PBN57" s="246"/>
      <c r="PBO57" s="247"/>
      <c r="PBP57" s="275"/>
      <c r="PBQ57" s="275"/>
      <c r="PBR57" s="275"/>
      <c r="PBS57" s="275"/>
      <c r="PBT57" s="275"/>
      <c r="PBU57" s="275"/>
      <c r="PBV57" s="137"/>
      <c r="PBW57" s="137"/>
      <c r="PBX57" s="135"/>
      <c r="PBY57" s="137"/>
      <c r="PCA57" s="250"/>
      <c r="PCB57" s="250"/>
      <c r="PCC57" s="243"/>
      <c r="PCD57" s="276"/>
      <c r="PCE57" s="276"/>
      <c r="PCF57" s="276"/>
      <c r="PCG57" s="244"/>
      <c r="PCH57" s="244"/>
      <c r="PCI57" s="244"/>
      <c r="PCJ57" s="245"/>
      <c r="PCK57" s="245"/>
      <c r="PCL57" s="244"/>
      <c r="PCM57" s="246"/>
      <c r="PCN57" s="247"/>
      <c r="PCO57" s="275"/>
      <c r="PCP57" s="275"/>
      <c r="PCQ57" s="275"/>
      <c r="PCR57" s="275"/>
      <c r="PCS57" s="275"/>
      <c r="PCT57" s="275"/>
      <c r="PCU57" s="137"/>
      <c r="PCV57" s="137"/>
      <c r="PCW57" s="135"/>
      <c r="PCX57" s="137"/>
      <c r="PCZ57" s="250"/>
      <c r="PDA57" s="250"/>
      <c r="PDB57" s="243"/>
      <c r="PDC57" s="276"/>
      <c r="PDD57" s="276"/>
      <c r="PDE57" s="276"/>
      <c r="PDF57" s="244"/>
      <c r="PDG57" s="244"/>
      <c r="PDH57" s="244"/>
      <c r="PDI57" s="245"/>
      <c r="PDJ57" s="245"/>
      <c r="PDK57" s="244"/>
      <c r="PDL57" s="246"/>
      <c r="PDM57" s="247"/>
      <c r="PDN57" s="275"/>
      <c r="PDO57" s="275"/>
      <c r="PDP57" s="275"/>
      <c r="PDQ57" s="275"/>
      <c r="PDR57" s="275"/>
      <c r="PDS57" s="275"/>
      <c r="PDT57" s="137"/>
      <c r="PDU57" s="137"/>
      <c r="PDV57" s="135"/>
      <c r="PDW57" s="137"/>
      <c r="PDY57" s="250"/>
      <c r="PDZ57" s="250"/>
      <c r="PEA57" s="243"/>
      <c r="PEB57" s="276"/>
      <c r="PEC57" s="276"/>
      <c r="PED57" s="276"/>
      <c r="PEE57" s="244"/>
      <c r="PEF57" s="244"/>
      <c r="PEG57" s="244"/>
      <c r="PEH57" s="245"/>
      <c r="PEI57" s="245"/>
      <c r="PEJ57" s="244"/>
      <c r="PEK57" s="246"/>
      <c r="PEL57" s="247"/>
      <c r="PEM57" s="275"/>
      <c r="PEN57" s="275"/>
      <c r="PEO57" s="275"/>
      <c r="PEP57" s="275"/>
      <c r="PEQ57" s="275"/>
      <c r="PER57" s="275"/>
      <c r="PES57" s="137"/>
      <c r="PET57" s="137"/>
      <c r="PEU57" s="135"/>
      <c r="PEV57" s="137"/>
      <c r="PEX57" s="250"/>
      <c r="PEY57" s="250"/>
      <c r="PEZ57" s="243"/>
      <c r="PFA57" s="276"/>
      <c r="PFB57" s="276"/>
      <c r="PFC57" s="276"/>
      <c r="PFD57" s="244"/>
      <c r="PFE57" s="244"/>
      <c r="PFF57" s="244"/>
      <c r="PFG57" s="245"/>
      <c r="PFH57" s="245"/>
      <c r="PFI57" s="244"/>
      <c r="PFJ57" s="246"/>
      <c r="PFK57" s="247"/>
      <c r="PFL57" s="275"/>
      <c r="PFM57" s="275"/>
      <c r="PFN57" s="275"/>
      <c r="PFO57" s="275"/>
      <c r="PFP57" s="275"/>
      <c r="PFQ57" s="275"/>
      <c r="PFR57" s="137"/>
      <c r="PFS57" s="137"/>
      <c r="PFT57" s="135"/>
      <c r="PFU57" s="137"/>
      <c r="PFW57" s="250"/>
      <c r="PFX57" s="250"/>
      <c r="PFY57" s="243"/>
      <c r="PFZ57" s="276"/>
      <c r="PGA57" s="276"/>
      <c r="PGB57" s="276"/>
      <c r="PGC57" s="244"/>
      <c r="PGD57" s="244"/>
      <c r="PGE57" s="244"/>
      <c r="PGF57" s="245"/>
      <c r="PGG57" s="245"/>
      <c r="PGH57" s="244"/>
      <c r="PGI57" s="246"/>
      <c r="PGJ57" s="247"/>
      <c r="PGK57" s="275"/>
      <c r="PGL57" s="275"/>
      <c r="PGM57" s="275"/>
      <c r="PGN57" s="275"/>
      <c r="PGO57" s="275"/>
      <c r="PGP57" s="275"/>
      <c r="PGQ57" s="137"/>
      <c r="PGR57" s="137"/>
      <c r="PGS57" s="135"/>
      <c r="PGT57" s="137"/>
      <c r="PGV57" s="250"/>
      <c r="PGW57" s="250"/>
      <c r="PGX57" s="243"/>
      <c r="PGY57" s="276"/>
      <c r="PGZ57" s="276"/>
      <c r="PHA57" s="276"/>
      <c r="PHB57" s="244"/>
      <c r="PHC57" s="244"/>
      <c r="PHD57" s="244"/>
      <c r="PHE57" s="245"/>
      <c r="PHF57" s="245"/>
      <c r="PHG57" s="244"/>
      <c r="PHH57" s="246"/>
      <c r="PHI57" s="247"/>
      <c r="PHJ57" s="275"/>
      <c r="PHK57" s="275"/>
      <c r="PHL57" s="275"/>
      <c r="PHM57" s="275"/>
      <c r="PHN57" s="275"/>
      <c r="PHO57" s="275"/>
      <c r="PHP57" s="137"/>
      <c r="PHQ57" s="137"/>
      <c r="PHR57" s="135"/>
      <c r="PHS57" s="137"/>
      <c r="PHU57" s="250"/>
      <c r="PHV57" s="250"/>
      <c r="PHW57" s="243"/>
      <c r="PHX57" s="276"/>
      <c r="PHY57" s="276"/>
      <c r="PHZ57" s="276"/>
      <c r="PIA57" s="244"/>
      <c r="PIB57" s="244"/>
      <c r="PIC57" s="244"/>
      <c r="PID57" s="245"/>
      <c r="PIE57" s="245"/>
      <c r="PIF57" s="244"/>
      <c r="PIG57" s="246"/>
      <c r="PIH57" s="247"/>
      <c r="PII57" s="275"/>
      <c r="PIJ57" s="275"/>
      <c r="PIK57" s="275"/>
      <c r="PIL57" s="275"/>
      <c r="PIM57" s="275"/>
      <c r="PIN57" s="275"/>
      <c r="PIO57" s="137"/>
      <c r="PIP57" s="137"/>
      <c r="PIQ57" s="135"/>
      <c r="PIR57" s="137"/>
      <c r="PIT57" s="250"/>
      <c r="PIU57" s="250"/>
      <c r="PIV57" s="243"/>
      <c r="PIW57" s="276"/>
      <c r="PIX57" s="276"/>
      <c r="PIY57" s="276"/>
      <c r="PIZ57" s="244"/>
      <c r="PJA57" s="244"/>
      <c r="PJB57" s="244"/>
      <c r="PJC57" s="245"/>
      <c r="PJD57" s="245"/>
      <c r="PJE57" s="244"/>
      <c r="PJF57" s="246"/>
      <c r="PJG57" s="247"/>
      <c r="PJH57" s="275"/>
      <c r="PJI57" s="275"/>
      <c r="PJJ57" s="275"/>
      <c r="PJK57" s="275"/>
      <c r="PJL57" s="275"/>
      <c r="PJM57" s="275"/>
      <c r="PJN57" s="137"/>
      <c r="PJO57" s="137"/>
      <c r="PJP57" s="135"/>
      <c r="PJQ57" s="137"/>
      <c r="PJS57" s="250"/>
      <c r="PJT57" s="250"/>
      <c r="PJU57" s="243"/>
      <c r="PJV57" s="276"/>
      <c r="PJW57" s="276"/>
      <c r="PJX57" s="276"/>
      <c r="PJY57" s="244"/>
      <c r="PJZ57" s="244"/>
      <c r="PKA57" s="244"/>
      <c r="PKB57" s="245"/>
      <c r="PKC57" s="245"/>
      <c r="PKD57" s="244"/>
      <c r="PKE57" s="246"/>
      <c r="PKF57" s="247"/>
      <c r="PKG57" s="275"/>
      <c r="PKH57" s="275"/>
      <c r="PKI57" s="275"/>
      <c r="PKJ57" s="275"/>
      <c r="PKK57" s="275"/>
      <c r="PKL57" s="275"/>
      <c r="PKM57" s="137"/>
      <c r="PKN57" s="137"/>
      <c r="PKO57" s="135"/>
      <c r="PKP57" s="137"/>
      <c r="PKR57" s="250"/>
      <c r="PKS57" s="250"/>
      <c r="PKT57" s="243"/>
      <c r="PKU57" s="276"/>
      <c r="PKV57" s="276"/>
      <c r="PKW57" s="276"/>
      <c r="PKX57" s="244"/>
      <c r="PKY57" s="244"/>
      <c r="PKZ57" s="244"/>
      <c r="PLA57" s="245"/>
      <c r="PLB57" s="245"/>
      <c r="PLC57" s="244"/>
      <c r="PLD57" s="246"/>
      <c r="PLE57" s="247"/>
      <c r="PLF57" s="275"/>
      <c r="PLG57" s="275"/>
      <c r="PLH57" s="275"/>
      <c r="PLI57" s="275"/>
      <c r="PLJ57" s="275"/>
      <c r="PLK57" s="275"/>
      <c r="PLL57" s="137"/>
      <c r="PLM57" s="137"/>
      <c r="PLN57" s="135"/>
      <c r="PLO57" s="137"/>
      <c r="PLQ57" s="250"/>
      <c r="PLR57" s="250"/>
      <c r="PLS57" s="243"/>
      <c r="PLT57" s="276"/>
      <c r="PLU57" s="276"/>
      <c r="PLV57" s="276"/>
      <c r="PLW57" s="244"/>
      <c r="PLX57" s="244"/>
      <c r="PLY57" s="244"/>
      <c r="PLZ57" s="245"/>
      <c r="PMA57" s="245"/>
      <c r="PMB57" s="244"/>
      <c r="PMC57" s="246"/>
      <c r="PMD57" s="247"/>
      <c r="PME57" s="275"/>
      <c r="PMF57" s="275"/>
      <c r="PMG57" s="275"/>
      <c r="PMH57" s="275"/>
      <c r="PMI57" s="275"/>
      <c r="PMJ57" s="275"/>
      <c r="PMK57" s="137"/>
      <c r="PML57" s="137"/>
      <c r="PMM57" s="135"/>
      <c r="PMN57" s="137"/>
      <c r="PMP57" s="250"/>
      <c r="PMQ57" s="250"/>
      <c r="PMR57" s="243"/>
      <c r="PMS57" s="276"/>
      <c r="PMT57" s="276"/>
      <c r="PMU57" s="276"/>
      <c r="PMV57" s="244"/>
      <c r="PMW57" s="244"/>
      <c r="PMX57" s="244"/>
      <c r="PMY57" s="245"/>
      <c r="PMZ57" s="245"/>
      <c r="PNA57" s="244"/>
      <c r="PNB57" s="246"/>
      <c r="PNC57" s="247"/>
      <c r="PND57" s="275"/>
      <c r="PNE57" s="275"/>
      <c r="PNF57" s="275"/>
      <c r="PNG57" s="275"/>
      <c r="PNH57" s="275"/>
      <c r="PNI57" s="275"/>
      <c r="PNJ57" s="137"/>
      <c r="PNK57" s="137"/>
      <c r="PNL57" s="135"/>
      <c r="PNM57" s="137"/>
      <c r="PNO57" s="250"/>
      <c r="PNP57" s="250"/>
      <c r="PNQ57" s="243"/>
      <c r="PNR57" s="276"/>
      <c r="PNS57" s="276"/>
      <c r="PNT57" s="276"/>
      <c r="PNU57" s="244"/>
      <c r="PNV57" s="244"/>
      <c r="PNW57" s="244"/>
      <c r="PNX57" s="245"/>
      <c r="PNY57" s="245"/>
      <c r="PNZ57" s="244"/>
      <c r="POA57" s="246"/>
      <c r="POB57" s="247"/>
      <c r="POC57" s="275"/>
      <c r="POD57" s="275"/>
      <c r="POE57" s="275"/>
      <c r="POF57" s="275"/>
      <c r="POG57" s="275"/>
      <c r="POH57" s="275"/>
      <c r="POI57" s="137"/>
      <c r="POJ57" s="137"/>
      <c r="POK57" s="135"/>
      <c r="POL57" s="137"/>
      <c r="PON57" s="250"/>
      <c r="POO57" s="250"/>
      <c r="POP57" s="243"/>
      <c r="POQ57" s="276"/>
      <c r="POR57" s="276"/>
      <c r="POS57" s="276"/>
      <c r="POT57" s="244"/>
      <c r="POU57" s="244"/>
      <c r="POV57" s="244"/>
      <c r="POW57" s="245"/>
      <c r="POX57" s="245"/>
      <c r="POY57" s="244"/>
      <c r="POZ57" s="246"/>
      <c r="PPA57" s="247"/>
      <c r="PPB57" s="275"/>
      <c r="PPC57" s="275"/>
      <c r="PPD57" s="275"/>
      <c r="PPE57" s="275"/>
      <c r="PPF57" s="275"/>
      <c r="PPG57" s="275"/>
      <c r="PPH57" s="137"/>
      <c r="PPI57" s="137"/>
      <c r="PPJ57" s="135"/>
      <c r="PPK57" s="137"/>
      <c r="PPM57" s="250"/>
      <c r="PPN57" s="250"/>
      <c r="PPO57" s="243"/>
      <c r="PPP57" s="276"/>
      <c r="PPQ57" s="276"/>
      <c r="PPR57" s="276"/>
      <c r="PPS57" s="244"/>
      <c r="PPT57" s="244"/>
      <c r="PPU57" s="244"/>
      <c r="PPV57" s="245"/>
      <c r="PPW57" s="245"/>
      <c r="PPX57" s="244"/>
      <c r="PPY57" s="246"/>
      <c r="PPZ57" s="247"/>
      <c r="PQA57" s="275"/>
      <c r="PQB57" s="275"/>
      <c r="PQC57" s="275"/>
      <c r="PQD57" s="275"/>
      <c r="PQE57" s="275"/>
      <c r="PQF57" s="275"/>
      <c r="PQG57" s="137"/>
      <c r="PQH57" s="137"/>
      <c r="PQI57" s="135"/>
      <c r="PQJ57" s="137"/>
      <c r="PQL57" s="250"/>
      <c r="PQM57" s="250"/>
      <c r="PQN57" s="243"/>
      <c r="PQO57" s="276"/>
      <c r="PQP57" s="276"/>
      <c r="PQQ57" s="276"/>
      <c r="PQR57" s="244"/>
      <c r="PQS57" s="244"/>
      <c r="PQT57" s="244"/>
      <c r="PQU57" s="245"/>
      <c r="PQV57" s="245"/>
      <c r="PQW57" s="244"/>
      <c r="PQX57" s="246"/>
      <c r="PQY57" s="247"/>
      <c r="PQZ57" s="275"/>
      <c r="PRA57" s="275"/>
      <c r="PRB57" s="275"/>
      <c r="PRC57" s="275"/>
      <c r="PRD57" s="275"/>
      <c r="PRE57" s="275"/>
      <c r="PRF57" s="137"/>
      <c r="PRG57" s="137"/>
      <c r="PRH57" s="135"/>
      <c r="PRI57" s="137"/>
      <c r="PRK57" s="250"/>
      <c r="PRL57" s="250"/>
      <c r="PRM57" s="243"/>
      <c r="PRN57" s="276"/>
      <c r="PRO57" s="276"/>
      <c r="PRP57" s="276"/>
      <c r="PRQ57" s="244"/>
      <c r="PRR57" s="244"/>
      <c r="PRS57" s="244"/>
      <c r="PRT57" s="245"/>
      <c r="PRU57" s="245"/>
      <c r="PRV57" s="244"/>
      <c r="PRW57" s="246"/>
      <c r="PRX57" s="247"/>
      <c r="PRY57" s="275"/>
      <c r="PRZ57" s="275"/>
      <c r="PSA57" s="275"/>
      <c r="PSB57" s="275"/>
      <c r="PSC57" s="275"/>
      <c r="PSD57" s="275"/>
      <c r="PSE57" s="137"/>
      <c r="PSF57" s="137"/>
      <c r="PSG57" s="135"/>
      <c r="PSH57" s="137"/>
      <c r="PSJ57" s="250"/>
      <c r="PSK57" s="250"/>
      <c r="PSL57" s="243"/>
      <c r="PSM57" s="276"/>
      <c r="PSN57" s="276"/>
      <c r="PSO57" s="276"/>
      <c r="PSP57" s="244"/>
      <c r="PSQ57" s="244"/>
      <c r="PSR57" s="244"/>
      <c r="PSS57" s="245"/>
      <c r="PST57" s="245"/>
      <c r="PSU57" s="244"/>
      <c r="PSV57" s="246"/>
      <c r="PSW57" s="247"/>
      <c r="PSX57" s="275"/>
      <c r="PSY57" s="275"/>
      <c r="PSZ57" s="275"/>
      <c r="PTA57" s="275"/>
      <c r="PTB57" s="275"/>
      <c r="PTC57" s="275"/>
      <c r="PTD57" s="137"/>
      <c r="PTE57" s="137"/>
      <c r="PTF57" s="135"/>
      <c r="PTG57" s="137"/>
      <c r="PTI57" s="250"/>
      <c r="PTJ57" s="250"/>
      <c r="PTK57" s="243"/>
      <c r="PTL57" s="276"/>
      <c r="PTM57" s="276"/>
      <c r="PTN57" s="276"/>
      <c r="PTO57" s="244"/>
      <c r="PTP57" s="244"/>
      <c r="PTQ57" s="244"/>
      <c r="PTR57" s="245"/>
      <c r="PTS57" s="245"/>
      <c r="PTT57" s="244"/>
      <c r="PTU57" s="246"/>
      <c r="PTV57" s="247"/>
      <c r="PTW57" s="275"/>
      <c r="PTX57" s="275"/>
      <c r="PTY57" s="275"/>
      <c r="PTZ57" s="275"/>
      <c r="PUA57" s="275"/>
      <c r="PUB57" s="275"/>
      <c r="PUC57" s="137"/>
      <c r="PUD57" s="137"/>
      <c r="PUE57" s="135"/>
      <c r="PUF57" s="137"/>
      <c r="PUH57" s="250"/>
      <c r="PUI57" s="250"/>
      <c r="PUJ57" s="243"/>
      <c r="PUK57" s="276"/>
      <c r="PUL57" s="276"/>
      <c r="PUM57" s="276"/>
      <c r="PUN57" s="244"/>
      <c r="PUO57" s="244"/>
      <c r="PUP57" s="244"/>
      <c r="PUQ57" s="245"/>
      <c r="PUR57" s="245"/>
      <c r="PUS57" s="244"/>
      <c r="PUT57" s="246"/>
      <c r="PUU57" s="247"/>
      <c r="PUV57" s="275"/>
      <c r="PUW57" s="275"/>
      <c r="PUX57" s="275"/>
      <c r="PUY57" s="275"/>
      <c r="PUZ57" s="275"/>
      <c r="PVA57" s="275"/>
      <c r="PVB57" s="137"/>
      <c r="PVC57" s="137"/>
      <c r="PVD57" s="135"/>
      <c r="PVE57" s="137"/>
      <c r="PVG57" s="250"/>
      <c r="PVH57" s="250"/>
      <c r="PVI57" s="243"/>
      <c r="PVJ57" s="276"/>
      <c r="PVK57" s="276"/>
      <c r="PVL57" s="276"/>
      <c r="PVM57" s="244"/>
      <c r="PVN57" s="244"/>
      <c r="PVO57" s="244"/>
      <c r="PVP57" s="245"/>
      <c r="PVQ57" s="245"/>
      <c r="PVR57" s="244"/>
      <c r="PVS57" s="246"/>
      <c r="PVT57" s="247"/>
      <c r="PVU57" s="275"/>
      <c r="PVV57" s="275"/>
      <c r="PVW57" s="275"/>
      <c r="PVX57" s="275"/>
      <c r="PVY57" s="275"/>
      <c r="PVZ57" s="275"/>
      <c r="PWA57" s="137"/>
      <c r="PWB57" s="137"/>
      <c r="PWC57" s="135"/>
      <c r="PWD57" s="137"/>
      <c r="PWF57" s="250"/>
      <c r="PWG57" s="250"/>
      <c r="PWH57" s="243"/>
      <c r="PWI57" s="276"/>
      <c r="PWJ57" s="276"/>
      <c r="PWK57" s="276"/>
      <c r="PWL57" s="244"/>
      <c r="PWM57" s="244"/>
      <c r="PWN57" s="244"/>
      <c r="PWO57" s="245"/>
      <c r="PWP57" s="245"/>
      <c r="PWQ57" s="244"/>
      <c r="PWR57" s="246"/>
      <c r="PWS57" s="247"/>
      <c r="PWT57" s="275"/>
      <c r="PWU57" s="275"/>
      <c r="PWV57" s="275"/>
      <c r="PWW57" s="275"/>
      <c r="PWX57" s="275"/>
      <c r="PWY57" s="275"/>
      <c r="PWZ57" s="137"/>
      <c r="PXA57" s="137"/>
      <c r="PXB57" s="135"/>
      <c r="PXC57" s="137"/>
      <c r="PXE57" s="250"/>
      <c r="PXF57" s="250"/>
      <c r="PXG57" s="243"/>
      <c r="PXH57" s="276"/>
      <c r="PXI57" s="276"/>
      <c r="PXJ57" s="276"/>
      <c r="PXK57" s="244"/>
      <c r="PXL57" s="244"/>
      <c r="PXM57" s="244"/>
      <c r="PXN57" s="245"/>
      <c r="PXO57" s="245"/>
      <c r="PXP57" s="244"/>
      <c r="PXQ57" s="246"/>
      <c r="PXR57" s="247"/>
      <c r="PXS57" s="275"/>
      <c r="PXT57" s="275"/>
      <c r="PXU57" s="275"/>
      <c r="PXV57" s="275"/>
      <c r="PXW57" s="275"/>
      <c r="PXX57" s="275"/>
      <c r="PXY57" s="137"/>
      <c r="PXZ57" s="137"/>
      <c r="PYA57" s="135"/>
      <c r="PYB57" s="137"/>
      <c r="PYD57" s="250"/>
      <c r="PYE57" s="250"/>
      <c r="PYF57" s="243"/>
      <c r="PYG57" s="276"/>
      <c r="PYH57" s="276"/>
      <c r="PYI57" s="276"/>
      <c r="PYJ57" s="244"/>
      <c r="PYK57" s="244"/>
      <c r="PYL57" s="244"/>
      <c r="PYM57" s="245"/>
      <c r="PYN57" s="245"/>
      <c r="PYO57" s="244"/>
      <c r="PYP57" s="246"/>
      <c r="PYQ57" s="247"/>
      <c r="PYR57" s="275"/>
      <c r="PYS57" s="275"/>
      <c r="PYT57" s="275"/>
      <c r="PYU57" s="275"/>
      <c r="PYV57" s="275"/>
      <c r="PYW57" s="275"/>
      <c r="PYX57" s="137"/>
      <c r="PYY57" s="137"/>
      <c r="PYZ57" s="135"/>
      <c r="PZA57" s="137"/>
      <c r="PZC57" s="250"/>
      <c r="PZD57" s="250"/>
      <c r="PZE57" s="243"/>
      <c r="PZF57" s="276"/>
      <c r="PZG57" s="276"/>
      <c r="PZH57" s="276"/>
      <c r="PZI57" s="244"/>
      <c r="PZJ57" s="244"/>
      <c r="PZK57" s="244"/>
      <c r="PZL57" s="245"/>
      <c r="PZM57" s="245"/>
      <c r="PZN57" s="244"/>
      <c r="PZO57" s="246"/>
      <c r="PZP57" s="247"/>
      <c r="PZQ57" s="275"/>
      <c r="PZR57" s="275"/>
      <c r="PZS57" s="275"/>
      <c r="PZT57" s="275"/>
      <c r="PZU57" s="275"/>
      <c r="PZV57" s="275"/>
      <c r="PZW57" s="137"/>
      <c r="PZX57" s="137"/>
      <c r="PZY57" s="135"/>
      <c r="PZZ57" s="137"/>
      <c r="QAB57" s="250"/>
      <c r="QAC57" s="250"/>
      <c r="QAD57" s="243"/>
      <c r="QAE57" s="276"/>
      <c r="QAF57" s="276"/>
      <c r="QAG57" s="276"/>
      <c r="QAH57" s="244"/>
      <c r="QAI57" s="244"/>
      <c r="QAJ57" s="244"/>
      <c r="QAK57" s="245"/>
      <c r="QAL57" s="245"/>
      <c r="QAM57" s="244"/>
      <c r="QAN57" s="246"/>
      <c r="QAO57" s="247"/>
      <c r="QAP57" s="275"/>
      <c r="QAQ57" s="275"/>
      <c r="QAR57" s="275"/>
      <c r="QAS57" s="275"/>
      <c r="QAT57" s="275"/>
      <c r="QAU57" s="275"/>
      <c r="QAV57" s="137"/>
      <c r="QAW57" s="137"/>
      <c r="QAX57" s="135"/>
      <c r="QAY57" s="137"/>
      <c r="QBA57" s="250"/>
      <c r="QBB57" s="250"/>
      <c r="QBC57" s="243"/>
      <c r="QBD57" s="276"/>
      <c r="QBE57" s="276"/>
      <c r="QBF57" s="276"/>
      <c r="QBG57" s="244"/>
      <c r="QBH57" s="244"/>
      <c r="QBI57" s="244"/>
      <c r="QBJ57" s="245"/>
      <c r="QBK57" s="245"/>
      <c r="QBL57" s="244"/>
      <c r="QBM57" s="246"/>
      <c r="QBN57" s="247"/>
      <c r="QBO57" s="275"/>
      <c r="QBP57" s="275"/>
      <c r="QBQ57" s="275"/>
      <c r="QBR57" s="275"/>
      <c r="QBS57" s="275"/>
      <c r="QBT57" s="275"/>
      <c r="QBU57" s="137"/>
      <c r="QBV57" s="137"/>
      <c r="QBW57" s="135"/>
      <c r="QBX57" s="137"/>
      <c r="QBZ57" s="250"/>
      <c r="QCA57" s="250"/>
      <c r="QCB57" s="243"/>
      <c r="QCC57" s="276"/>
      <c r="QCD57" s="276"/>
      <c r="QCE57" s="276"/>
      <c r="QCF57" s="244"/>
      <c r="QCG57" s="244"/>
      <c r="QCH57" s="244"/>
      <c r="QCI57" s="245"/>
      <c r="QCJ57" s="245"/>
      <c r="QCK57" s="244"/>
      <c r="QCL57" s="246"/>
      <c r="QCM57" s="247"/>
      <c r="QCN57" s="275"/>
      <c r="QCO57" s="275"/>
      <c r="QCP57" s="275"/>
      <c r="QCQ57" s="275"/>
      <c r="QCR57" s="275"/>
      <c r="QCS57" s="275"/>
      <c r="QCT57" s="137"/>
      <c r="QCU57" s="137"/>
      <c r="QCV57" s="135"/>
      <c r="QCW57" s="137"/>
      <c r="QCY57" s="250"/>
      <c r="QCZ57" s="250"/>
      <c r="QDA57" s="243"/>
      <c r="QDB57" s="276"/>
      <c r="QDC57" s="276"/>
      <c r="QDD57" s="276"/>
      <c r="QDE57" s="244"/>
      <c r="QDF57" s="244"/>
      <c r="QDG57" s="244"/>
      <c r="QDH57" s="245"/>
      <c r="QDI57" s="245"/>
      <c r="QDJ57" s="244"/>
      <c r="QDK57" s="246"/>
      <c r="QDL57" s="247"/>
      <c r="QDM57" s="275"/>
      <c r="QDN57" s="275"/>
      <c r="QDO57" s="275"/>
      <c r="QDP57" s="275"/>
      <c r="QDQ57" s="275"/>
      <c r="QDR57" s="275"/>
      <c r="QDS57" s="137"/>
      <c r="QDT57" s="137"/>
      <c r="QDU57" s="135"/>
      <c r="QDV57" s="137"/>
      <c r="QDX57" s="250"/>
      <c r="QDY57" s="250"/>
      <c r="QDZ57" s="243"/>
      <c r="QEA57" s="276"/>
      <c r="QEB57" s="276"/>
      <c r="QEC57" s="276"/>
      <c r="QED57" s="244"/>
      <c r="QEE57" s="244"/>
      <c r="QEF57" s="244"/>
      <c r="QEG57" s="245"/>
      <c r="QEH57" s="245"/>
      <c r="QEI57" s="244"/>
      <c r="QEJ57" s="246"/>
      <c r="QEK57" s="247"/>
      <c r="QEL57" s="275"/>
      <c r="QEM57" s="275"/>
      <c r="QEN57" s="275"/>
      <c r="QEO57" s="275"/>
      <c r="QEP57" s="275"/>
      <c r="QEQ57" s="275"/>
      <c r="QER57" s="137"/>
      <c r="QES57" s="137"/>
      <c r="QET57" s="135"/>
      <c r="QEU57" s="137"/>
      <c r="QEW57" s="250"/>
      <c r="QEX57" s="250"/>
      <c r="QEY57" s="243"/>
      <c r="QEZ57" s="276"/>
      <c r="QFA57" s="276"/>
      <c r="QFB57" s="276"/>
      <c r="QFC57" s="244"/>
      <c r="QFD57" s="244"/>
      <c r="QFE57" s="244"/>
      <c r="QFF57" s="245"/>
      <c r="QFG57" s="245"/>
      <c r="QFH57" s="244"/>
      <c r="QFI57" s="246"/>
      <c r="QFJ57" s="247"/>
      <c r="QFK57" s="275"/>
      <c r="QFL57" s="275"/>
      <c r="QFM57" s="275"/>
      <c r="QFN57" s="275"/>
      <c r="QFO57" s="275"/>
      <c r="QFP57" s="275"/>
      <c r="QFQ57" s="137"/>
      <c r="QFR57" s="137"/>
      <c r="QFS57" s="135"/>
      <c r="QFT57" s="137"/>
      <c r="QFV57" s="250"/>
      <c r="QFW57" s="250"/>
      <c r="QFX57" s="243"/>
      <c r="QFY57" s="276"/>
      <c r="QFZ57" s="276"/>
      <c r="QGA57" s="276"/>
      <c r="QGB57" s="244"/>
      <c r="QGC57" s="244"/>
      <c r="QGD57" s="244"/>
      <c r="QGE57" s="245"/>
      <c r="QGF57" s="245"/>
      <c r="QGG57" s="244"/>
      <c r="QGH57" s="246"/>
      <c r="QGI57" s="247"/>
      <c r="QGJ57" s="275"/>
      <c r="QGK57" s="275"/>
      <c r="QGL57" s="275"/>
      <c r="QGM57" s="275"/>
      <c r="QGN57" s="275"/>
      <c r="QGO57" s="275"/>
      <c r="QGP57" s="137"/>
      <c r="QGQ57" s="137"/>
      <c r="QGR57" s="135"/>
      <c r="QGS57" s="137"/>
      <c r="QGU57" s="250"/>
      <c r="QGV57" s="250"/>
      <c r="QGW57" s="243"/>
      <c r="QGX57" s="276"/>
      <c r="QGY57" s="276"/>
      <c r="QGZ57" s="276"/>
      <c r="QHA57" s="244"/>
      <c r="QHB57" s="244"/>
      <c r="QHC57" s="244"/>
      <c r="QHD57" s="245"/>
      <c r="QHE57" s="245"/>
      <c r="QHF57" s="244"/>
      <c r="QHG57" s="246"/>
      <c r="QHH57" s="247"/>
      <c r="QHI57" s="275"/>
      <c r="QHJ57" s="275"/>
      <c r="QHK57" s="275"/>
      <c r="QHL57" s="275"/>
      <c r="QHM57" s="275"/>
      <c r="QHN57" s="275"/>
      <c r="QHO57" s="137"/>
      <c r="QHP57" s="137"/>
      <c r="QHQ57" s="135"/>
      <c r="QHR57" s="137"/>
      <c r="QHT57" s="250"/>
      <c r="QHU57" s="250"/>
      <c r="QHV57" s="243"/>
      <c r="QHW57" s="276"/>
      <c r="QHX57" s="276"/>
      <c r="QHY57" s="276"/>
      <c r="QHZ57" s="244"/>
      <c r="QIA57" s="244"/>
      <c r="QIB57" s="244"/>
      <c r="QIC57" s="245"/>
      <c r="QID57" s="245"/>
      <c r="QIE57" s="244"/>
      <c r="QIF57" s="246"/>
      <c r="QIG57" s="247"/>
      <c r="QIH57" s="275"/>
      <c r="QII57" s="275"/>
      <c r="QIJ57" s="275"/>
      <c r="QIK57" s="275"/>
      <c r="QIL57" s="275"/>
      <c r="QIM57" s="275"/>
      <c r="QIN57" s="137"/>
      <c r="QIO57" s="137"/>
      <c r="QIP57" s="135"/>
      <c r="QIQ57" s="137"/>
      <c r="QIS57" s="250"/>
      <c r="QIT57" s="250"/>
      <c r="QIU57" s="243"/>
      <c r="QIV57" s="276"/>
      <c r="QIW57" s="276"/>
      <c r="QIX57" s="276"/>
      <c r="QIY57" s="244"/>
      <c r="QIZ57" s="244"/>
      <c r="QJA57" s="244"/>
      <c r="QJB57" s="245"/>
      <c r="QJC57" s="245"/>
      <c r="QJD57" s="244"/>
      <c r="QJE57" s="246"/>
      <c r="QJF57" s="247"/>
      <c r="QJG57" s="275"/>
      <c r="QJH57" s="275"/>
      <c r="QJI57" s="275"/>
      <c r="QJJ57" s="275"/>
      <c r="QJK57" s="275"/>
      <c r="QJL57" s="275"/>
      <c r="QJM57" s="137"/>
      <c r="QJN57" s="137"/>
      <c r="QJO57" s="135"/>
      <c r="QJP57" s="137"/>
      <c r="QJR57" s="250"/>
      <c r="QJS57" s="250"/>
      <c r="QJT57" s="243"/>
      <c r="QJU57" s="276"/>
      <c r="QJV57" s="276"/>
      <c r="QJW57" s="276"/>
      <c r="QJX57" s="244"/>
      <c r="QJY57" s="244"/>
      <c r="QJZ57" s="244"/>
      <c r="QKA57" s="245"/>
      <c r="QKB57" s="245"/>
      <c r="QKC57" s="244"/>
      <c r="QKD57" s="246"/>
      <c r="QKE57" s="247"/>
      <c r="QKF57" s="275"/>
      <c r="QKG57" s="275"/>
      <c r="QKH57" s="275"/>
      <c r="QKI57" s="275"/>
      <c r="QKJ57" s="275"/>
      <c r="QKK57" s="275"/>
      <c r="QKL57" s="137"/>
      <c r="QKM57" s="137"/>
      <c r="QKN57" s="135"/>
      <c r="QKO57" s="137"/>
      <c r="QKQ57" s="250"/>
      <c r="QKR57" s="250"/>
      <c r="QKS57" s="243"/>
      <c r="QKT57" s="276"/>
      <c r="QKU57" s="276"/>
      <c r="QKV57" s="276"/>
      <c r="QKW57" s="244"/>
      <c r="QKX57" s="244"/>
      <c r="QKY57" s="244"/>
      <c r="QKZ57" s="245"/>
      <c r="QLA57" s="245"/>
      <c r="QLB57" s="244"/>
      <c r="QLC57" s="246"/>
      <c r="QLD57" s="247"/>
      <c r="QLE57" s="275"/>
      <c r="QLF57" s="275"/>
      <c r="QLG57" s="275"/>
      <c r="QLH57" s="275"/>
      <c r="QLI57" s="275"/>
      <c r="QLJ57" s="275"/>
      <c r="QLK57" s="137"/>
      <c r="QLL57" s="137"/>
      <c r="QLM57" s="135"/>
      <c r="QLN57" s="137"/>
      <c r="QLP57" s="250"/>
      <c r="QLQ57" s="250"/>
      <c r="QLR57" s="243"/>
      <c r="QLS57" s="276"/>
      <c r="QLT57" s="276"/>
      <c r="QLU57" s="276"/>
      <c r="QLV57" s="244"/>
      <c r="QLW57" s="244"/>
      <c r="QLX57" s="244"/>
      <c r="QLY57" s="245"/>
      <c r="QLZ57" s="245"/>
      <c r="QMA57" s="244"/>
      <c r="QMB57" s="246"/>
      <c r="QMC57" s="247"/>
      <c r="QMD57" s="275"/>
      <c r="QME57" s="275"/>
      <c r="QMF57" s="275"/>
      <c r="QMG57" s="275"/>
      <c r="QMH57" s="275"/>
      <c r="QMI57" s="275"/>
      <c r="QMJ57" s="137"/>
      <c r="QMK57" s="137"/>
      <c r="QML57" s="135"/>
      <c r="QMM57" s="137"/>
      <c r="QMO57" s="250"/>
      <c r="QMP57" s="250"/>
      <c r="QMQ57" s="243"/>
      <c r="QMR57" s="276"/>
      <c r="QMS57" s="276"/>
      <c r="QMT57" s="276"/>
      <c r="QMU57" s="244"/>
      <c r="QMV57" s="244"/>
      <c r="QMW57" s="244"/>
      <c r="QMX57" s="245"/>
      <c r="QMY57" s="245"/>
      <c r="QMZ57" s="244"/>
      <c r="QNA57" s="246"/>
      <c r="QNB57" s="247"/>
      <c r="QNC57" s="275"/>
      <c r="QND57" s="275"/>
      <c r="QNE57" s="275"/>
      <c r="QNF57" s="275"/>
      <c r="QNG57" s="275"/>
      <c r="QNH57" s="275"/>
      <c r="QNI57" s="137"/>
      <c r="QNJ57" s="137"/>
      <c r="QNK57" s="135"/>
      <c r="QNL57" s="137"/>
      <c r="QNN57" s="250"/>
      <c r="QNO57" s="250"/>
      <c r="QNP57" s="243"/>
      <c r="QNQ57" s="276"/>
      <c r="QNR57" s="276"/>
      <c r="QNS57" s="276"/>
      <c r="QNT57" s="244"/>
      <c r="QNU57" s="244"/>
      <c r="QNV57" s="244"/>
      <c r="QNW57" s="245"/>
      <c r="QNX57" s="245"/>
      <c r="QNY57" s="244"/>
      <c r="QNZ57" s="246"/>
      <c r="QOA57" s="247"/>
      <c r="QOB57" s="275"/>
      <c r="QOC57" s="275"/>
      <c r="QOD57" s="275"/>
      <c r="QOE57" s="275"/>
      <c r="QOF57" s="275"/>
      <c r="QOG57" s="275"/>
      <c r="QOH57" s="137"/>
      <c r="QOI57" s="137"/>
      <c r="QOJ57" s="135"/>
      <c r="QOK57" s="137"/>
      <c r="QOM57" s="250"/>
      <c r="QON57" s="250"/>
      <c r="QOO57" s="243"/>
      <c r="QOP57" s="276"/>
      <c r="QOQ57" s="276"/>
      <c r="QOR57" s="276"/>
      <c r="QOS57" s="244"/>
      <c r="QOT57" s="244"/>
      <c r="QOU57" s="244"/>
      <c r="QOV57" s="245"/>
      <c r="QOW57" s="245"/>
      <c r="QOX57" s="244"/>
      <c r="QOY57" s="246"/>
      <c r="QOZ57" s="247"/>
      <c r="QPA57" s="275"/>
      <c r="QPB57" s="275"/>
      <c r="QPC57" s="275"/>
      <c r="QPD57" s="275"/>
      <c r="QPE57" s="275"/>
      <c r="QPF57" s="275"/>
      <c r="QPG57" s="137"/>
      <c r="QPH57" s="137"/>
      <c r="QPI57" s="135"/>
      <c r="QPJ57" s="137"/>
      <c r="QPL57" s="250"/>
      <c r="QPM57" s="250"/>
      <c r="QPN57" s="243"/>
      <c r="QPO57" s="276"/>
      <c r="QPP57" s="276"/>
      <c r="QPQ57" s="276"/>
      <c r="QPR57" s="244"/>
      <c r="QPS57" s="244"/>
      <c r="QPT57" s="244"/>
      <c r="QPU57" s="245"/>
      <c r="QPV57" s="245"/>
      <c r="QPW57" s="244"/>
      <c r="QPX57" s="246"/>
      <c r="QPY57" s="247"/>
      <c r="QPZ57" s="275"/>
      <c r="QQA57" s="275"/>
      <c r="QQB57" s="275"/>
      <c r="QQC57" s="275"/>
      <c r="QQD57" s="275"/>
      <c r="QQE57" s="275"/>
      <c r="QQF57" s="137"/>
      <c r="QQG57" s="137"/>
      <c r="QQH57" s="135"/>
      <c r="QQI57" s="137"/>
      <c r="QQK57" s="250"/>
      <c r="QQL57" s="250"/>
      <c r="QQM57" s="243"/>
      <c r="QQN57" s="276"/>
      <c r="QQO57" s="276"/>
      <c r="QQP57" s="276"/>
      <c r="QQQ57" s="244"/>
      <c r="QQR57" s="244"/>
      <c r="QQS57" s="244"/>
      <c r="QQT57" s="245"/>
      <c r="QQU57" s="245"/>
      <c r="QQV57" s="244"/>
      <c r="QQW57" s="246"/>
      <c r="QQX57" s="247"/>
      <c r="QQY57" s="275"/>
      <c r="QQZ57" s="275"/>
      <c r="QRA57" s="275"/>
      <c r="QRB57" s="275"/>
      <c r="QRC57" s="275"/>
      <c r="QRD57" s="275"/>
      <c r="QRE57" s="137"/>
      <c r="QRF57" s="137"/>
      <c r="QRG57" s="135"/>
      <c r="QRH57" s="137"/>
      <c r="QRJ57" s="250"/>
      <c r="QRK57" s="250"/>
      <c r="QRL57" s="243"/>
      <c r="QRM57" s="276"/>
      <c r="QRN57" s="276"/>
      <c r="QRO57" s="276"/>
      <c r="QRP57" s="244"/>
      <c r="QRQ57" s="244"/>
      <c r="QRR57" s="244"/>
      <c r="QRS57" s="245"/>
      <c r="QRT57" s="245"/>
      <c r="QRU57" s="244"/>
      <c r="QRV57" s="246"/>
      <c r="QRW57" s="247"/>
      <c r="QRX57" s="275"/>
      <c r="QRY57" s="275"/>
      <c r="QRZ57" s="275"/>
      <c r="QSA57" s="275"/>
      <c r="QSB57" s="275"/>
      <c r="QSC57" s="275"/>
      <c r="QSD57" s="137"/>
      <c r="QSE57" s="137"/>
      <c r="QSF57" s="135"/>
      <c r="QSG57" s="137"/>
      <c r="QSI57" s="250"/>
      <c r="QSJ57" s="250"/>
      <c r="QSK57" s="243"/>
      <c r="QSL57" s="276"/>
      <c r="QSM57" s="276"/>
      <c r="QSN57" s="276"/>
      <c r="QSO57" s="244"/>
      <c r="QSP57" s="244"/>
      <c r="QSQ57" s="244"/>
      <c r="QSR57" s="245"/>
      <c r="QSS57" s="245"/>
      <c r="QST57" s="244"/>
      <c r="QSU57" s="246"/>
      <c r="QSV57" s="247"/>
      <c r="QSW57" s="275"/>
      <c r="QSX57" s="275"/>
      <c r="QSY57" s="275"/>
      <c r="QSZ57" s="275"/>
      <c r="QTA57" s="275"/>
      <c r="QTB57" s="275"/>
      <c r="QTC57" s="137"/>
      <c r="QTD57" s="137"/>
      <c r="QTE57" s="135"/>
      <c r="QTF57" s="137"/>
      <c r="QTH57" s="250"/>
      <c r="QTI57" s="250"/>
      <c r="QTJ57" s="243"/>
      <c r="QTK57" s="276"/>
      <c r="QTL57" s="276"/>
      <c r="QTM57" s="276"/>
      <c r="QTN57" s="244"/>
      <c r="QTO57" s="244"/>
      <c r="QTP57" s="244"/>
      <c r="QTQ57" s="245"/>
      <c r="QTR57" s="245"/>
      <c r="QTS57" s="244"/>
      <c r="QTT57" s="246"/>
      <c r="QTU57" s="247"/>
      <c r="QTV57" s="275"/>
      <c r="QTW57" s="275"/>
      <c r="QTX57" s="275"/>
      <c r="QTY57" s="275"/>
      <c r="QTZ57" s="275"/>
      <c r="QUA57" s="275"/>
      <c r="QUB57" s="137"/>
      <c r="QUC57" s="137"/>
      <c r="QUD57" s="135"/>
      <c r="QUE57" s="137"/>
      <c r="QUG57" s="250"/>
      <c r="QUH57" s="250"/>
      <c r="QUI57" s="243"/>
      <c r="QUJ57" s="276"/>
      <c r="QUK57" s="276"/>
      <c r="QUL57" s="276"/>
      <c r="QUM57" s="244"/>
      <c r="QUN57" s="244"/>
      <c r="QUO57" s="244"/>
      <c r="QUP57" s="245"/>
      <c r="QUQ57" s="245"/>
      <c r="QUR57" s="244"/>
      <c r="QUS57" s="246"/>
      <c r="QUT57" s="247"/>
      <c r="QUU57" s="275"/>
      <c r="QUV57" s="275"/>
      <c r="QUW57" s="275"/>
      <c r="QUX57" s="275"/>
      <c r="QUY57" s="275"/>
      <c r="QUZ57" s="275"/>
      <c r="QVA57" s="137"/>
      <c r="QVB57" s="137"/>
      <c r="QVC57" s="135"/>
      <c r="QVD57" s="137"/>
      <c r="QVF57" s="250"/>
      <c r="QVG57" s="250"/>
      <c r="QVH57" s="243"/>
      <c r="QVI57" s="276"/>
      <c r="QVJ57" s="276"/>
      <c r="QVK57" s="276"/>
      <c r="QVL57" s="244"/>
      <c r="QVM57" s="244"/>
      <c r="QVN57" s="244"/>
      <c r="QVO57" s="245"/>
      <c r="QVP57" s="245"/>
      <c r="QVQ57" s="244"/>
      <c r="QVR57" s="246"/>
      <c r="QVS57" s="247"/>
      <c r="QVT57" s="275"/>
      <c r="QVU57" s="275"/>
      <c r="QVV57" s="275"/>
      <c r="QVW57" s="275"/>
      <c r="QVX57" s="275"/>
      <c r="QVY57" s="275"/>
      <c r="QVZ57" s="137"/>
      <c r="QWA57" s="137"/>
      <c r="QWB57" s="135"/>
      <c r="QWC57" s="137"/>
      <c r="QWE57" s="250"/>
      <c r="QWF57" s="250"/>
      <c r="QWG57" s="243"/>
      <c r="QWH57" s="276"/>
      <c r="QWI57" s="276"/>
      <c r="QWJ57" s="276"/>
      <c r="QWK57" s="244"/>
      <c r="QWL57" s="244"/>
      <c r="QWM57" s="244"/>
      <c r="QWN57" s="245"/>
      <c r="QWO57" s="245"/>
      <c r="QWP57" s="244"/>
      <c r="QWQ57" s="246"/>
      <c r="QWR57" s="247"/>
      <c r="QWS57" s="275"/>
      <c r="QWT57" s="275"/>
      <c r="QWU57" s="275"/>
      <c r="QWV57" s="275"/>
      <c r="QWW57" s="275"/>
      <c r="QWX57" s="275"/>
      <c r="QWY57" s="137"/>
      <c r="QWZ57" s="137"/>
      <c r="QXA57" s="135"/>
      <c r="QXB57" s="137"/>
      <c r="QXD57" s="250"/>
      <c r="QXE57" s="250"/>
      <c r="QXF57" s="243"/>
      <c r="QXG57" s="276"/>
      <c r="QXH57" s="276"/>
      <c r="QXI57" s="276"/>
      <c r="QXJ57" s="244"/>
      <c r="QXK57" s="244"/>
      <c r="QXL57" s="244"/>
      <c r="QXM57" s="245"/>
      <c r="QXN57" s="245"/>
      <c r="QXO57" s="244"/>
      <c r="QXP57" s="246"/>
      <c r="QXQ57" s="247"/>
      <c r="QXR57" s="275"/>
      <c r="QXS57" s="275"/>
      <c r="QXT57" s="275"/>
      <c r="QXU57" s="275"/>
      <c r="QXV57" s="275"/>
      <c r="QXW57" s="275"/>
      <c r="QXX57" s="137"/>
      <c r="QXY57" s="137"/>
      <c r="QXZ57" s="135"/>
      <c r="QYA57" s="137"/>
      <c r="QYC57" s="250"/>
      <c r="QYD57" s="250"/>
      <c r="QYE57" s="243"/>
      <c r="QYF57" s="276"/>
      <c r="QYG57" s="276"/>
      <c r="QYH57" s="276"/>
      <c r="QYI57" s="244"/>
      <c r="QYJ57" s="244"/>
      <c r="QYK57" s="244"/>
      <c r="QYL57" s="245"/>
      <c r="QYM57" s="245"/>
      <c r="QYN57" s="244"/>
      <c r="QYO57" s="246"/>
      <c r="QYP57" s="247"/>
      <c r="QYQ57" s="275"/>
      <c r="QYR57" s="275"/>
      <c r="QYS57" s="275"/>
      <c r="QYT57" s="275"/>
      <c r="QYU57" s="275"/>
      <c r="QYV57" s="275"/>
      <c r="QYW57" s="137"/>
      <c r="QYX57" s="137"/>
      <c r="QYY57" s="135"/>
      <c r="QYZ57" s="137"/>
      <c r="QZB57" s="250"/>
      <c r="QZC57" s="250"/>
      <c r="QZD57" s="243"/>
      <c r="QZE57" s="276"/>
      <c r="QZF57" s="276"/>
      <c r="QZG57" s="276"/>
      <c r="QZH57" s="244"/>
      <c r="QZI57" s="244"/>
      <c r="QZJ57" s="244"/>
      <c r="QZK57" s="245"/>
      <c r="QZL57" s="245"/>
      <c r="QZM57" s="244"/>
      <c r="QZN57" s="246"/>
      <c r="QZO57" s="247"/>
      <c r="QZP57" s="275"/>
      <c r="QZQ57" s="275"/>
      <c r="QZR57" s="275"/>
      <c r="QZS57" s="275"/>
      <c r="QZT57" s="275"/>
      <c r="QZU57" s="275"/>
      <c r="QZV57" s="137"/>
      <c r="QZW57" s="137"/>
      <c r="QZX57" s="135"/>
      <c r="QZY57" s="137"/>
      <c r="RAA57" s="250"/>
      <c r="RAB57" s="250"/>
      <c r="RAC57" s="243"/>
      <c r="RAD57" s="276"/>
      <c r="RAE57" s="276"/>
      <c r="RAF57" s="276"/>
      <c r="RAG57" s="244"/>
      <c r="RAH57" s="244"/>
      <c r="RAI57" s="244"/>
      <c r="RAJ57" s="245"/>
      <c r="RAK57" s="245"/>
      <c r="RAL57" s="244"/>
      <c r="RAM57" s="246"/>
      <c r="RAN57" s="247"/>
      <c r="RAO57" s="275"/>
      <c r="RAP57" s="275"/>
      <c r="RAQ57" s="275"/>
      <c r="RAR57" s="275"/>
      <c r="RAS57" s="275"/>
      <c r="RAT57" s="275"/>
      <c r="RAU57" s="137"/>
      <c r="RAV57" s="137"/>
      <c r="RAW57" s="135"/>
      <c r="RAX57" s="137"/>
      <c r="RAZ57" s="250"/>
      <c r="RBA57" s="250"/>
      <c r="RBB57" s="243"/>
      <c r="RBC57" s="276"/>
      <c r="RBD57" s="276"/>
      <c r="RBE57" s="276"/>
      <c r="RBF57" s="244"/>
      <c r="RBG57" s="244"/>
      <c r="RBH57" s="244"/>
      <c r="RBI57" s="245"/>
      <c r="RBJ57" s="245"/>
      <c r="RBK57" s="244"/>
      <c r="RBL57" s="246"/>
      <c r="RBM57" s="247"/>
      <c r="RBN57" s="275"/>
      <c r="RBO57" s="275"/>
      <c r="RBP57" s="275"/>
      <c r="RBQ57" s="275"/>
      <c r="RBR57" s="275"/>
      <c r="RBS57" s="275"/>
      <c r="RBT57" s="137"/>
      <c r="RBU57" s="137"/>
      <c r="RBV57" s="135"/>
      <c r="RBW57" s="137"/>
      <c r="RBY57" s="250"/>
      <c r="RBZ57" s="250"/>
      <c r="RCA57" s="243"/>
      <c r="RCB57" s="276"/>
      <c r="RCC57" s="276"/>
      <c r="RCD57" s="276"/>
      <c r="RCE57" s="244"/>
      <c r="RCF57" s="244"/>
      <c r="RCG57" s="244"/>
      <c r="RCH57" s="245"/>
      <c r="RCI57" s="245"/>
      <c r="RCJ57" s="244"/>
      <c r="RCK57" s="246"/>
      <c r="RCL57" s="247"/>
      <c r="RCM57" s="275"/>
      <c r="RCN57" s="275"/>
      <c r="RCO57" s="275"/>
      <c r="RCP57" s="275"/>
      <c r="RCQ57" s="275"/>
      <c r="RCR57" s="275"/>
      <c r="RCS57" s="137"/>
      <c r="RCT57" s="137"/>
      <c r="RCU57" s="135"/>
      <c r="RCV57" s="137"/>
      <c r="RCX57" s="250"/>
      <c r="RCY57" s="250"/>
      <c r="RCZ57" s="243"/>
      <c r="RDA57" s="276"/>
      <c r="RDB57" s="276"/>
      <c r="RDC57" s="276"/>
      <c r="RDD57" s="244"/>
      <c r="RDE57" s="244"/>
      <c r="RDF57" s="244"/>
      <c r="RDG57" s="245"/>
      <c r="RDH57" s="245"/>
      <c r="RDI57" s="244"/>
      <c r="RDJ57" s="246"/>
      <c r="RDK57" s="247"/>
      <c r="RDL57" s="275"/>
      <c r="RDM57" s="275"/>
      <c r="RDN57" s="275"/>
      <c r="RDO57" s="275"/>
      <c r="RDP57" s="275"/>
      <c r="RDQ57" s="275"/>
      <c r="RDR57" s="137"/>
      <c r="RDS57" s="137"/>
      <c r="RDT57" s="135"/>
      <c r="RDU57" s="137"/>
      <c r="RDW57" s="250"/>
      <c r="RDX57" s="250"/>
      <c r="RDY57" s="243"/>
      <c r="RDZ57" s="276"/>
      <c r="REA57" s="276"/>
      <c r="REB57" s="276"/>
      <c r="REC57" s="244"/>
      <c r="RED57" s="244"/>
      <c r="REE57" s="244"/>
      <c r="REF57" s="245"/>
      <c r="REG57" s="245"/>
      <c r="REH57" s="244"/>
      <c r="REI57" s="246"/>
      <c r="REJ57" s="247"/>
      <c r="REK57" s="275"/>
      <c r="REL57" s="275"/>
      <c r="REM57" s="275"/>
      <c r="REN57" s="275"/>
      <c r="REO57" s="275"/>
      <c r="REP57" s="275"/>
      <c r="REQ57" s="137"/>
      <c r="RER57" s="137"/>
      <c r="RES57" s="135"/>
      <c r="RET57" s="137"/>
      <c r="REV57" s="250"/>
      <c r="REW57" s="250"/>
      <c r="REX57" s="243"/>
      <c r="REY57" s="276"/>
      <c r="REZ57" s="276"/>
      <c r="RFA57" s="276"/>
      <c r="RFB57" s="244"/>
      <c r="RFC57" s="244"/>
      <c r="RFD57" s="244"/>
      <c r="RFE57" s="245"/>
      <c r="RFF57" s="245"/>
      <c r="RFG57" s="244"/>
      <c r="RFH57" s="246"/>
      <c r="RFI57" s="247"/>
      <c r="RFJ57" s="275"/>
      <c r="RFK57" s="275"/>
      <c r="RFL57" s="275"/>
      <c r="RFM57" s="275"/>
      <c r="RFN57" s="275"/>
      <c r="RFO57" s="275"/>
      <c r="RFP57" s="137"/>
      <c r="RFQ57" s="137"/>
      <c r="RFR57" s="135"/>
      <c r="RFS57" s="137"/>
      <c r="RFU57" s="250"/>
      <c r="RFV57" s="250"/>
      <c r="RFW57" s="243"/>
      <c r="RFX57" s="276"/>
      <c r="RFY57" s="276"/>
      <c r="RFZ57" s="276"/>
      <c r="RGA57" s="244"/>
      <c r="RGB57" s="244"/>
      <c r="RGC57" s="244"/>
      <c r="RGD57" s="245"/>
      <c r="RGE57" s="245"/>
      <c r="RGF57" s="244"/>
      <c r="RGG57" s="246"/>
      <c r="RGH57" s="247"/>
      <c r="RGI57" s="275"/>
      <c r="RGJ57" s="275"/>
      <c r="RGK57" s="275"/>
      <c r="RGL57" s="275"/>
      <c r="RGM57" s="275"/>
      <c r="RGN57" s="275"/>
      <c r="RGO57" s="137"/>
      <c r="RGP57" s="137"/>
      <c r="RGQ57" s="135"/>
      <c r="RGR57" s="137"/>
      <c r="RGT57" s="250"/>
      <c r="RGU57" s="250"/>
      <c r="RGV57" s="243"/>
      <c r="RGW57" s="276"/>
      <c r="RGX57" s="276"/>
      <c r="RGY57" s="276"/>
      <c r="RGZ57" s="244"/>
      <c r="RHA57" s="244"/>
      <c r="RHB57" s="244"/>
      <c r="RHC57" s="245"/>
      <c r="RHD57" s="245"/>
      <c r="RHE57" s="244"/>
      <c r="RHF57" s="246"/>
      <c r="RHG57" s="247"/>
      <c r="RHH57" s="275"/>
      <c r="RHI57" s="275"/>
      <c r="RHJ57" s="275"/>
      <c r="RHK57" s="275"/>
      <c r="RHL57" s="275"/>
      <c r="RHM57" s="275"/>
      <c r="RHN57" s="137"/>
      <c r="RHO57" s="137"/>
      <c r="RHP57" s="135"/>
      <c r="RHQ57" s="137"/>
      <c r="RHS57" s="250"/>
      <c r="RHT57" s="250"/>
      <c r="RHU57" s="243"/>
      <c r="RHV57" s="276"/>
      <c r="RHW57" s="276"/>
      <c r="RHX57" s="276"/>
      <c r="RHY57" s="244"/>
      <c r="RHZ57" s="244"/>
      <c r="RIA57" s="244"/>
      <c r="RIB57" s="245"/>
      <c r="RIC57" s="245"/>
      <c r="RID57" s="244"/>
      <c r="RIE57" s="246"/>
      <c r="RIF57" s="247"/>
      <c r="RIG57" s="275"/>
      <c r="RIH57" s="275"/>
      <c r="RII57" s="275"/>
      <c r="RIJ57" s="275"/>
      <c r="RIK57" s="275"/>
      <c r="RIL57" s="275"/>
      <c r="RIM57" s="137"/>
      <c r="RIN57" s="137"/>
      <c r="RIO57" s="135"/>
      <c r="RIP57" s="137"/>
      <c r="RIR57" s="250"/>
      <c r="RIS57" s="250"/>
      <c r="RIT57" s="243"/>
      <c r="RIU57" s="276"/>
      <c r="RIV57" s="276"/>
      <c r="RIW57" s="276"/>
      <c r="RIX57" s="244"/>
      <c r="RIY57" s="244"/>
      <c r="RIZ57" s="244"/>
      <c r="RJA57" s="245"/>
      <c r="RJB57" s="245"/>
      <c r="RJC57" s="244"/>
      <c r="RJD57" s="246"/>
      <c r="RJE57" s="247"/>
      <c r="RJF57" s="275"/>
      <c r="RJG57" s="275"/>
      <c r="RJH57" s="275"/>
      <c r="RJI57" s="275"/>
      <c r="RJJ57" s="275"/>
      <c r="RJK57" s="275"/>
      <c r="RJL57" s="137"/>
      <c r="RJM57" s="137"/>
      <c r="RJN57" s="135"/>
      <c r="RJO57" s="137"/>
      <c r="RJQ57" s="250"/>
      <c r="RJR57" s="250"/>
      <c r="RJS57" s="243"/>
      <c r="RJT57" s="276"/>
      <c r="RJU57" s="276"/>
      <c r="RJV57" s="276"/>
      <c r="RJW57" s="244"/>
      <c r="RJX57" s="244"/>
      <c r="RJY57" s="244"/>
      <c r="RJZ57" s="245"/>
      <c r="RKA57" s="245"/>
      <c r="RKB57" s="244"/>
      <c r="RKC57" s="246"/>
      <c r="RKD57" s="247"/>
      <c r="RKE57" s="275"/>
      <c r="RKF57" s="275"/>
      <c r="RKG57" s="275"/>
      <c r="RKH57" s="275"/>
      <c r="RKI57" s="275"/>
      <c r="RKJ57" s="275"/>
      <c r="RKK57" s="137"/>
      <c r="RKL57" s="137"/>
      <c r="RKM57" s="135"/>
      <c r="RKN57" s="137"/>
      <c r="RKP57" s="250"/>
      <c r="RKQ57" s="250"/>
      <c r="RKR57" s="243"/>
      <c r="RKS57" s="276"/>
      <c r="RKT57" s="276"/>
      <c r="RKU57" s="276"/>
      <c r="RKV57" s="244"/>
      <c r="RKW57" s="244"/>
      <c r="RKX57" s="244"/>
      <c r="RKY57" s="245"/>
      <c r="RKZ57" s="245"/>
      <c r="RLA57" s="244"/>
      <c r="RLB57" s="246"/>
      <c r="RLC57" s="247"/>
      <c r="RLD57" s="275"/>
      <c r="RLE57" s="275"/>
      <c r="RLF57" s="275"/>
      <c r="RLG57" s="275"/>
      <c r="RLH57" s="275"/>
      <c r="RLI57" s="275"/>
      <c r="RLJ57" s="137"/>
      <c r="RLK57" s="137"/>
      <c r="RLL57" s="135"/>
      <c r="RLM57" s="137"/>
      <c r="RLO57" s="250"/>
      <c r="RLP57" s="250"/>
      <c r="RLQ57" s="243"/>
      <c r="RLR57" s="276"/>
      <c r="RLS57" s="276"/>
      <c r="RLT57" s="276"/>
      <c r="RLU57" s="244"/>
      <c r="RLV57" s="244"/>
      <c r="RLW57" s="244"/>
      <c r="RLX57" s="245"/>
      <c r="RLY57" s="245"/>
      <c r="RLZ57" s="244"/>
      <c r="RMA57" s="246"/>
      <c r="RMB57" s="247"/>
      <c r="RMC57" s="275"/>
      <c r="RMD57" s="275"/>
      <c r="RME57" s="275"/>
      <c r="RMF57" s="275"/>
      <c r="RMG57" s="275"/>
      <c r="RMH57" s="275"/>
      <c r="RMI57" s="137"/>
      <c r="RMJ57" s="137"/>
      <c r="RMK57" s="135"/>
      <c r="RML57" s="137"/>
      <c r="RMN57" s="250"/>
      <c r="RMO57" s="250"/>
      <c r="RMP57" s="243"/>
      <c r="RMQ57" s="276"/>
      <c r="RMR57" s="276"/>
      <c r="RMS57" s="276"/>
      <c r="RMT57" s="244"/>
      <c r="RMU57" s="244"/>
      <c r="RMV57" s="244"/>
      <c r="RMW57" s="245"/>
      <c r="RMX57" s="245"/>
      <c r="RMY57" s="244"/>
      <c r="RMZ57" s="246"/>
      <c r="RNA57" s="247"/>
      <c r="RNB57" s="275"/>
      <c r="RNC57" s="275"/>
      <c r="RND57" s="275"/>
      <c r="RNE57" s="275"/>
      <c r="RNF57" s="275"/>
      <c r="RNG57" s="275"/>
      <c r="RNH57" s="137"/>
      <c r="RNI57" s="137"/>
      <c r="RNJ57" s="135"/>
      <c r="RNK57" s="137"/>
      <c r="RNM57" s="250"/>
      <c r="RNN57" s="250"/>
      <c r="RNO57" s="243"/>
      <c r="RNP57" s="276"/>
      <c r="RNQ57" s="276"/>
      <c r="RNR57" s="276"/>
      <c r="RNS57" s="244"/>
      <c r="RNT57" s="244"/>
      <c r="RNU57" s="244"/>
      <c r="RNV57" s="245"/>
      <c r="RNW57" s="245"/>
      <c r="RNX57" s="244"/>
      <c r="RNY57" s="246"/>
      <c r="RNZ57" s="247"/>
      <c r="ROA57" s="275"/>
      <c r="ROB57" s="275"/>
      <c r="ROC57" s="275"/>
      <c r="ROD57" s="275"/>
      <c r="ROE57" s="275"/>
      <c r="ROF57" s="275"/>
      <c r="ROG57" s="137"/>
      <c r="ROH57" s="137"/>
      <c r="ROI57" s="135"/>
      <c r="ROJ57" s="137"/>
      <c r="ROL57" s="250"/>
      <c r="ROM57" s="250"/>
      <c r="RON57" s="243"/>
      <c r="ROO57" s="276"/>
      <c r="ROP57" s="276"/>
      <c r="ROQ57" s="276"/>
      <c r="ROR57" s="244"/>
      <c r="ROS57" s="244"/>
      <c r="ROT57" s="244"/>
      <c r="ROU57" s="245"/>
      <c r="ROV57" s="245"/>
      <c r="ROW57" s="244"/>
      <c r="ROX57" s="246"/>
      <c r="ROY57" s="247"/>
      <c r="ROZ57" s="275"/>
      <c r="RPA57" s="275"/>
      <c r="RPB57" s="275"/>
      <c r="RPC57" s="275"/>
      <c r="RPD57" s="275"/>
      <c r="RPE57" s="275"/>
      <c r="RPF57" s="137"/>
      <c r="RPG57" s="137"/>
      <c r="RPH57" s="135"/>
      <c r="RPI57" s="137"/>
      <c r="RPK57" s="250"/>
      <c r="RPL57" s="250"/>
      <c r="RPM57" s="243"/>
      <c r="RPN57" s="276"/>
      <c r="RPO57" s="276"/>
      <c r="RPP57" s="276"/>
      <c r="RPQ57" s="244"/>
      <c r="RPR57" s="244"/>
      <c r="RPS57" s="244"/>
      <c r="RPT57" s="245"/>
      <c r="RPU57" s="245"/>
      <c r="RPV57" s="244"/>
      <c r="RPW57" s="246"/>
      <c r="RPX57" s="247"/>
      <c r="RPY57" s="275"/>
      <c r="RPZ57" s="275"/>
      <c r="RQA57" s="275"/>
      <c r="RQB57" s="275"/>
      <c r="RQC57" s="275"/>
      <c r="RQD57" s="275"/>
      <c r="RQE57" s="137"/>
      <c r="RQF57" s="137"/>
      <c r="RQG57" s="135"/>
      <c r="RQH57" s="137"/>
      <c r="RQJ57" s="250"/>
      <c r="RQK57" s="250"/>
      <c r="RQL57" s="243"/>
      <c r="RQM57" s="276"/>
      <c r="RQN57" s="276"/>
      <c r="RQO57" s="276"/>
      <c r="RQP57" s="244"/>
      <c r="RQQ57" s="244"/>
      <c r="RQR57" s="244"/>
      <c r="RQS57" s="245"/>
      <c r="RQT57" s="245"/>
      <c r="RQU57" s="244"/>
      <c r="RQV57" s="246"/>
      <c r="RQW57" s="247"/>
      <c r="RQX57" s="275"/>
      <c r="RQY57" s="275"/>
      <c r="RQZ57" s="275"/>
      <c r="RRA57" s="275"/>
      <c r="RRB57" s="275"/>
      <c r="RRC57" s="275"/>
      <c r="RRD57" s="137"/>
      <c r="RRE57" s="137"/>
      <c r="RRF57" s="135"/>
      <c r="RRG57" s="137"/>
      <c r="RRI57" s="250"/>
      <c r="RRJ57" s="250"/>
      <c r="RRK57" s="243"/>
      <c r="RRL57" s="276"/>
      <c r="RRM57" s="276"/>
      <c r="RRN57" s="276"/>
      <c r="RRO57" s="244"/>
      <c r="RRP57" s="244"/>
      <c r="RRQ57" s="244"/>
      <c r="RRR57" s="245"/>
      <c r="RRS57" s="245"/>
      <c r="RRT57" s="244"/>
      <c r="RRU57" s="246"/>
      <c r="RRV57" s="247"/>
      <c r="RRW57" s="275"/>
      <c r="RRX57" s="275"/>
      <c r="RRY57" s="275"/>
      <c r="RRZ57" s="275"/>
      <c r="RSA57" s="275"/>
      <c r="RSB57" s="275"/>
      <c r="RSC57" s="137"/>
      <c r="RSD57" s="137"/>
      <c r="RSE57" s="135"/>
      <c r="RSF57" s="137"/>
      <c r="RSH57" s="250"/>
      <c r="RSI57" s="250"/>
      <c r="RSJ57" s="243"/>
      <c r="RSK57" s="276"/>
      <c r="RSL57" s="276"/>
      <c r="RSM57" s="276"/>
      <c r="RSN57" s="244"/>
      <c r="RSO57" s="244"/>
      <c r="RSP57" s="244"/>
      <c r="RSQ57" s="245"/>
      <c r="RSR57" s="245"/>
      <c r="RSS57" s="244"/>
      <c r="RST57" s="246"/>
      <c r="RSU57" s="247"/>
      <c r="RSV57" s="275"/>
      <c r="RSW57" s="275"/>
      <c r="RSX57" s="275"/>
      <c r="RSY57" s="275"/>
      <c r="RSZ57" s="275"/>
      <c r="RTA57" s="275"/>
      <c r="RTB57" s="137"/>
      <c r="RTC57" s="137"/>
      <c r="RTD57" s="135"/>
      <c r="RTE57" s="137"/>
      <c r="RTG57" s="250"/>
      <c r="RTH57" s="250"/>
      <c r="RTI57" s="243"/>
      <c r="RTJ57" s="276"/>
      <c r="RTK57" s="276"/>
      <c r="RTL57" s="276"/>
      <c r="RTM57" s="244"/>
      <c r="RTN57" s="244"/>
      <c r="RTO57" s="244"/>
      <c r="RTP57" s="245"/>
      <c r="RTQ57" s="245"/>
      <c r="RTR57" s="244"/>
      <c r="RTS57" s="246"/>
      <c r="RTT57" s="247"/>
      <c r="RTU57" s="275"/>
      <c r="RTV57" s="275"/>
      <c r="RTW57" s="275"/>
      <c r="RTX57" s="275"/>
      <c r="RTY57" s="275"/>
      <c r="RTZ57" s="275"/>
      <c r="RUA57" s="137"/>
      <c r="RUB57" s="137"/>
      <c r="RUC57" s="135"/>
      <c r="RUD57" s="137"/>
      <c r="RUF57" s="250"/>
      <c r="RUG57" s="250"/>
      <c r="RUH57" s="243"/>
      <c r="RUI57" s="276"/>
      <c r="RUJ57" s="276"/>
      <c r="RUK57" s="276"/>
      <c r="RUL57" s="244"/>
      <c r="RUM57" s="244"/>
      <c r="RUN57" s="244"/>
      <c r="RUO57" s="245"/>
      <c r="RUP57" s="245"/>
      <c r="RUQ57" s="244"/>
      <c r="RUR57" s="246"/>
      <c r="RUS57" s="247"/>
      <c r="RUT57" s="275"/>
      <c r="RUU57" s="275"/>
      <c r="RUV57" s="275"/>
      <c r="RUW57" s="275"/>
      <c r="RUX57" s="275"/>
      <c r="RUY57" s="275"/>
      <c r="RUZ57" s="137"/>
      <c r="RVA57" s="137"/>
      <c r="RVB57" s="135"/>
      <c r="RVC57" s="137"/>
      <c r="RVE57" s="250"/>
      <c r="RVF57" s="250"/>
      <c r="RVG57" s="243"/>
      <c r="RVH57" s="276"/>
      <c r="RVI57" s="276"/>
      <c r="RVJ57" s="276"/>
      <c r="RVK57" s="244"/>
      <c r="RVL57" s="244"/>
      <c r="RVM57" s="244"/>
      <c r="RVN57" s="245"/>
      <c r="RVO57" s="245"/>
      <c r="RVP57" s="244"/>
      <c r="RVQ57" s="246"/>
      <c r="RVR57" s="247"/>
      <c r="RVS57" s="275"/>
      <c r="RVT57" s="275"/>
      <c r="RVU57" s="275"/>
      <c r="RVV57" s="275"/>
      <c r="RVW57" s="275"/>
      <c r="RVX57" s="275"/>
      <c r="RVY57" s="137"/>
      <c r="RVZ57" s="137"/>
      <c r="RWA57" s="135"/>
      <c r="RWB57" s="137"/>
      <c r="RWD57" s="250"/>
      <c r="RWE57" s="250"/>
      <c r="RWF57" s="243"/>
      <c r="RWG57" s="276"/>
      <c r="RWH57" s="276"/>
      <c r="RWI57" s="276"/>
      <c r="RWJ57" s="244"/>
      <c r="RWK57" s="244"/>
      <c r="RWL57" s="244"/>
      <c r="RWM57" s="245"/>
      <c r="RWN57" s="245"/>
      <c r="RWO57" s="244"/>
      <c r="RWP57" s="246"/>
      <c r="RWQ57" s="247"/>
      <c r="RWR57" s="275"/>
      <c r="RWS57" s="275"/>
      <c r="RWT57" s="275"/>
      <c r="RWU57" s="275"/>
      <c r="RWV57" s="275"/>
      <c r="RWW57" s="275"/>
      <c r="RWX57" s="137"/>
      <c r="RWY57" s="137"/>
      <c r="RWZ57" s="135"/>
      <c r="RXA57" s="137"/>
      <c r="RXC57" s="250"/>
      <c r="RXD57" s="250"/>
      <c r="RXE57" s="243"/>
      <c r="RXF57" s="276"/>
      <c r="RXG57" s="276"/>
      <c r="RXH57" s="276"/>
      <c r="RXI57" s="244"/>
      <c r="RXJ57" s="244"/>
      <c r="RXK57" s="244"/>
      <c r="RXL57" s="245"/>
      <c r="RXM57" s="245"/>
      <c r="RXN57" s="244"/>
      <c r="RXO57" s="246"/>
      <c r="RXP57" s="247"/>
      <c r="RXQ57" s="275"/>
      <c r="RXR57" s="275"/>
      <c r="RXS57" s="275"/>
      <c r="RXT57" s="275"/>
      <c r="RXU57" s="275"/>
      <c r="RXV57" s="275"/>
      <c r="RXW57" s="137"/>
      <c r="RXX57" s="137"/>
      <c r="RXY57" s="135"/>
      <c r="RXZ57" s="137"/>
      <c r="RYB57" s="250"/>
      <c r="RYC57" s="250"/>
      <c r="RYD57" s="243"/>
      <c r="RYE57" s="276"/>
      <c r="RYF57" s="276"/>
      <c r="RYG57" s="276"/>
      <c r="RYH57" s="244"/>
      <c r="RYI57" s="244"/>
      <c r="RYJ57" s="244"/>
      <c r="RYK57" s="245"/>
      <c r="RYL57" s="245"/>
      <c r="RYM57" s="244"/>
      <c r="RYN57" s="246"/>
      <c r="RYO57" s="247"/>
      <c r="RYP57" s="275"/>
      <c r="RYQ57" s="275"/>
      <c r="RYR57" s="275"/>
      <c r="RYS57" s="275"/>
      <c r="RYT57" s="275"/>
      <c r="RYU57" s="275"/>
      <c r="RYV57" s="137"/>
      <c r="RYW57" s="137"/>
      <c r="RYX57" s="135"/>
      <c r="RYY57" s="137"/>
      <c r="RZA57" s="250"/>
      <c r="RZB57" s="250"/>
      <c r="RZC57" s="243"/>
      <c r="RZD57" s="276"/>
      <c r="RZE57" s="276"/>
      <c r="RZF57" s="276"/>
      <c r="RZG57" s="244"/>
      <c r="RZH57" s="244"/>
      <c r="RZI57" s="244"/>
      <c r="RZJ57" s="245"/>
      <c r="RZK57" s="245"/>
      <c r="RZL57" s="244"/>
      <c r="RZM57" s="246"/>
      <c r="RZN57" s="247"/>
      <c r="RZO57" s="275"/>
      <c r="RZP57" s="275"/>
      <c r="RZQ57" s="275"/>
      <c r="RZR57" s="275"/>
      <c r="RZS57" s="275"/>
      <c r="RZT57" s="275"/>
      <c r="RZU57" s="137"/>
      <c r="RZV57" s="137"/>
      <c r="RZW57" s="135"/>
      <c r="RZX57" s="137"/>
      <c r="RZZ57" s="250"/>
      <c r="SAA57" s="250"/>
      <c r="SAB57" s="243"/>
      <c r="SAC57" s="276"/>
      <c r="SAD57" s="276"/>
      <c r="SAE57" s="276"/>
      <c r="SAF57" s="244"/>
      <c r="SAG57" s="244"/>
      <c r="SAH57" s="244"/>
      <c r="SAI57" s="245"/>
      <c r="SAJ57" s="245"/>
      <c r="SAK57" s="244"/>
      <c r="SAL57" s="246"/>
      <c r="SAM57" s="247"/>
      <c r="SAN57" s="275"/>
      <c r="SAO57" s="275"/>
      <c r="SAP57" s="275"/>
      <c r="SAQ57" s="275"/>
      <c r="SAR57" s="275"/>
      <c r="SAS57" s="275"/>
      <c r="SAT57" s="137"/>
      <c r="SAU57" s="137"/>
      <c r="SAV57" s="135"/>
      <c r="SAW57" s="137"/>
      <c r="SAY57" s="250"/>
      <c r="SAZ57" s="250"/>
      <c r="SBA57" s="243"/>
      <c r="SBB57" s="276"/>
      <c r="SBC57" s="276"/>
      <c r="SBD57" s="276"/>
      <c r="SBE57" s="244"/>
      <c r="SBF57" s="244"/>
      <c r="SBG57" s="244"/>
      <c r="SBH57" s="245"/>
      <c r="SBI57" s="245"/>
      <c r="SBJ57" s="244"/>
      <c r="SBK57" s="246"/>
      <c r="SBL57" s="247"/>
      <c r="SBM57" s="275"/>
      <c r="SBN57" s="275"/>
      <c r="SBO57" s="275"/>
      <c r="SBP57" s="275"/>
      <c r="SBQ57" s="275"/>
      <c r="SBR57" s="275"/>
      <c r="SBS57" s="137"/>
      <c r="SBT57" s="137"/>
      <c r="SBU57" s="135"/>
      <c r="SBV57" s="137"/>
      <c r="SBX57" s="250"/>
      <c r="SBY57" s="250"/>
      <c r="SBZ57" s="243"/>
      <c r="SCA57" s="276"/>
      <c r="SCB57" s="276"/>
      <c r="SCC57" s="276"/>
      <c r="SCD57" s="244"/>
      <c r="SCE57" s="244"/>
      <c r="SCF57" s="244"/>
      <c r="SCG57" s="245"/>
      <c r="SCH57" s="245"/>
      <c r="SCI57" s="244"/>
      <c r="SCJ57" s="246"/>
      <c r="SCK57" s="247"/>
      <c r="SCL57" s="275"/>
      <c r="SCM57" s="275"/>
      <c r="SCN57" s="275"/>
      <c r="SCO57" s="275"/>
      <c r="SCP57" s="275"/>
      <c r="SCQ57" s="275"/>
      <c r="SCR57" s="137"/>
      <c r="SCS57" s="137"/>
      <c r="SCT57" s="135"/>
      <c r="SCU57" s="137"/>
      <c r="SCW57" s="250"/>
      <c r="SCX57" s="250"/>
      <c r="SCY57" s="243"/>
      <c r="SCZ57" s="276"/>
      <c r="SDA57" s="276"/>
      <c r="SDB57" s="276"/>
      <c r="SDC57" s="244"/>
      <c r="SDD57" s="244"/>
      <c r="SDE57" s="244"/>
      <c r="SDF57" s="245"/>
      <c r="SDG57" s="245"/>
      <c r="SDH57" s="244"/>
      <c r="SDI57" s="246"/>
      <c r="SDJ57" s="247"/>
      <c r="SDK57" s="275"/>
      <c r="SDL57" s="275"/>
      <c r="SDM57" s="275"/>
      <c r="SDN57" s="275"/>
      <c r="SDO57" s="275"/>
      <c r="SDP57" s="275"/>
      <c r="SDQ57" s="137"/>
      <c r="SDR57" s="137"/>
      <c r="SDS57" s="135"/>
      <c r="SDT57" s="137"/>
      <c r="SDV57" s="250"/>
      <c r="SDW57" s="250"/>
      <c r="SDX57" s="243"/>
      <c r="SDY57" s="276"/>
      <c r="SDZ57" s="276"/>
      <c r="SEA57" s="276"/>
      <c r="SEB57" s="244"/>
      <c r="SEC57" s="244"/>
      <c r="SED57" s="244"/>
      <c r="SEE57" s="245"/>
      <c r="SEF57" s="245"/>
      <c r="SEG57" s="244"/>
      <c r="SEH57" s="246"/>
      <c r="SEI57" s="247"/>
      <c r="SEJ57" s="275"/>
      <c r="SEK57" s="275"/>
      <c r="SEL57" s="275"/>
      <c r="SEM57" s="275"/>
      <c r="SEN57" s="275"/>
      <c r="SEO57" s="275"/>
      <c r="SEP57" s="137"/>
      <c r="SEQ57" s="137"/>
      <c r="SER57" s="135"/>
      <c r="SES57" s="137"/>
      <c r="SEU57" s="250"/>
      <c r="SEV57" s="250"/>
      <c r="SEW57" s="243"/>
      <c r="SEX57" s="276"/>
      <c r="SEY57" s="276"/>
      <c r="SEZ57" s="276"/>
      <c r="SFA57" s="244"/>
      <c r="SFB57" s="244"/>
      <c r="SFC57" s="244"/>
      <c r="SFD57" s="245"/>
      <c r="SFE57" s="245"/>
      <c r="SFF57" s="244"/>
      <c r="SFG57" s="246"/>
      <c r="SFH57" s="247"/>
      <c r="SFI57" s="275"/>
      <c r="SFJ57" s="275"/>
      <c r="SFK57" s="275"/>
      <c r="SFL57" s="275"/>
      <c r="SFM57" s="275"/>
      <c r="SFN57" s="275"/>
      <c r="SFO57" s="137"/>
      <c r="SFP57" s="137"/>
      <c r="SFQ57" s="135"/>
      <c r="SFR57" s="137"/>
      <c r="SFT57" s="250"/>
      <c r="SFU57" s="250"/>
      <c r="SFV57" s="243"/>
      <c r="SFW57" s="276"/>
      <c r="SFX57" s="276"/>
      <c r="SFY57" s="276"/>
      <c r="SFZ57" s="244"/>
      <c r="SGA57" s="244"/>
      <c r="SGB57" s="244"/>
      <c r="SGC57" s="245"/>
      <c r="SGD57" s="245"/>
      <c r="SGE57" s="244"/>
      <c r="SGF57" s="246"/>
      <c r="SGG57" s="247"/>
      <c r="SGH57" s="275"/>
      <c r="SGI57" s="275"/>
      <c r="SGJ57" s="275"/>
      <c r="SGK57" s="275"/>
      <c r="SGL57" s="275"/>
      <c r="SGM57" s="275"/>
      <c r="SGN57" s="137"/>
      <c r="SGO57" s="137"/>
      <c r="SGP57" s="135"/>
      <c r="SGQ57" s="137"/>
      <c r="SGS57" s="250"/>
      <c r="SGT57" s="250"/>
      <c r="SGU57" s="243"/>
      <c r="SGV57" s="276"/>
      <c r="SGW57" s="276"/>
      <c r="SGX57" s="276"/>
      <c r="SGY57" s="244"/>
      <c r="SGZ57" s="244"/>
      <c r="SHA57" s="244"/>
      <c r="SHB57" s="245"/>
      <c r="SHC57" s="245"/>
      <c r="SHD57" s="244"/>
      <c r="SHE57" s="246"/>
      <c r="SHF57" s="247"/>
      <c r="SHG57" s="275"/>
      <c r="SHH57" s="275"/>
      <c r="SHI57" s="275"/>
      <c r="SHJ57" s="275"/>
      <c r="SHK57" s="275"/>
      <c r="SHL57" s="275"/>
      <c r="SHM57" s="137"/>
      <c r="SHN57" s="137"/>
      <c r="SHO57" s="135"/>
      <c r="SHP57" s="137"/>
      <c r="SHR57" s="250"/>
      <c r="SHS57" s="250"/>
      <c r="SHT57" s="243"/>
      <c r="SHU57" s="276"/>
      <c r="SHV57" s="276"/>
      <c r="SHW57" s="276"/>
      <c r="SHX57" s="244"/>
      <c r="SHY57" s="244"/>
      <c r="SHZ57" s="244"/>
      <c r="SIA57" s="245"/>
      <c r="SIB57" s="245"/>
      <c r="SIC57" s="244"/>
      <c r="SID57" s="246"/>
      <c r="SIE57" s="247"/>
      <c r="SIF57" s="275"/>
      <c r="SIG57" s="275"/>
      <c r="SIH57" s="275"/>
      <c r="SII57" s="275"/>
      <c r="SIJ57" s="275"/>
      <c r="SIK57" s="275"/>
      <c r="SIL57" s="137"/>
      <c r="SIM57" s="137"/>
      <c r="SIN57" s="135"/>
      <c r="SIO57" s="137"/>
      <c r="SIQ57" s="250"/>
      <c r="SIR57" s="250"/>
      <c r="SIS57" s="243"/>
      <c r="SIT57" s="276"/>
      <c r="SIU57" s="276"/>
      <c r="SIV57" s="276"/>
      <c r="SIW57" s="244"/>
      <c r="SIX57" s="244"/>
      <c r="SIY57" s="244"/>
      <c r="SIZ57" s="245"/>
      <c r="SJA57" s="245"/>
      <c r="SJB57" s="244"/>
      <c r="SJC57" s="246"/>
      <c r="SJD57" s="247"/>
      <c r="SJE57" s="275"/>
      <c r="SJF57" s="275"/>
      <c r="SJG57" s="275"/>
      <c r="SJH57" s="275"/>
      <c r="SJI57" s="275"/>
      <c r="SJJ57" s="275"/>
      <c r="SJK57" s="137"/>
      <c r="SJL57" s="137"/>
      <c r="SJM57" s="135"/>
      <c r="SJN57" s="137"/>
      <c r="SJP57" s="250"/>
      <c r="SJQ57" s="250"/>
      <c r="SJR57" s="243"/>
      <c r="SJS57" s="276"/>
      <c r="SJT57" s="276"/>
      <c r="SJU57" s="276"/>
      <c r="SJV57" s="244"/>
      <c r="SJW57" s="244"/>
      <c r="SJX57" s="244"/>
      <c r="SJY57" s="245"/>
      <c r="SJZ57" s="245"/>
      <c r="SKA57" s="244"/>
      <c r="SKB57" s="246"/>
      <c r="SKC57" s="247"/>
      <c r="SKD57" s="275"/>
      <c r="SKE57" s="275"/>
      <c r="SKF57" s="275"/>
      <c r="SKG57" s="275"/>
      <c r="SKH57" s="275"/>
      <c r="SKI57" s="275"/>
      <c r="SKJ57" s="137"/>
      <c r="SKK57" s="137"/>
      <c r="SKL57" s="135"/>
      <c r="SKM57" s="137"/>
      <c r="SKO57" s="250"/>
      <c r="SKP57" s="250"/>
      <c r="SKQ57" s="243"/>
      <c r="SKR57" s="276"/>
      <c r="SKS57" s="276"/>
      <c r="SKT57" s="276"/>
      <c r="SKU57" s="244"/>
      <c r="SKV57" s="244"/>
      <c r="SKW57" s="244"/>
      <c r="SKX57" s="245"/>
      <c r="SKY57" s="245"/>
      <c r="SKZ57" s="244"/>
      <c r="SLA57" s="246"/>
      <c r="SLB57" s="247"/>
      <c r="SLC57" s="275"/>
      <c r="SLD57" s="275"/>
      <c r="SLE57" s="275"/>
      <c r="SLF57" s="275"/>
      <c r="SLG57" s="275"/>
      <c r="SLH57" s="275"/>
      <c r="SLI57" s="137"/>
      <c r="SLJ57" s="137"/>
      <c r="SLK57" s="135"/>
      <c r="SLL57" s="137"/>
      <c r="SLN57" s="250"/>
      <c r="SLO57" s="250"/>
      <c r="SLP57" s="243"/>
      <c r="SLQ57" s="276"/>
      <c r="SLR57" s="276"/>
      <c r="SLS57" s="276"/>
      <c r="SLT57" s="244"/>
      <c r="SLU57" s="244"/>
      <c r="SLV57" s="244"/>
      <c r="SLW57" s="245"/>
      <c r="SLX57" s="245"/>
      <c r="SLY57" s="244"/>
      <c r="SLZ57" s="246"/>
      <c r="SMA57" s="247"/>
      <c r="SMB57" s="275"/>
      <c r="SMC57" s="275"/>
      <c r="SMD57" s="275"/>
      <c r="SME57" s="275"/>
      <c r="SMF57" s="275"/>
      <c r="SMG57" s="275"/>
      <c r="SMH57" s="137"/>
      <c r="SMI57" s="137"/>
      <c r="SMJ57" s="135"/>
      <c r="SMK57" s="137"/>
      <c r="SMM57" s="250"/>
      <c r="SMN57" s="250"/>
      <c r="SMO57" s="243"/>
      <c r="SMP57" s="276"/>
      <c r="SMQ57" s="276"/>
      <c r="SMR57" s="276"/>
      <c r="SMS57" s="244"/>
      <c r="SMT57" s="244"/>
      <c r="SMU57" s="244"/>
      <c r="SMV57" s="245"/>
      <c r="SMW57" s="245"/>
      <c r="SMX57" s="244"/>
      <c r="SMY57" s="246"/>
      <c r="SMZ57" s="247"/>
      <c r="SNA57" s="275"/>
      <c r="SNB57" s="275"/>
      <c r="SNC57" s="275"/>
      <c r="SND57" s="275"/>
      <c r="SNE57" s="275"/>
      <c r="SNF57" s="275"/>
      <c r="SNG57" s="137"/>
      <c r="SNH57" s="137"/>
      <c r="SNI57" s="135"/>
      <c r="SNJ57" s="137"/>
      <c r="SNL57" s="250"/>
      <c r="SNM57" s="250"/>
      <c r="SNN57" s="243"/>
      <c r="SNO57" s="276"/>
      <c r="SNP57" s="276"/>
      <c r="SNQ57" s="276"/>
      <c r="SNR57" s="244"/>
      <c r="SNS57" s="244"/>
      <c r="SNT57" s="244"/>
      <c r="SNU57" s="245"/>
      <c r="SNV57" s="245"/>
      <c r="SNW57" s="244"/>
      <c r="SNX57" s="246"/>
      <c r="SNY57" s="247"/>
      <c r="SNZ57" s="275"/>
      <c r="SOA57" s="275"/>
      <c r="SOB57" s="275"/>
      <c r="SOC57" s="275"/>
      <c r="SOD57" s="275"/>
      <c r="SOE57" s="275"/>
      <c r="SOF57" s="137"/>
      <c r="SOG57" s="137"/>
      <c r="SOH57" s="135"/>
      <c r="SOI57" s="137"/>
      <c r="SOK57" s="250"/>
      <c r="SOL57" s="250"/>
      <c r="SOM57" s="243"/>
      <c r="SON57" s="276"/>
      <c r="SOO57" s="276"/>
      <c r="SOP57" s="276"/>
      <c r="SOQ57" s="244"/>
      <c r="SOR57" s="244"/>
      <c r="SOS57" s="244"/>
      <c r="SOT57" s="245"/>
      <c r="SOU57" s="245"/>
      <c r="SOV57" s="244"/>
      <c r="SOW57" s="246"/>
      <c r="SOX57" s="247"/>
      <c r="SOY57" s="275"/>
      <c r="SOZ57" s="275"/>
      <c r="SPA57" s="275"/>
      <c r="SPB57" s="275"/>
      <c r="SPC57" s="275"/>
      <c r="SPD57" s="275"/>
      <c r="SPE57" s="137"/>
      <c r="SPF57" s="137"/>
      <c r="SPG57" s="135"/>
      <c r="SPH57" s="137"/>
      <c r="SPJ57" s="250"/>
      <c r="SPK57" s="250"/>
      <c r="SPL57" s="243"/>
      <c r="SPM57" s="276"/>
      <c r="SPN57" s="276"/>
      <c r="SPO57" s="276"/>
      <c r="SPP57" s="244"/>
      <c r="SPQ57" s="244"/>
      <c r="SPR57" s="244"/>
      <c r="SPS57" s="245"/>
      <c r="SPT57" s="245"/>
      <c r="SPU57" s="244"/>
      <c r="SPV57" s="246"/>
      <c r="SPW57" s="247"/>
      <c r="SPX57" s="275"/>
      <c r="SPY57" s="275"/>
      <c r="SPZ57" s="275"/>
      <c r="SQA57" s="275"/>
      <c r="SQB57" s="275"/>
      <c r="SQC57" s="275"/>
      <c r="SQD57" s="137"/>
      <c r="SQE57" s="137"/>
      <c r="SQF57" s="135"/>
      <c r="SQG57" s="137"/>
      <c r="SQI57" s="250"/>
      <c r="SQJ57" s="250"/>
      <c r="SQK57" s="243"/>
      <c r="SQL57" s="276"/>
      <c r="SQM57" s="276"/>
      <c r="SQN57" s="276"/>
      <c r="SQO57" s="244"/>
      <c r="SQP57" s="244"/>
      <c r="SQQ57" s="244"/>
      <c r="SQR57" s="245"/>
      <c r="SQS57" s="245"/>
      <c r="SQT57" s="244"/>
      <c r="SQU57" s="246"/>
      <c r="SQV57" s="247"/>
      <c r="SQW57" s="275"/>
      <c r="SQX57" s="275"/>
      <c r="SQY57" s="275"/>
      <c r="SQZ57" s="275"/>
      <c r="SRA57" s="275"/>
      <c r="SRB57" s="275"/>
      <c r="SRC57" s="137"/>
      <c r="SRD57" s="137"/>
      <c r="SRE57" s="135"/>
      <c r="SRF57" s="137"/>
      <c r="SRH57" s="250"/>
      <c r="SRI57" s="250"/>
      <c r="SRJ57" s="243"/>
      <c r="SRK57" s="276"/>
      <c r="SRL57" s="276"/>
      <c r="SRM57" s="276"/>
      <c r="SRN57" s="244"/>
      <c r="SRO57" s="244"/>
      <c r="SRP57" s="244"/>
      <c r="SRQ57" s="245"/>
      <c r="SRR57" s="245"/>
      <c r="SRS57" s="244"/>
      <c r="SRT57" s="246"/>
      <c r="SRU57" s="247"/>
      <c r="SRV57" s="275"/>
      <c r="SRW57" s="275"/>
      <c r="SRX57" s="275"/>
      <c r="SRY57" s="275"/>
      <c r="SRZ57" s="275"/>
      <c r="SSA57" s="275"/>
      <c r="SSB57" s="137"/>
      <c r="SSC57" s="137"/>
      <c r="SSD57" s="135"/>
      <c r="SSE57" s="137"/>
      <c r="SSG57" s="250"/>
      <c r="SSH57" s="250"/>
      <c r="SSI57" s="243"/>
      <c r="SSJ57" s="276"/>
      <c r="SSK57" s="276"/>
      <c r="SSL57" s="276"/>
      <c r="SSM57" s="244"/>
      <c r="SSN57" s="244"/>
      <c r="SSO57" s="244"/>
      <c r="SSP57" s="245"/>
      <c r="SSQ57" s="245"/>
      <c r="SSR57" s="244"/>
      <c r="SSS57" s="246"/>
      <c r="SST57" s="247"/>
      <c r="SSU57" s="275"/>
      <c r="SSV57" s="275"/>
      <c r="SSW57" s="275"/>
      <c r="SSX57" s="275"/>
      <c r="SSY57" s="275"/>
      <c r="SSZ57" s="275"/>
      <c r="STA57" s="137"/>
      <c r="STB57" s="137"/>
      <c r="STC57" s="135"/>
      <c r="STD57" s="137"/>
      <c r="STF57" s="250"/>
      <c r="STG57" s="250"/>
      <c r="STH57" s="243"/>
      <c r="STI57" s="276"/>
      <c r="STJ57" s="276"/>
      <c r="STK57" s="276"/>
      <c r="STL57" s="244"/>
      <c r="STM57" s="244"/>
      <c r="STN57" s="244"/>
      <c r="STO57" s="245"/>
      <c r="STP57" s="245"/>
      <c r="STQ57" s="244"/>
      <c r="STR57" s="246"/>
      <c r="STS57" s="247"/>
      <c r="STT57" s="275"/>
      <c r="STU57" s="275"/>
      <c r="STV57" s="275"/>
      <c r="STW57" s="275"/>
      <c r="STX57" s="275"/>
      <c r="STY57" s="275"/>
      <c r="STZ57" s="137"/>
      <c r="SUA57" s="137"/>
      <c r="SUB57" s="135"/>
      <c r="SUC57" s="137"/>
      <c r="SUE57" s="250"/>
      <c r="SUF57" s="250"/>
      <c r="SUG57" s="243"/>
      <c r="SUH57" s="276"/>
      <c r="SUI57" s="276"/>
      <c r="SUJ57" s="276"/>
      <c r="SUK57" s="244"/>
      <c r="SUL57" s="244"/>
      <c r="SUM57" s="244"/>
      <c r="SUN57" s="245"/>
      <c r="SUO57" s="245"/>
      <c r="SUP57" s="244"/>
      <c r="SUQ57" s="246"/>
      <c r="SUR57" s="247"/>
      <c r="SUS57" s="275"/>
      <c r="SUT57" s="275"/>
      <c r="SUU57" s="275"/>
      <c r="SUV57" s="275"/>
      <c r="SUW57" s="275"/>
      <c r="SUX57" s="275"/>
      <c r="SUY57" s="137"/>
      <c r="SUZ57" s="137"/>
      <c r="SVA57" s="135"/>
      <c r="SVB57" s="137"/>
      <c r="SVD57" s="250"/>
      <c r="SVE57" s="250"/>
      <c r="SVF57" s="243"/>
      <c r="SVG57" s="276"/>
      <c r="SVH57" s="276"/>
      <c r="SVI57" s="276"/>
      <c r="SVJ57" s="244"/>
      <c r="SVK57" s="244"/>
      <c r="SVL57" s="244"/>
      <c r="SVM57" s="245"/>
      <c r="SVN57" s="245"/>
      <c r="SVO57" s="244"/>
      <c r="SVP57" s="246"/>
      <c r="SVQ57" s="247"/>
      <c r="SVR57" s="275"/>
      <c r="SVS57" s="275"/>
      <c r="SVT57" s="275"/>
      <c r="SVU57" s="275"/>
      <c r="SVV57" s="275"/>
      <c r="SVW57" s="275"/>
      <c r="SVX57" s="137"/>
      <c r="SVY57" s="137"/>
      <c r="SVZ57" s="135"/>
      <c r="SWA57" s="137"/>
      <c r="SWC57" s="250"/>
      <c r="SWD57" s="250"/>
      <c r="SWE57" s="243"/>
      <c r="SWF57" s="276"/>
      <c r="SWG57" s="276"/>
      <c r="SWH57" s="276"/>
      <c r="SWI57" s="244"/>
      <c r="SWJ57" s="244"/>
      <c r="SWK57" s="244"/>
      <c r="SWL57" s="245"/>
      <c r="SWM57" s="245"/>
      <c r="SWN57" s="244"/>
      <c r="SWO57" s="246"/>
      <c r="SWP57" s="247"/>
      <c r="SWQ57" s="275"/>
      <c r="SWR57" s="275"/>
      <c r="SWS57" s="275"/>
      <c r="SWT57" s="275"/>
      <c r="SWU57" s="275"/>
      <c r="SWV57" s="275"/>
      <c r="SWW57" s="137"/>
      <c r="SWX57" s="137"/>
      <c r="SWY57" s="135"/>
      <c r="SWZ57" s="137"/>
      <c r="SXB57" s="250"/>
      <c r="SXC57" s="250"/>
      <c r="SXD57" s="243"/>
      <c r="SXE57" s="276"/>
      <c r="SXF57" s="276"/>
      <c r="SXG57" s="276"/>
      <c r="SXH57" s="244"/>
      <c r="SXI57" s="244"/>
      <c r="SXJ57" s="244"/>
      <c r="SXK57" s="245"/>
      <c r="SXL57" s="245"/>
      <c r="SXM57" s="244"/>
      <c r="SXN57" s="246"/>
      <c r="SXO57" s="247"/>
      <c r="SXP57" s="275"/>
      <c r="SXQ57" s="275"/>
      <c r="SXR57" s="275"/>
      <c r="SXS57" s="275"/>
      <c r="SXT57" s="275"/>
      <c r="SXU57" s="275"/>
      <c r="SXV57" s="137"/>
      <c r="SXW57" s="137"/>
      <c r="SXX57" s="135"/>
      <c r="SXY57" s="137"/>
      <c r="SYA57" s="250"/>
      <c r="SYB57" s="250"/>
      <c r="SYC57" s="243"/>
      <c r="SYD57" s="276"/>
      <c r="SYE57" s="276"/>
      <c r="SYF57" s="276"/>
      <c r="SYG57" s="244"/>
      <c r="SYH57" s="244"/>
      <c r="SYI57" s="244"/>
      <c r="SYJ57" s="245"/>
      <c r="SYK57" s="245"/>
      <c r="SYL57" s="244"/>
      <c r="SYM57" s="246"/>
      <c r="SYN57" s="247"/>
      <c r="SYO57" s="275"/>
      <c r="SYP57" s="275"/>
      <c r="SYQ57" s="275"/>
      <c r="SYR57" s="275"/>
      <c r="SYS57" s="275"/>
      <c r="SYT57" s="275"/>
      <c r="SYU57" s="137"/>
      <c r="SYV57" s="137"/>
      <c r="SYW57" s="135"/>
      <c r="SYX57" s="137"/>
      <c r="SYZ57" s="250"/>
      <c r="SZA57" s="250"/>
      <c r="SZB57" s="243"/>
      <c r="SZC57" s="276"/>
      <c r="SZD57" s="276"/>
      <c r="SZE57" s="276"/>
      <c r="SZF57" s="244"/>
      <c r="SZG57" s="244"/>
      <c r="SZH57" s="244"/>
      <c r="SZI57" s="245"/>
      <c r="SZJ57" s="245"/>
      <c r="SZK57" s="244"/>
      <c r="SZL57" s="246"/>
      <c r="SZM57" s="247"/>
      <c r="SZN57" s="275"/>
      <c r="SZO57" s="275"/>
      <c r="SZP57" s="275"/>
      <c r="SZQ57" s="275"/>
      <c r="SZR57" s="275"/>
      <c r="SZS57" s="275"/>
      <c r="SZT57" s="137"/>
      <c r="SZU57" s="137"/>
      <c r="SZV57" s="135"/>
      <c r="SZW57" s="137"/>
      <c r="SZY57" s="250"/>
      <c r="SZZ57" s="250"/>
      <c r="TAA57" s="243"/>
      <c r="TAB57" s="276"/>
      <c r="TAC57" s="276"/>
      <c r="TAD57" s="276"/>
      <c r="TAE57" s="244"/>
      <c r="TAF57" s="244"/>
      <c r="TAG57" s="244"/>
      <c r="TAH57" s="245"/>
      <c r="TAI57" s="245"/>
      <c r="TAJ57" s="244"/>
      <c r="TAK57" s="246"/>
      <c r="TAL57" s="247"/>
      <c r="TAM57" s="275"/>
      <c r="TAN57" s="275"/>
      <c r="TAO57" s="275"/>
      <c r="TAP57" s="275"/>
      <c r="TAQ57" s="275"/>
      <c r="TAR57" s="275"/>
      <c r="TAS57" s="137"/>
      <c r="TAT57" s="137"/>
      <c r="TAU57" s="135"/>
      <c r="TAV57" s="137"/>
      <c r="TAX57" s="250"/>
      <c r="TAY57" s="250"/>
      <c r="TAZ57" s="243"/>
      <c r="TBA57" s="276"/>
      <c r="TBB57" s="276"/>
      <c r="TBC57" s="276"/>
      <c r="TBD57" s="244"/>
      <c r="TBE57" s="244"/>
      <c r="TBF57" s="244"/>
      <c r="TBG57" s="245"/>
      <c r="TBH57" s="245"/>
      <c r="TBI57" s="244"/>
      <c r="TBJ57" s="246"/>
      <c r="TBK57" s="247"/>
      <c r="TBL57" s="275"/>
      <c r="TBM57" s="275"/>
      <c r="TBN57" s="275"/>
      <c r="TBO57" s="275"/>
      <c r="TBP57" s="275"/>
      <c r="TBQ57" s="275"/>
      <c r="TBR57" s="137"/>
      <c r="TBS57" s="137"/>
      <c r="TBT57" s="135"/>
      <c r="TBU57" s="137"/>
      <c r="TBW57" s="250"/>
      <c r="TBX57" s="250"/>
      <c r="TBY57" s="243"/>
      <c r="TBZ57" s="276"/>
      <c r="TCA57" s="276"/>
      <c r="TCB57" s="276"/>
      <c r="TCC57" s="244"/>
      <c r="TCD57" s="244"/>
      <c r="TCE57" s="244"/>
      <c r="TCF57" s="245"/>
      <c r="TCG57" s="245"/>
      <c r="TCH57" s="244"/>
      <c r="TCI57" s="246"/>
      <c r="TCJ57" s="247"/>
      <c r="TCK57" s="275"/>
      <c r="TCL57" s="275"/>
      <c r="TCM57" s="275"/>
      <c r="TCN57" s="275"/>
      <c r="TCO57" s="275"/>
      <c r="TCP57" s="275"/>
      <c r="TCQ57" s="137"/>
      <c r="TCR57" s="137"/>
      <c r="TCS57" s="135"/>
      <c r="TCT57" s="137"/>
      <c r="TCV57" s="250"/>
      <c r="TCW57" s="250"/>
      <c r="TCX57" s="243"/>
      <c r="TCY57" s="276"/>
      <c r="TCZ57" s="276"/>
      <c r="TDA57" s="276"/>
      <c r="TDB57" s="244"/>
      <c r="TDC57" s="244"/>
      <c r="TDD57" s="244"/>
      <c r="TDE57" s="245"/>
      <c r="TDF57" s="245"/>
      <c r="TDG57" s="244"/>
      <c r="TDH57" s="246"/>
      <c r="TDI57" s="247"/>
      <c r="TDJ57" s="275"/>
      <c r="TDK57" s="275"/>
      <c r="TDL57" s="275"/>
      <c r="TDM57" s="275"/>
      <c r="TDN57" s="275"/>
      <c r="TDO57" s="275"/>
      <c r="TDP57" s="137"/>
      <c r="TDQ57" s="137"/>
      <c r="TDR57" s="135"/>
      <c r="TDS57" s="137"/>
      <c r="TDU57" s="250"/>
      <c r="TDV57" s="250"/>
      <c r="TDW57" s="243"/>
      <c r="TDX57" s="276"/>
      <c r="TDY57" s="276"/>
      <c r="TDZ57" s="276"/>
      <c r="TEA57" s="244"/>
      <c r="TEB57" s="244"/>
      <c r="TEC57" s="244"/>
      <c r="TED57" s="245"/>
      <c r="TEE57" s="245"/>
      <c r="TEF57" s="244"/>
      <c r="TEG57" s="246"/>
      <c r="TEH57" s="247"/>
      <c r="TEI57" s="275"/>
      <c r="TEJ57" s="275"/>
      <c r="TEK57" s="275"/>
      <c r="TEL57" s="275"/>
      <c r="TEM57" s="275"/>
      <c r="TEN57" s="275"/>
      <c r="TEO57" s="137"/>
      <c r="TEP57" s="137"/>
      <c r="TEQ57" s="135"/>
      <c r="TER57" s="137"/>
      <c r="TET57" s="250"/>
      <c r="TEU57" s="250"/>
      <c r="TEV57" s="243"/>
      <c r="TEW57" s="276"/>
      <c r="TEX57" s="276"/>
      <c r="TEY57" s="276"/>
      <c r="TEZ57" s="244"/>
      <c r="TFA57" s="244"/>
      <c r="TFB57" s="244"/>
      <c r="TFC57" s="245"/>
      <c r="TFD57" s="245"/>
      <c r="TFE57" s="244"/>
      <c r="TFF57" s="246"/>
      <c r="TFG57" s="247"/>
      <c r="TFH57" s="275"/>
      <c r="TFI57" s="275"/>
      <c r="TFJ57" s="275"/>
      <c r="TFK57" s="275"/>
      <c r="TFL57" s="275"/>
      <c r="TFM57" s="275"/>
      <c r="TFN57" s="137"/>
      <c r="TFO57" s="137"/>
      <c r="TFP57" s="135"/>
      <c r="TFQ57" s="137"/>
      <c r="TFS57" s="250"/>
      <c r="TFT57" s="250"/>
      <c r="TFU57" s="243"/>
      <c r="TFV57" s="276"/>
      <c r="TFW57" s="276"/>
      <c r="TFX57" s="276"/>
      <c r="TFY57" s="244"/>
      <c r="TFZ57" s="244"/>
      <c r="TGA57" s="244"/>
      <c r="TGB57" s="245"/>
      <c r="TGC57" s="245"/>
      <c r="TGD57" s="244"/>
      <c r="TGE57" s="246"/>
      <c r="TGF57" s="247"/>
      <c r="TGG57" s="275"/>
      <c r="TGH57" s="275"/>
      <c r="TGI57" s="275"/>
      <c r="TGJ57" s="275"/>
      <c r="TGK57" s="275"/>
      <c r="TGL57" s="275"/>
      <c r="TGM57" s="137"/>
      <c r="TGN57" s="137"/>
      <c r="TGO57" s="135"/>
      <c r="TGP57" s="137"/>
      <c r="TGR57" s="250"/>
      <c r="TGS57" s="250"/>
      <c r="TGT57" s="243"/>
      <c r="TGU57" s="276"/>
      <c r="TGV57" s="276"/>
      <c r="TGW57" s="276"/>
      <c r="TGX57" s="244"/>
      <c r="TGY57" s="244"/>
      <c r="TGZ57" s="244"/>
      <c r="THA57" s="245"/>
      <c r="THB57" s="245"/>
      <c r="THC57" s="244"/>
      <c r="THD57" s="246"/>
      <c r="THE57" s="247"/>
      <c r="THF57" s="275"/>
      <c r="THG57" s="275"/>
      <c r="THH57" s="275"/>
      <c r="THI57" s="275"/>
      <c r="THJ57" s="275"/>
      <c r="THK57" s="275"/>
      <c r="THL57" s="137"/>
      <c r="THM57" s="137"/>
      <c r="THN57" s="135"/>
      <c r="THO57" s="137"/>
      <c r="THQ57" s="250"/>
      <c r="THR57" s="250"/>
      <c r="THS57" s="243"/>
      <c r="THT57" s="276"/>
      <c r="THU57" s="276"/>
      <c r="THV57" s="276"/>
      <c r="THW57" s="244"/>
      <c r="THX57" s="244"/>
      <c r="THY57" s="244"/>
      <c r="THZ57" s="245"/>
      <c r="TIA57" s="245"/>
      <c r="TIB57" s="244"/>
      <c r="TIC57" s="246"/>
      <c r="TID57" s="247"/>
      <c r="TIE57" s="275"/>
      <c r="TIF57" s="275"/>
      <c r="TIG57" s="275"/>
      <c r="TIH57" s="275"/>
      <c r="TII57" s="275"/>
      <c r="TIJ57" s="275"/>
      <c r="TIK57" s="137"/>
      <c r="TIL57" s="137"/>
      <c r="TIM57" s="135"/>
      <c r="TIN57" s="137"/>
      <c r="TIP57" s="250"/>
      <c r="TIQ57" s="250"/>
      <c r="TIR57" s="243"/>
      <c r="TIS57" s="276"/>
      <c r="TIT57" s="276"/>
      <c r="TIU57" s="276"/>
      <c r="TIV57" s="244"/>
      <c r="TIW57" s="244"/>
      <c r="TIX57" s="244"/>
      <c r="TIY57" s="245"/>
      <c r="TIZ57" s="245"/>
      <c r="TJA57" s="244"/>
      <c r="TJB57" s="246"/>
      <c r="TJC57" s="247"/>
      <c r="TJD57" s="275"/>
      <c r="TJE57" s="275"/>
      <c r="TJF57" s="275"/>
      <c r="TJG57" s="275"/>
      <c r="TJH57" s="275"/>
      <c r="TJI57" s="275"/>
      <c r="TJJ57" s="137"/>
      <c r="TJK57" s="137"/>
      <c r="TJL57" s="135"/>
      <c r="TJM57" s="137"/>
      <c r="TJO57" s="250"/>
      <c r="TJP57" s="250"/>
      <c r="TJQ57" s="243"/>
      <c r="TJR57" s="276"/>
      <c r="TJS57" s="276"/>
      <c r="TJT57" s="276"/>
      <c r="TJU57" s="244"/>
      <c r="TJV57" s="244"/>
      <c r="TJW57" s="244"/>
      <c r="TJX57" s="245"/>
      <c r="TJY57" s="245"/>
      <c r="TJZ57" s="244"/>
      <c r="TKA57" s="246"/>
      <c r="TKB57" s="247"/>
      <c r="TKC57" s="275"/>
      <c r="TKD57" s="275"/>
      <c r="TKE57" s="275"/>
      <c r="TKF57" s="275"/>
      <c r="TKG57" s="275"/>
      <c r="TKH57" s="275"/>
      <c r="TKI57" s="137"/>
      <c r="TKJ57" s="137"/>
      <c r="TKK57" s="135"/>
      <c r="TKL57" s="137"/>
      <c r="TKN57" s="250"/>
      <c r="TKO57" s="250"/>
      <c r="TKP57" s="243"/>
      <c r="TKQ57" s="276"/>
      <c r="TKR57" s="276"/>
      <c r="TKS57" s="276"/>
      <c r="TKT57" s="244"/>
      <c r="TKU57" s="244"/>
      <c r="TKV57" s="244"/>
      <c r="TKW57" s="245"/>
      <c r="TKX57" s="245"/>
      <c r="TKY57" s="244"/>
      <c r="TKZ57" s="246"/>
      <c r="TLA57" s="247"/>
      <c r="TLB57" s="275"/>
      <c r="TLC57" s="275"/>
      <c r="TLD57" s="275"/>
      <c r="TLE57" s="275"/>
      <c r="TLF57" s="275"/>
      <c r="TLG57" s="275"/>
      <c r="TLH57" s="137"/>
      <c r="TLI57" s="137"/>
      <c r="TLJ57" s="135"/>
      <c r="TLK57" s="137"/>
      <c r="TLM57" s="250"/>
      <c r="TLN57" s="250"/>
      <c r="TLO57" s="243"/>
      <c r="TLP57" s="276"/>
      <c r="TLQ57" s="276"/>
      <c r="TLR57" s="276"/>
      <c r="TLS57" s="244"/>
      <c r="TLT57" s="244"/>
      <c r="TLU57" s="244"/>
      <c r="TLV57" s="245"/>
      <c r="TLW57" s="245"/>
      <c r="TLX57" s="244"/>
      <c r="TLY57" s="246"/>
      <c r="TLZ57" s="247"/>
      <c r="TMA57" s="275"/>
      <c r="TMB57" s="275"/>
      <c r="TMC57" s="275"/>
      <c r="TMD57" s="275"/>
      <c r="TME57" s="275"/>
      <c r="TMF57" s="275"/>
      <c r="TMG57" s="137"/>
      <c r="TMH57" s="137"/>
      <c r="TMI57" s="135"/>
      <c r="TMJ57" s="137"/>
      <c r="TML57" s="250"/>
      <c r="TMM57" s="250"/>
      <c r="TMN57" s="243"/>
      <c r="TMO57" s="276"/>
      <c r="TMP57" s="276"/>
      <c r="TMQ57" s="276"/>
      <c r="TMR57" s="244"/>
      <c r="TMS57" s="244"/>
      <c r="TMT57" s="244"/>
      <c r="TMU57" s="245"/>
      <c r="TMV57" s="245"/>
      <c r="TMW57" s="244"/>
      <c r="TMX57" s="246"/>
      <c r="TMY57" s="247"/>
      <c r="TMZ57" s="275"/>
      <c r="TNA57" s="275"/>
      <c r="TNB57" s="275"/>
      <c r="TNC57" s="275"/>
      <c r="TND57" s="275"/>
      <c r="TNE57" s="275"/>
      <c r="TNF57" s="137"/>
      <c r="TNG57" s="137"/>
      <c r="TNH57" s="135"/>
      <c r="TNI57" s="137"/>
      <c r="TNK57" s="250"/>
      <c r="TNL57" s="250"/>
      <c r="TNM57" s="243"/>
      <c r="TNN57" s="276"/>
      <c r="TNO57" s="276"/>
      <c r="TNP57" s="276"/>
      <c r="TNQ57" s="244"/>
      <c r="TNR57" s="244"/>
      <c r="TNS57" s="244"/>
      <c r="TNT57" s="245"/>
      <c r="TNU57" s="245"/>
      <c r="TNV57" s="244"/>
      <c r="TNW57" s="246"/>
      <c r="TNX57" s="247"/>
      <c r="TNY57" s="275"/>
      <c r="TNZ57" s="275"/>
      <c r="TOA57" s="275"/>
      <c r="TOB57" s="275"/>
      <c r="TOC57" s="275"/>
      <c r="TOD57" s="275"/>
      <c r="TOE57" s="137"/>
      <c r="TOF57" s="137"/>
      <c r="TOG57" s="135"/>
      <c r="TOH57" s="137"/>
      <c r="TOJ57" s="250"/>
      <c r="TOK57" s="250"/>
      <c r="TOL57" s="243"/>
      <c r="TOM57" s="276"/>
      <c r="TON57" s="276"/>
      <c r="TOO57" s="276"/>
      <c r="TOP57" s="244"/>
      <c r="TOQ57" s="244"/>
      <c r="TOR57" s="244"/>
      <c r="TOS57" s="245"/>
      <c r="TOT57" s="245"/>
      <c r="TOU57" s="244"/>
      <c r="TOV57" s="246"/>
      <c r="TOW57" s="247"/>
      <c r="TOX57" s="275"/>
      <c r="TOY57" s="275"/>
      <c r="TOZ57" s="275"/>
      <c r="TPA57" s="275"/>
      <c r="TPB57" s="275"/>
      <c r="TPC57" s="275"/>
      <c r="TPD57" s="137"/>
      <c r="TPE57" s="137"/>
      <c r="TPF57" s="135"/>
      <c r="TPG57" s="137"/>
      <c r="TPI57" s="250"/>
      <c r="TPJ57" s="250"/>
      <c r="TPK57" s="243"/>
      <c r="TPL57" s="276"/>
      <c r="TPM57" s="276"/>
      <c r="TPN57" s="276"/>
      <c r="TPO57" s="244"/>
      <c r="TPP57" s="244"/>
      <c r="TPQ57" s="244"/>
      <c r="TPR57" s="245"/>
      <c r="TPS57" s="245"/>
      <c r="TPT57" s="244"/>
      <c r="TPU57" s="246"/>
      <c r="TPV57" s="247"/>
      <c r="TPW57" s="275"/>
      <c r="TPX57" s="275"/>
      <c r="TPY57" s="275"/>
      <c r="TPZ57" s="275"/>
      <c r="TQA57" s="275"/>
      <c r="TQB57" s="275"/>
      <c r="TQC57" s="137"/>
      <c r="TQD57" s="137"/>
      <c r="TQE57" s="135"/>
      <c r="TQF57" s="137"/>
      <c r="TQH57" s="250"/>
      <c r="TQI57" s="250"/>
      <c r="TQJ57" s="243"/>
      <c r="TQK57" s="276"/>
      <c r="TQL57" s="276"/>
      <c r="TQM57" s="276"/>
      <c r="TQN57" s="244"/>
      <c r="TQO57" s="244"/>
      <c r="TQP57" s="244"/>
      <c r="TQQ57" s="245"/>
      <c r="TQR57" s="245"/>
      <c r="TQS57" s="244"/>
      <c r="TQT57" s="246"/>
      <c r="TQU57" s="247"/>
      <c r="TQV57" s="275"/>
      <c r="TQW57" s="275"/>
      <c r="TQX57" s="275"/>
      <c r="TQY57" s="275"/>
      <c r="TQZ57" s="275"/>
      <c r="TRA57" s="275"/>
      <c r="TRB57" s="137"/>
      <c r="TRC57" s="137"/>
      <c r="TRD57" s="135"/>
      <c r="TRE57" s="137"/>
      <c r="TRG57" s="250"/>
      <c r="TRH57" s="250"/>
      <c r="TRI57" s="243"/>
      <c r="TRJ57" s="276"/>
      <c r="TRK57" s="276"/>
      <c r="TRL57" s="276"/>
      <c r="TRM57" s="244"/>
      <c r="TRN57" s="244"/>
      <c r="TRO57" s="244"/>
      <c r="TRP57" s="245"/>
      <c r="TRQ57" s="245"/>
      <c r="TRR57" s="244"/>
      <c r="TRS57" s="246"/>
      <c r="TRT57" s="247"/>
      <c r="TRU57" s="275"/>
      <c r="TRV57" s="275"/>
      <c r="TRW57" s="275"/>
      <c r="TRX57" s="275"/>
      <c r="TRY57" s="275"/>
      <c r="TRZ57" s="275"/>
      <c r="TSA57" s="137"/>
      <c r="TSB57" s="137"/>
      <c r="TSC57" s="135"/>
      <c r="TSD57" s="137"/>
      <c r="TSF57" s="250"/>
      <c r="TSG57" s="250"/>
      <c r="TSH57" s="243"/>
      <c r="TSI57" s="276"/>
      <c r="TSJ57" s="276"/>
      <c r="TSK57" s="276"/>
      <c r="TSL57" s="244"/>
      <c r="TSM57" s="244"/>
      <c r="TSN57" s="244"/>
      <c r="TSO57" s="245"/>
      <c r="TSP57" s="245"/>
      <c r="TSQ57" s="244"/>
      <c r="TSR57" s="246"/>
      <c r="TSS57" s="247"/>
      <c r="TST57" s="275"/>
      <c r="TSU57" s="275"/>
      <c r="TSV57" s="275"/>
      <c r="TSW57" s="275"/>
      <c r="TSX57" s="275"/>
      <c r="TSY57" s="275"/>
      <c r="TSZ57" s="137"/>
      <c r="TTA57" s="137"/>
      <c r="TTB57" s="135"/>
      <c r="TTC57" s="137"/>
      <c r="TTE57" s="250"/>
      <c r="TTF57" s="250"/>
      <c r="TTG57" s="243"/>
      <c r="TTH57" s="276"/>
      <c r="TTI57" s="276"/>
      <c r="TTJ57" s="276"/>
      <c r="TTK57" s="244"/>
      <c r="TTL57" s="244"/>
      <c r="TTM57" s="244"/>
      <c r="TTN57" s="245"/>
      <c r="TTO57" s="245"/>
      <c r="TTP57" s="244"/>
      <c r="TTQ57" s="246"/>
      <c r="TTR57" s="247"/>
      <c r="TTS57" s="275"/>
      <c r="TTT57" s="275"/>
      <c r="TTU57" s="275"/>
      <c r="TTV57" s="275"/>
      <c r="TTW57" s="275"/>
      <c r="TTX57" s="275"/>
      <c r="TTY57" s="137"/>
      <c r="TTZ57" s="137"/>
      <c r="TUA57" s="135"/>
      <c r="TUB57" s="137"/>
      <c r="TUD57" s="250"/>
      <c r="TUE57" s="250"/>
      <c r="TUF57" s="243"/>
      <c r="TUG57" s="276"/>
      <c r="TUH57" s="276"/>
      <c r="TUI57" s="276"/>
      <c r="TUJ57" s="244"/>
      <c r="TUK57" s="244"/>
      <c r="TUL57" s="244"/>
      <c r="TUM57" s="245"/>
      <c r="TUN57" s="245"/>
      <c r="TUO57" s="244"/>
      <c r="TUP57" s="246"/>
      <c r="TUQ57" s="247"/>
      <c r="TUR57" s="275"/>
      <c r="TUS57" s="275"/>
      <c r="TUT57" s="275"/>
      <c r="TUU57" s="275"/>
      <c r="TUV57" s="275"/>
      <c r="TUW57" s="275"/>
      <c r="TUX57" s="137"/>
      <c r="TUY57" s="137"/>
      <c r="TUZ57" s="135"/>
      <c r="TVA57" s="137"/>
      <c r="TVC57" s="250"/>
      <c r="TVD57" s="250"/>
      <c r="TVE57" s="243"/>
      <c r="TVF57" s="276"/>
      <c r="TVG57" s="276"/>
      <c r="TVH57" s="276"/>
      <c r="TVI57" s="244"/>
      <c r="TVJ57" s="244"/>
      <c r="TVK57" s="244"/>
      <c r="TVL57" s="245"/>
      <c r="TVM57" s="245"/>
      <c r="TVN57" s="244"/>
      <c r="TVO57" s="246"/>
      <c r="TVP57" s="247"/>
      <c r="TVQ57" s="275"/>
      <c r="TVR57" s="275"/>
      <c r="TVS57" s="275"/>
      <c r="TVT57" s="275"/>
      <c r="TVU57" s="275"/>
      <c r="TVV57" s="275"/>
      <c r="TVW57" s="137"/>
      <c r="TVX57" s="137"/>
      <c r="TVY57" s="135"/>
      <c r="TVZ57" s="137"/>
      <c r="TWB57" s="250"/>
      <c r="TWC57" s="250"/>
      <c r="TWD57" s="243"/>
      <c r="TWE57" s="276"/>
      <c r="TWF57" s="276"/>
      <c r="TWG57" s="276"/>
      <c r="TWH57" s="244"/>
      <c r="TWI57" s="244"/>
      <c r="TWJ57" s="244"/>
      <c r="TWK57" s="245"/>
      <c r="TWL57" s="245"/>
      <c r="TWM57" s="244"/>
      <c r="TWN57" s="246"/>
      <c r="TWO57" s="247"/>
      <c r="TWP57" s="275"/>
      <c r="TWQ57" s="275"/>
      <c r="TWR57" s="275"/>
      <c r="TWS57" s="275"/>
      <c r="TWT57" s="275"/>
      <c r="TWU57" s="275"/>
      <c r="TWV57" s="137"/>
      <c r="TWW57" s="137"/>
      <c r="TWX57" s="135"/>
      <c r="TWY57" s="137"/>
      <c r="TXA57" s="250"/>
      <c r="TXB57" s="250"/>
      <c r="TXC57" s="243"/>
      <c r="TXD57" s="276"/>
      <c r="TXE57" s="276"/>
      <c r="TXF57" s="276"/>
      <c r="TXG57" s="244"/>
      <c r="TXH57" s="244"/>
      <c r="TXI57" s="244"/>
      <c r="TXJ57" s="245"/>
      <c r="TXK57" s="245"/>
      <c r="TXL57" s="244"/>
      <c r="TXM57" s="246"/>
      <c r="TXN57" s="247"/>
      <c r="TXO57" s="275"/>
      <c r="TXP57" s="275"/>
      <c r="TXQ57" s="275"/>
      <c r="TXR57" s="275"/>
      <c r="TXS57" s="275"/>
      <c r="TXT57" s="275"/>
      <c r="TXU57" s="137"/>
      <c r="TXV57" s="137"/>
      <c r="TXW57" s="135"/>
      <c r="TXX57" s="137"/>
      <c r="TXZ57" s="250"/>
      <c r="TYA57" s="250"/>
      <c r="TYB57" s="243"/>
      <c r="TYC57" s="276"/>
      <c r="TYD57" s="276"/>
      <c r="TYE57" s="276"/>
      <c r="TYF57" s="244"/>
      <c r="TYG57" s="244"/>
      <c r="TYH57" s="244"/>
      <c r="TYI57" s="245"/>
      <c r="TYJ57" s="245"/>
      <c r="TYK57" s="244"/>
      <c r="TYL57" s="246"/>
      <c r="TYM57" s="247"/>
      <c r="TYN57" s="275"/>
      <c r="TYO57" s="275"/>
      <c r="TYP57" s="275"/>
      <c r="TYQ57" s="275"/>
      <c r="TYR57" s="275"/>
      <c r="TYS57" s="275"/>
      <c r="TYT57" s="137"/>
      <c r="TYU57" s="137"/>
      <c r="TYV57" s="135"/>
      <c r="TYW57" s="137"/>
      <c r="TYY57" s="250"/>
      <c r="TYZ57" s="250"/>
      <c r="TZA57" s="243"/>
      <c r="TZB57" s="276"/>
      <c r="TZC57" s="276"/>
      <c r="TZD57" s="276"/>
      <c r="TZE57" s="244"/>
      <c r="TZF57" s="244"/>
      <c r="TZG57" s="244"/>
      <c r="TZH57" s="245"/>
      <c r="TZI57" s="245"/>
      <c r="TZJ57" s="244"/>
      <c r="TZK57" s="246"/>
      <c r="TZL57" s="247"/>
      <c r="TZM57" s="275"/>
      <c r="TZN57" s="275"/>
      <c r="TZO57" s="275"/>
      <c r="TZP57" s="275"/>
      <c r="TZQ57" s="275"/>
      <c r="TZR57" s="275"/>
      <c r="TZS57" s="137"/>
      <c r="TZT57" s="137"/>
      <c r="TZU57" s="135"/>
      <c r="TZV57" s="137"/>
      <c r="TZX57" s="250"/>
      <c r="TZY57" s="250"/>
      <c r="TZZ57" s="243"/>
      <c r="UAA57" s="276"/>
      <c r="UAB57" s="276"/>
      <c r="UAC57" s="276"/>
      <c r="UAD57" s="244"/>
      <c r="UAE57" s="244"/>
      <c r="UAF57" s="244"/>
      <c r="UAG57" s="245"/>
      <c r="UAH57" s="245"/>
      <c r="UAI57" s="244"/>
      <c r="UAJ57" s="246"/>
      <c r="UAK57" s="247"/>
      <c r="UAL57" s="275"/>
      <c r="UAM57" s="275"/>
      <c r="UAN57" s="275"/>
      <c r="UAO57" s="275"/>
      <c r="UAP57" s="275"/>
      <c r="UAQ57" s="275"/>
      <c r="UAR57" s="137"/>
      <c r="UAS57" s="137"/>
      <c r="UAT57" s="135"/>
      <c r="UAU57" s="137"/>
      <c r="UAW57" s="250"/>
      <c r="UAX57" s="250"/>
      <c r="UAY57" s="243"/>
      <c r="UAZ57" s="276"/>
      <c r="UBA57" s="276"/>
      <c r="UBB57" s="276"/>
      <c r="UBC57" s="244"/>
      <c r="UBD57" s="244"/>
      <c r="UBE57" s="244"/>
      <c r="UBF57" s="245"/>
      <c r="UBG57" s="245"/>
      <c r="UBH57" s="244"/>
      <c r="UBI57" s="246"/>
      <c r="UBJ57" s="247"/>
      <c r="UBK57" s="275"/>
      <c r="UBL57" s="275"/>
      <c r="UBM57" s="275"/>
      <c r="UBN57" s="275"/>
      <c r="UBO57" s="275"/>
      <c r="UBP57" s="275"/>
      <c r="UBQ57" s="137"/>
      <c r="UBR57" s="137"/>
      <c r="UBS57" s="135"/>
      <c r="UBT57" s="137"/>
      <c r="UBV57" s="250"/>
      <c r="UBW57" s="250"/>
      <c r="UBX57" s="243"/>
      <c r="UBY57" s="276"/>
      <c r="UBZ57" s="276"/>
      <c r="UCA57" s="276"/>
      <c r="UCB57" s="244"/>
      <c r="UCC57" s="244"/>
      <c r="UCD57" s="244"/>
      <c r="UCE57" s="245"/>
      <c r="UCF57" s="245"/>
      <c r="UCG57" s="244"/>
      <c r="UCH57" s="246"/>
      <c r="UCI57" s="247"/>
      <c r="UCJ57" s="275"/>
      <c r="UCK57" s="275"/>
      <c r="UCL57" s="275"/>
      <c r="UCM57" s="275"/>
      <c r="UCN57" s="275"/>
      <c r="UCO57" s="275"/>
      <c r="UCP57" s="137"/>
      <c r="UCQ57" s="137"/>
      <c r="UCR57" s="135"/>
      <c r="UCS57" s="137"/>
      <c r="UCU57" s="250"/>
      <c r="UCV57" s="250"/>
      <c r="UCW57" s="243"/>
      <c r="UCX57" s="276"/>
      <c r="UCY57" s="276"/>
      <c r="UCZ57" s="276"/>
      <c r="UDA57" s="244"/>
      <c r="UDB57" s="244"/>
      <c r="UDC57" s="244"/>
      <c r="UDD57" s="245"/>
      <c r="UDE57" s="245"/>
      <c r="UDF57" s="244"/>
      <c r="UDG57" s="246"/>
      <c r="UDH57" s="247"/>
      <c r="UDI57" s="275"/>
      <c r="UDJ57" s="275"/>
      <c r="UDK57" s="275"/>
      <c r="UDL57" s="275"/>
      <c r="UDM57" s="275"/>
      <c r="UDN57" s="275"/>
      <c r="UDO57" s="137"/>
      <c r="UDP57" s="137"/>
      <c r="UDQ57" s="135"/>
      <c r="UDR57" s="137"/>
      <c r="UDT57" s="250"/>
      <c r="UDU57" s="250"/>
      <c r="UDV57" s="243"/>
      <c r="UDW57" s="276"/>
      <c r="UDX57" s="276"/>
      <c r="UDY57" s="276"/>
      <c r="UDZ57" s="244"/>
      <c r="UEA57" s="244"/>
      <c r="UEB57" s="244"/>
      <c r="UEC57" s="245"/>
      <c r="UED57" s="245"/>
      <c r="UEE57" s="244"/>
      <c r="UEF57" s="246"/>
      <c r="UEG57" s="247"/>
      <c r="UEH57" s="275"/>
      <c r="UEI57" s="275"/>
      <c r="UEJ57" s="275"/>
      <c r="UEK57" s="275"/>
      <c r="UEL57" s="275"/>
      <c r="UEM57" s="275"/>
      <c r="UEN57" s="137"/>
      <c r="UEO57" s="137"/>
      <c r="UEP57" s="135"/>
      <c r="UEQ57" s="137"/>
      <c r="UES57" s="250"/>
      <c r="UET57" s="250"/>
      <c r="UEU57" s="243"/>
      <c r="UEV57" s="276"/>
      <c r="UEW57" s="276"/>
      <c r="UEX57" s="276"/>
      <c r="UEY57" s="244"/>
      <c r="UEZ57" s="244"/>
      <c r="UFA57" s="244"/>
      <c r="UFB57" s="245"/>
      <c r="UFC57" s="245"/>
      <c r="UFD57" s="244"/>
      <c r="UFE57" s="246"/>
      <c r="UFF57" s="247"/>
      <c r="UFG57" s="275"/>
      <c r="UFH57" s="275"/>
      <c r="UFI57" s="275"/>
      <c r="UFJ57" s="275"/>
      <c r="UFK57" s="275"/>
      <c r="UFL57" s="275"/>
      <c r="UFM57" s="137"/>
      <c r="UFN57" s="137"/>
      <c r="UFO57" s="135"/>
      <c r="UFP57" s="137"/>
      <c r="UFR57" s="250"/>
      <c r="UFS57" s="250"/>
      <c r="UFT57" s="243"/>
      <c r="UFU57" s="276"/>
      <c r="UFV57" s="276"/>
      <c r="UFW57" s="276"/>
      <c r="UFX57" s="244"/>
      <c r="UFY57" s="244"/>
      <c r="UFZ57" s="244"/>
      <c r="UGA57" s="245"/>
      <c r="UGB57" s="245"/>
      <c r="UGC57" s="244"/>
      <c r="UGD57" s="246"/>
      <c r="UGE57" s="247"/>
      <c r="UGF57" s="275"/>
      <c r="UGG57" s="275"/>
      <c r="UGH57" s="275"/>
      <c r="UGI57" s="275"/>
      <c r="UGJ57" s="275"/>
      <c r="UGK57" s="275"/>
      <c r="UGL57" s="137"/>
      <c r="UGM57" s="137"/>
      <c r="UGN57" s="135"/>
      <c r="UGO57" s="137"/>
      <c r="UGQ57" s="250"/>
      <c r="UGR57" s="250"/>
      <c r="UGS57" s="243"/>
      <c r="UGT57" s="276"/>
      <c r="UGU57" s="276"/>
      <c r="UGV57" s="276"/>
      <c r="UGW57" s="244"/>
      <c r="UGX57" s="244"/>
      <c r="UGY57" s="244"/>
      <c r="UGZ57" s="245"/>
      <c r="UHA57" s="245"/>
      <c r="UHB57" s="244"/>
      <c r="UHC57" s="246"/>
      <c r="UHD57" s="247"/>
      <c r="UHE57" s="275"/>
      <c r="UHF57" s="275"/>
      <c r="UHG57" s="275"/>
      <c r="UHH57" s="275"/>
      <c r="UHI57" s="275"/>
      <c r="UHJ57" s="275"/>
      <c r="UHK57" s="137"/>
      <c r="UHL57" s="137"/>
      <c r="UHM57" s="135"/>
      <c r="UHN57" s="137"/>
      <c r="UHP57" s="250"/>
      <c r="UHQ57" s="250"/>
      <c r="UHR57" s="243"/>
      <c r="UHS57" s="276"/>
      <c r="UHT57" s="276"/>
      <c r="UHU57" s="276"/>
      <c r="UHV57" s="244"/>
      <c r="UHW57" s="244"/>
      <c r="UHX57" s="244"/>
      <c r="UHY57" s="245"/>
      <c r="UHZ57" s="245"/>
      <c r="UIA57" s="244"/>
      <c r="UIB57" s="246"/>
      <c r="UIC57" s="247"/>
      <c r="UID57" s="275"/>
      <c r="UIE57" s="275"/>
      <c r="UIF57" s="275"/>
      <c r="UIG57" s="275"/>
      <c r="UIH57" s="275"/>
      <c r="UII57" s="275"/>
      <c r="UIJ57" s="137"/>
      <c r="UIK57" s="137"/>
      <c r="UIL57" s="135"/>
      <c r="UIM57" s="137"/>
      <c r="UIO57" s="250"/>
      <c r="UIP57" s="250"/>
      <c r="UIQ57" s="243"/>
      <c r="UIR57" s="276"/>
      <c r="UIS57" s="276"/>
      <c r="UIT57" s="276"/>
      <c r="UIU57" s="244"/>
      <c r="UIV57" s="244"/>
      <c r="UIW57" s="244"/>
      <c r="UIX57" s="245"/>
      <c r="UIY57" s="245"/>
      <c r="UIZ57" s="244"/>
      <c r="UJA57" s="246"/>
      <c r="UJB57" s="247"/>
      <c r="UJC57" s="275"/>
      <c r="UJD57" s="275"/>
      <c r="UJE57" s="275"/>
      <c r="UJF57" s="275"/>
      <c r="UJG57" s="275"/>
      <c r="UJH57" s="275"/>
      <c r="UJI57" s="137"/>
      <c r="UJJ57" s="137"/>
      <c r="UJK57" s="135"/>
      <c r="UJL57" s="137"/>
      <c r="UJN57" s="250"/>
      <c r="UJO57" s="250"/>
      <c r="UJP57" s="243"/>
      <c r="UJQ57" s="276"/>
      <c r="UJR57" s="276"/>
      <c r="UJS57" s="276"/>
      <c r="UJT57" s="244"/>
      <c r="UJU57" s="244"/>
      <c r="UJV57" s="244"/>
      <c r="UJW57" s="245"/>
      <c r="UJX57" s="245"/>
      <c r="UJY57" s="244"/>
      <c r="UJZ57" s="246"/>
      <c r="UKA57" s="247"/>
      <c r="UKB57" s="275"/>
      <c r="UKC57" s="275"/>
      <c r="UKD57" s="275"/>
      <c r="UKE57" s="275"/>
      <c r="UKF57" s="275"/>
      <c r="UKG57" s="275"/>
      <c r="UKH57" s="137"/>
      <c r="UKI57" s="137"/>
      <c r="UKJ57" s="135"/>
      <c r="UKK57" s="137"/>
      <c r="UKM57" s="250"/>
      <c r="UKN57" s="250"/>
      <c r="UKO57" s="243"/>
      <c r="UKP57" s="276"/>
      <c r="UKQ57" s="276"/>
      <c r="UKR57" s="276"/>
      <c r="UKS57" s="244"/>
      <c r="UKT57" s="244"/>
      <c r="UKU57" s="244"/>
      <c r="UKV57" s="245"/>
      <c r="UKW57" s="245"/>
      <c r="UKX57" s="244"/>
      <c r="UKY57" s="246"/>
      <c r="UKZ57" s="247"/>
      <c r="ULA57" s="275"/>
      <c r="ULB57" s="275"/>
      <c r="ULC57" s="275"/>
      <c r="ULD57" s="275"/>
      <c r="ULE57" s="275"/>
      <c r="ULF57" s="275"/>
      <c r="ULG57" s="137"/>
      <c r="ULH57" s="137"/>
      <c r="ULI57" s="135"/>
      <c r="ULJ57" s="137"/>
      <c r="ULL57" s="250"/>
      <c r="ULM57" s="250"/>
      <c r="ULN57" s="243"/>
      <c r="ULO57" s="276"/>
      <c r="ULP57" s="276"/>
      <c r="ULQ57" s="276"/>
      <c r="ULR57" s="244"/>
      <c r="ULS57" s="244"/>
      <c r="ULT57" s="244"/>
      <c r="ULU57" s="245"/>
      <c r="ULV57" s="245"/>
      <c r="ULW57" s="244"/>
      <c r="ULX57" s="246"/>
      <c r="ULY57" s="247"/>
      <c r="ULZ57" s="275"/>
      <c r="UMA57" s="275"/>
      <c r="UMB57" s="275"/>
      <c r="UMC57" s="275"/>
      <c r="UMD57" s="275"/>
      <c r="UME57" s="275"/>
      <c r="UMF57" s="137"/>
      <c r="UMG57" s="137"/>
      <c r="UMH57" s="135"/>
      <c r="UMI57" s="137"/>
      <c r="UMK57" s="250"/>
      <c r="UML57" s="250"/>
      <c r="UMM57" s="243"/>
      <c r="UMN57" s="276"/>
      <c r="UMO57" s="276"/>
      <c r="UMP57" s="276"/>
      <c r="UMQ57" s="244"/>
      <c r="UMR57" s="244"/>
      <c r="UMS57" s="244"/>
      <c r="UMT57" s="245"/>
      <c r="UMU57" s="245"/>
      <c r="UMV57" s="244"/>
      <c r="UMW57" s="246"/>
      <c r="UMX57" s="247"/>
      <c r="UMY57" s="275"/>
      <c r="UMZ57" s="275"/>
      <c r="UNA57" s="275"/>
      <c r="UNB57" s="275"/>
      <c r="UNC57" s="275"/>
      <c r="UND57" s="275"/>
      <c r="UNE57" s="137"/>
      <c r="UNF57" s="137"/>
      <c r="UNG57" s="135"/>
      <c r="UNH57" s="137"/>
      <c r="UNJ57" s="250"/>
      <c r="UNK57" s="250"/>
      <c r="UNL57" s="243"/>
      <c r="UNM57" s="276"/>
      <c r="UNN57" s="276"/>
      <c r="UNO57" s="276"/>
      <c r="UNP57" s="244"/>
      <c r="UNQ57" s="244"/>
      <c r="UNR57" s="244"/>
      <c r="UNS57" s="245"/>
      <c r="UNT57" s="245"/>
      <c r="UNU57" s="244"/>
      <c r="UNV57" s="246"/>
      <c r="UNW57" s="247"/>
      <c r="UNX57" s="275"/>
      <c r="UNY57" s="275"/>
      <c r="UNZ57" s="275"/>
      <c r="UOA57" s="275"/>
      <c r="UOB57" s="275"/>
      <c r="UOC57" s="275"/>
      <c r="UOD57" s="137"/>
      <c r="UOE57" s="137"/>
      <c r="UOF57" s="135"/>
      <c r="UOG57" s="137"/>
      <c r="UOI57" s="250"/>
      <c r="UOJ57" s="250"/>
      <c r="UOK57" s="243"/>
      <c r="UOL57" s="276"/>
      <c r="UOM57" s="276"/>
      <c r="UON57" s="276"/>
      <c r="UOO57" s="244"/>
      <c r="UOP57" s="244"/>
      <c r="UOQ57" s="244"/>
      <c r="UOR57" s="245"/>
      <c r="UOS57" s="245"/>
      <c r="UOT57" s="244"/>
      <c r="UOU57" s="246"/>
      <c r="UOV57" s="247"/>
      <c r="UOW57" s="275"/>
      <c r="UOX57" s="275"/>
      <c r="UOY57" s="275"/>
      <c r="UOZ57" s="275"/>
      <c r="UPA57" s="275"/>
      <c r="UPB57" s="275"/>
      <c r="UPC57" s="137"/>
      <c r="UPD57" s="137"/>
      <c r="UPE57" s="135"/>
      <c r="UPF57" s="137"/>
      <c r="UPH57" s="250"/>
      <c r="UPI57" s="250"/>
      <c r="UPJ57" s="243"/>
      <c r="UPK57" s="276"/>
      <c r="UPL57" s="276"/>
      <c r="UPM57" s="276"/>
      <c r="UPN57" s="244"/>
      <c r="UPO57" s="244"/>
      <c r="UPP57" s="244"/>
      <c r="UPQ57" s="245"/>
      <c r="UPR57" s="245"/>
      <c r="UPS57" s="244"/>
      <c r="UPT57" s="246"/>
      <c r="UPU57" s="247"/>
      <c r="UPV57" s="275"/>
      <c r="UPW57" s="275"/>
      <c r="UPX57" s="275"/>
      <c r="UPY57" s="275"/>
      <c r="UPZ57" s="275"/>
      <c r="UQA57" s="275"/>
      <c r="UQB57" s="137"/>
      <c r="UQC57" s="137"/>
      <c r="UQD57" s="135"/>
      <c r="UQE57" s="137"/>
      <c r="UQG57" s="250"/>
      <c r="UQH57" s="250"/>
      <c r="UQI57" s="243"/>
      <c r="UQJ57" s="276"/>
      <c r="UQK57" s="276"/>
      <c r="UQL57" s="276"/>
      <c r="UQM57" s="244"/>
      <c r="UQN57" s="244"/>
      <c r="UQO57" s="244"/>
      <c r="UQP57" s="245"/>
      <c r="UQQ57" s="245"/>
      <c r="UQR57" s="244"/>
      <c r="UQS57" s="246"/>
      <c r="UQT57" s="247"/>
      <c r="UQU57" s="275"/>
      <c r="UQV57" s="275"/>
      <c r="UQW57" s="275"/>
      <c r="UQX57" s="275"/>
      <c r="UQY57" s="275"/>
      <c r="UQZ57" s="275"/>
      <c r="URA57" s="137"/>
      <c r="URB57" s="137"/>
      <c r="URC57" s="135"/>
      <c r="URD57" s="137"/>
      <c r="URF57" s="250"/>
      <c r="URG57" s="250"/>
      <c r="URH57" s="243"/>
      <c r="URI57" s="276"/>
      <c r="URJ57" s="276"/>
      <c r="URK57" s="276"/>
      <c r="URL57" s="244"/>
      <c r="URM57" s="244"/>
      <c r="URN57" s="244"/>
      <c r="URO57" s="245"/>
      <c r="URP57" s="245"/>
      <c r="URQ57" s="244"/>
      <c r="URR57" s="246"/>
      <c r="URS57" s="247"/>
      <c r="URT57" s="275"/>
      <c r="URU57" s="275"/>
      <c r="URV57" s="275"/>
      <c r="URW57" s="275"/>
      <c r="URX57" s="275"/>
      <c r="URY57" s="275"/>
      <c r="URZ57" s="137"/>
      <c r="USA57" s="137"/>
      <c r="USB57" s="135"/>
      <c r="USC57" s="137"/>
      <c r="USE57" s="250"/>
      <c r="USF57" s="250"/>
      <c r="USG57" s="243"/>
      <c r="USH57" s="276"/>
      <c r="USI57" s="276"/>
      <c r="USJ57" s="276"/>
      <c r="USK57" s="244"/>
      <c r="USL57" s="244"/>
      <c r="USM57" s="244"/>
      <c r="USN57" s="245"/>
      <c r="USO57" s="245"/>
      <c r="USP57" s="244"/>
      <c r="USQ57" s="246"/>
      <c r="USR57" s="247"/>
      <c r="USS57" s="275"/>
      <c r="UST57" s="275"/>
      <c r="USU57" s="275"/>
      <c r="USV57" s="275"/>
      <c r="USW57" s="275"/>
      <c r="USX57" s="275"/>
      <c r="USY57" s="137"/>
      <c r="USZ57" s="137"/>
      <c r="UTA57" s="135"/>
      <c r="UTB57" s="137"/>
      <c r="UTD57" s="250"/>
      <c r="UTE57" s="250"/>
      <c r="UTF57" s="243"/>
      <c r="UTG57" s="276"/>
      <c r="UTH57" s="276"/>
      <c r="UTI57" s="276"/>
      <c r="UTJ57" s="244"/>
      <c r="UTK57" s="244"/>
      <c r="UTL57" s="244"/>
      <c r="UTM57" s="245"/>
      <c r="UTN57" s="245"/>
      <c r="UTO57" s="244"/>
      <c r="UTP57" s="246"/>
      <c r="UTQ57" s="247"/>
      <c r="UTR57" s="275"/>
      <c r="UTS57" s="275"/>
      <c r="UTT57" s="275"/>
      <c r="UTU57" s="275"/>
      <c r="UTV57" s="275"/>
      <c r="UTW57" s="275"/>
      <c r="UTX57" s="137"/>
      <c r="UTY57" s="137"/>
      <c r="UTZ57" s="135"/>
      <c r="UUA57" s="137"/>
      <c r="UUC57" s="250"/>
      <c r="UUD57" s="250"/>
      <c r="UUE57" s="243"/>
      <c r="UUF57" s="276"/>
      <c r="UUG57" s="276"/>
      <c r="UUH57" s="276"/>
      <c r="UUI57" s="244"/>
      <c r="UUJ57" s="244"/>
      <c r="UUK57" s="244"/>
      <c r="UUL57" s="245"/>
      <c r="UUM57" s="245"/>
      <c r="UUN57" s="244"/>
      <c r="UUO57" s="246"/>
      <c r="UUP57" s="247"/>
      <c r="UUQ57" s="275"/>
      <c r="UUR57" s="275"/>
      <c r="UUS57" s="275"/>
      <c r="UUT57" s="275"/>
      <c r="UUU57" s="275"/>
      <c r="UUV57" s="275"/>
      <c r="UUW57" s="137"/>
      <c r="UUX57" s="137"/>
      <c r="UUY57" s="135"/>
      <c r="UUZ57" s="137"/>
      <c r="UVB57" s="250"/>
      <c r="UVC57" s="250"/>
      <c r="UVD57" s="243"/>
      <c r="UVE57" s="276"/>
      <c r="UVF57" s="276"/>
      <c r="UVG57" s="276"/>
      <c r="UVH57" s="244"/>
      <c r="UVI57" s="244"/>
      <c r="UVJ57" s="244"/>
      <c r="UVK57" s="245"/>
      <c r="UVL57" s="245"/>
      <c r="UVM57" s="244"/>
      <c r="UVN57" s="246"/>
      <c r="UVO57" s="247"/>
      <c r="UVP57" s="275"/>
      <c r="UVQ57" s="275"/>
      <c r="UVR57" s="275"/>
      <c r="UVS57" s="275"/>
      <c r="UVT57" s="275"/>
      <c r="UVU57" s="275"/>
      <c r="UVV57" s="137"/>
      <c r="UVW57" s="137"/>
      <c r="UVX57" s="135"/>
      <c r="UVY57" s="137"/>
      <c r="UWA57" s="250"/>
      <c r="UWB57" s="250"/>
      <c r="UWC57" s="243"/>
      <c r="UWD57" s="276"/>
      <c r="UWE57" s="276"/>
      <c r="UWF57" s="276"/>
      <c r="UWG57" s="244"/>
      <c r="UWH57" s="244"/>
      <c r="UWI57" s="244"/>
      <c r="UWJ57" s="245"/>
      <c r="UWK57" s="245"/>
      <c r="UWL57" s="244"/>
      <c r="UWM57" s="246"/>
      <c r="UWN57" s="247"/>
      <c r="UWO57" s="275"/>
      <c r="UWP57" s="275"/>
      <c r="UWQ57" s="275"/>
      <c r="UWR57" s="275"/>
      <c r="UWS57" s="275"/>
      <c r="UWT57" s="275"/>
      <c r="UWU57" s="137"/>
      <c r="UWV57" s="137"/>
      <c r="UWW57" s="135"/>
      <c r="UWX57" s="137"/>
      <c r="UWZ57" s="250"/>
      <c r="UXA57" s="250"/>
      <c r="UXB57" s="243"/>
      <c r="UXC57" s="276"/>
      <c r="UXD57" s="276"/>
      <c r="UXE57" s="276"/>
      <c r="UXF57" s="244"/>
      <c r="UXG57" s="244"/>
      <c r="UXH57" s="244"/>
      <c r="UXI57" s="245"/>
      <c r="UXJ57" s="245"/>
      <c r="UXK57" s="244"/>
      <c r="UXL57" s="246"/>
      <c r="UXM57" s="247"/>
      <c r="UXN57" s="275"/>
      <c r="UXO57" s="275"/>
      <c r="UXP57" s="275"/>
      <c r="UXQ57" s="275"/>
      <c r="UXR57" s="275"/>
      <c r="UXS57" s="275"/>
      <c r="UXT57" s="137"/>
      <c r="UXU57" s="137"/>
      <c r="UXV57" s="135"/>
      <c r="UXW57" s="137"/>
      <c r="UXY57" s="250"/>
      <c r="UXZ57" s="250"/>
      <c r="UYA57" s="243"/>
      <c r="UYB57" s="276"/>
      <c r="UYC57" s="276"/>
      <c r="UYD57" s="276"/>
      <c r="UYE57" s="244"/>
      <c r="UYF57" s="244"/>
      <c r="UYG57" s="244"/>
      <c r="UYH57" s="245"/>
      <c r="UYI57" s="245"/>
      <c r="UYJ57" s="244"/>
      <c r="UYK57" s="246"/>
      <c r="UYL57" s="247"/>
      <c r="UYM57" s="275"/>
      <c r="UYN57" s="275"/>
      <c r="UYO57" s="275"/>
      <c r="UYP57" s="275"/>
      <c r="UYQ57" s="275"/>
      <c r="UYR57" s="275"/>
      <c r="UYS57" s="137"/>
      <c r="UYT57" s="137"/>
      <c r="UYU57" s="135"/>
      <c r="UYV57" s="137"/>
      <c r="UYX57" s="250"/>
      <c r="UYY57" s="250"/>
      <c r="UYZ57" s="243"/>
      <c r="UZA57" s="276"/>
      <c r="UZB57" s="276"/>
      <c r="UZC57" s="276"/>
      <c r="UZD57" s="244"/>
      <c r="UZE57" s="244"/>
      <c r="UZF57" s="244"/>
      <c r="UZG57" s="245"/>
      <c r="UZH57" s="245"/>
      <c r="UZI57" s="244"/>
      <c r="UZJ57" s="246"/>
      <c r="UZK57" s="247"/>
      <c r="UZL57" s="275"/>
      <c r="UZM57" s="275"/>
      <c r="UZN57" s="275"/>
      <c r="UZO57" s="275"/>
      <c r="UZP57" s="275"/>
      <c r="UZQ57" s="275"/>
      <c r="UZR57" s="137"/>
      <c r="UZS57" s="137"/>
      <c r="UZT57" s="135"/>
      <c r="UZU57" s="137"/>
      <c r="UZW57" s="250"/>
      <c r="UZX57" s="250"/>
      <c r="UZY57" s="243"/>
      <c r="UZZ57" s="276"/>
      <c r="VAA57" s="276"/>
      <c r="VAB57" s="276"/>
      <c r="VAC57" s="244"/>
      <c r="VAD57" s="244"/>
      <c r="VAE57" s="244"/>
      <c r="VAF57" s="245"/>
      <c r="VAG57" s="245"/>
      <c r="VAH57" s="244"/>
      <c r="VAI57" s="246"/>
      <c r="VAJ57" s="247"/>
      <c r="VAK57" s="275"/>
      <c r="VAL57" s="275"/>
      <c r="VAM57" s="275"/>
      <c r="VAN57" s="275"/>
      <c r="VAO57" s="275"/>
      <c r="VAP57" s="275"/>
      <c r="VAQ57" s="137"/>
      <c r="VAR57" s="137"/>
      <c r="VAS57" s="135"/>
      <c r="VAT57" s="137"/>
      <c r="VAV57" s="250"/>
      <c r="VAW57" s="250"/>
      <c r="VAX57" s="243"/>
      <c r="VAY57" s="276"/>
      <c r="VAZ57" s="276"/>
      <c r="VBA57" s="276"/>
      <c r="VBB57" s="244"/>
      <c r="VBC57" s="244"/>
      <c r="VBD57" s="244"/>
      <c r="VBE57" s="245"/>
      <c r="VBF57" s="245"/>
      <c r="VBG57" s="244"/>
      <c r="VBH57" s="246"/>
      <c r="VBI57" s="247"/>
      <c r="VBJ57" s="275"/>
      <c r="VBK57" s="275"/>
      <c r="VBL57" s="275"/>
      <c r="VBM57" s="275"/>
      <c r="VBN57" s="275"/>
      <c r="VBO57" s="275"/>
      <c r="VBP57" s="137"/>
      <c r="VBQ57" s="137"/>
      <c r="VBR57" s="135"/>
      <c r="VBS57" s="137"/>
      <c r="VBU57" s="250"/>
      <c r="VBV57" s="250"/>
      <c r="VBW57" s="243"/>
      <c r="VBX57" s="276"/>
      <c r="VBY57" s="276"/>
      <c r="VBZ57" s="276"/>
      <c r="VCA57" s="244"/>
      <c r="VCB57" s="244"/>
      <c r="VCC57" s="244"/>
      <c r="VCD57" s="245"/>
      <c r="VCE57" s="245"/>
      <c r="VCF57" s="244"/>
      <c r="VCG57" s="246"/>
      <c r="VCH57" s="247"/>
      <c r="VCI57" s="275"/>
      <c r="VCJ57" s="275"/>
      <c r="VCK57" s="275"/>
      <c r="VCL57" s="275"/>
      <c r="VCM57" s="275"/>
      <c r="VCN57" s="275"/>
      <c r="VCO57" s="137"/>
      <c r="VCP57" s="137"/>
      <c r="VCQ57" s="135"/>
      <c r="VCR57" s="137"/>
      <c r="VCT57" s="250"/>
      <c r="VCU57" s="250"/>
      <c r="VCV57" s="243"/>
      <c r="VCW57" s="276"/>
      <c r="VCX57" s="276"/>
      <c r="VCY57" s="276"/>
      <c r="VCZ57" s="244"/>
      <c r="VDA57" s="244"/>
      <c r="VDB57" s="244"/>
      <c r="VDC57" s="245"/>
      <c r="VDD57" s="245"/>
      <c r="VDE57" s="244"/>
      <c r="VDF57" s="246"/>
      <c r="VDG57" s="247"/>
      <c r="VDH57" s="275"/>
      <c r="VDI57" s="275"/>
      <c r="VDJ57" s="275"/>
      <c r="VDK57" s="275"/>
      <c r="VDL57" s="275"/>
      <c r="VDM57" s="275"/>
      <c r="VDN57" s="137"/>
      <c r="VDO57" s="137"/>
      <c r="VDP57" s="135"/>
      <c r="VDQ57" s="137"/>
      <c r="VDS57" s="250"/>
      <c r="VDT57" s="250"/>
      <c r="VDU57" s="243"/>
      <c r="VDV57" s="276"/>
      <c r="VDW57" s="276"/>
      <c r="VDX57" s="276"/>
      <c r="VDY57" s="244"/>
      <c r="VDZ57" s="244"/>
      <c r="VEA57" s="244"/>
      <c r="VEB57" s="245"/>
      <c r="VEC57" s="245"/>
      <c r="VED57" s="244"/>
      <c r="VEE57" s="246"/>
      <c r="VEF57" s="247"/>
      <c r="VEG57" s="275"/>
      <c r="VEH57" s="275"/>
      <c r="VEI57" s="275"/>
      <c r="VEJ57" s="275"/>
      <c r="VEK57" s="275"/>
      <c r="VEL57" s="275"/>
      <c r="VEM57" s="137"/>
      <c r="VEN57" s="137"/>
      <c r="VEO57" s="135"/>
      <c r="VEP57" s="137"/>
      <c r="VER57" s="250"/>
      <c r="VES57" s="250"/>
      <c r="VET57" s="243"/>
      <c r="VEU57" s="276"/>
      <c r="VEV57" s="276"/>
      <c r="VEW57" s="276"/>
      <c r="VEX57" s="244"/>
      <c r="VEY57" s="244"/>
      <c r="VEZ57" s="244"/>
      <c r="VFA57" s="245"/>
      <c r="VFB57" s="245"/>
      <c r="VFC57" s="244"/>
      <c r="VFD57" s="246"/>
      <c r="VFE57" s="247"/>
      <c r="VFF57" s="275"/>
      <c r="VFG57" s="275"/>
      <c r="VFH57" s="275"/>
      <c r="VFI57" s="275"/>
      <c r="VFJ57" s="275"/>
      <c r="VFK57" s="275"/>
      <c r="VFL57" s="137"/>
      <c r="VFM57" s="137"/>
      <c r="VFN57" s="135"/>
      <c r="VFO57" s="137"/>
      <c r="VFQ57" s="250"/>
      <c r="VFR57" s="250"/>
      <c r="VFS57" s="243"/>
      <c r="VFT57" s="276"/>
      <c r="VFU57" s="276"/>
      <c r="VFV57" s="276"/>
      <c r="VFW57" s="244"/>
      <c r="VFX57" s="244"/>
      <c r="VFY57" s="244"/>
      <c r="VFZ57" s="245"/>
      <c r="VGA57" s="245"/>
      <c r="VGB57" s="244"/>
      <c r="VGC57" s="246"/>
      <c r="VGD57" s="247"/>
      <c r="VGE57" s="275"/>
      <c r="VGF57" s="275"/>
      <c r="VGG57" s="275"/>
      <c r="VGH57" s="275"/>
      <c r="VGI57" s="275"/>
      <c r="VGJ57" s="275"/>
      <c r="VGK57" s="137"/>
      <c r="VGL57" s="137"/>
      <c r="VGM57" s="135"/>
      <c r="VGN57" s="137"/>
      <c r="VGP57" s="250"/>
      <c r="VGQ57" s="250"/>
      <c r="VGR57" s="243"/>
      <c r="VGS57" s="276"/>
      <c r="VGT57" s="276"/>
      <c r="VGU57" s="276"/>
      <c r="VGV57" s="244"/>
      <c r="VGW57" s="244"/>
      <c r="VGX57" s="244"/>
      <c r="VGY57" s="245"/>
      <c r="VGZ57" s="245"/>
      <c r="VHA57" s="244"/>
      <c r="VHB57" s="246"/>
      <c r="VHC57" s="247"/>
      <c r="VHD57" s="275"/>
      <c r="VHE57" s="275"/>
      <c r="VHF57" s="275"/>
      <c r="VHG57" s="275"/>
      <c r="VHH57" s="275"/>
      <c r="VHI57" s="275"/>
      <c r="VHJ57" s="137"/>
      <c r="VHK57" s="137"/>
      <c r="VHL57" s="135"/>
      <c r="VHM57" s="137"/>
      <c r="VHO57" s="250"/>
      <c r="VHP57" s="250"/>
      <c r="VHQ57" s="243"/>
      <c r="VHR57" s="276"/>
      <c r="VHS57" s="276"/>
      <c r="VHT57" s="276"/>
      <c r="VHU57" s="244"/>
      <c r="VHV57" s="244"/>
      <c r="VHW57" s="244"/>
      <c r="VHX57" s="245"/>
      <c r="VHY57" s="245"/>
      <c r="VHZ57" s="244"/>
      <c r="VIA57" s="246"/>
      <c r="VIB57" s="247"/>
      <c r="VIC57" s="275"/>
      <c r="VID57" s="275"/>
      <c r="VIE57" s="275"/>
      <c r="VIF57" s="275"/>
      <c r="VIG57" s="275"/>
      <c r="VIH57" s="275"/>
      <c r="VII57" s="137"/>
      <c r="VIJ57" s="137"/>
      <c r="VIK57" s="135"/>
      <c r="VIL57" s="137"/>
      <c r="VIN57" s="250"/>
      <c r="VIO57" s="250"/>
      <c r="VIP57" s="243"/>
      <c r="VIQ57" s="276"/>
      <c r="VIR57" s="276"/>
      <c r="VIS57" s="276"/>
      <c r="VIT57" s="244"/>
      <c r="VIU57" s="244"/>
      <c r="VIV57" s="244"/>
      <c r="VIW57" s="245"/>
      <c r="VIX57" s="245"/>
      <c r="VIY57" s="244"/>
      <c r="VIZ57" s="246"/>
      <c r="VJA57" s="247"/>
      <c r="VJB57" s="275"/>
      <c r="VJC57" s="275"/>
      <c r="VJD57" s="275"/>
      <c r="VJE57" s="275"/>
      <c r="VJF57" s="275"/>
      <c r="VJG57" s="275"/>
      <c r="VJH57" s="137"/>
      <c r="VJI57" s="137"/>
      <c r="VJJ57" s="135"/>
      <c r="VJK57" s="137"/>
      <c r="VJM57" s="250"/>
      <c r="VJN57" s="250"/>
      <c r="VJO57" s="243"/>
      <c r="VJP57" s="276"/>
      <c r="VJQ57" s="276"/>
      <c r="VJR57" s="276"/>
      <c r="VJS57" s="244"/>
      <c r="VJT57" s="244"/>
      <c r="VJU57" s="244"/>
      <c r="VJV57" s="245"/>
      <c r="VJW57" s="245"/>
      <c r="VJX57" s="244"/>
      <c r="VJY57" s="246"/>
      <c r="VJZ57" s="247"/>
      <c r="VKA57" s="275"/>
      <c r="VKB57" s="275"/>
      <c r="VKC57" s="275"/>
      <c r="VKD57" s="275"/>
      <c r="VKE57" s="275"/>
      <c r="VKF57" s="275"/>
      <c r="VKG57" s="137"/>
      <c r="VKH57" s="137"/>
      <c r="VKI57" s="135"/>
      <c r="VKJ57" s="137"/>
      <c r="VKL57" s="250"/>
      <c r="VKM57" s="250"/>
      <c r="VKN57" s="243"/>
      <c r="VKO57" s="276"/>
      <c r="VKP57" s="276"/>
      <c r="VKQ57" s="276"/>
      <c r="VKR57" s="244"/>
      <c r="VKS57" s="244"/>
      <c r="VKT57" s="244"/>
      <c r="VKU57" s="245"/>
      <c r="VKV57" s="245"/>
      <c r="VKW57" s="244"/>
      <c r="VKX57" s="246"/>
      <c r="VKY57" s="247"/>
      <c r="VKZ57" s="275"/>
      <c r="VLA57" s="275"/>
      <c r="VLB57" s="275"/>
      <c r="VLC57" s="275"/>
      <c r="VLD57" s="275"/>
      <c r="VLE57" s="275"/>
      <c r="VLF57" s="137"/>
      <c r="VLG57" s="137"/>
      <c r="VLH57" s="135"/>
      <c r="VLI57" s="137"/>
      <c r="VLK57" s="250"/>
      <c r="VLL57" s="250"/>
      <c r="VLM57" s="243"/>
      <c r="VLN57" s="276"/>
      <c r="VLO57" s="276"/>
      <c r="VLP57" s="276"/>
      <c r="VLQ57" s="244"/>
      <c r="VLR57" s="244"/>
      <c r="VLS57" s="244"/>
      <c r="VLT57" s="245"/>
      <c r="VLU57" s="245"/>
      <c r="VLV57" s="244"/>
      <c r="VLW57" s="246"/>
      <c r="VLX57" s="247"/>
      <c r="VLY57" s="275"/>
      <c r="VLZ57" s="275"/>
      <c r="VMA57" s="275"/>
      <c r="VMB57" s="275"/>
      <c r="VMC57" s="275"/>
      <c r="VMD57" s="275"/>
      <c r="VME57" s="137"/>
      <c r="VMF57" s="137"/>
      <c r="VMG57" s="135"/>
      <c r="VMH57" s="137"/>
      <c r="VMJ57" s="250"/>
      <c r="VMK57" s="250"/>
      <c r="VML57" s="243"/>
      <c r="VMM57" s="276"/>
      <c r="VMN57" s="276"/>
      <c r="VMO57" s="276"/>
      <c r="VMP57" s="244"/>
      <c r="VMQ57" s="244"/>
      <c r="VMR57" s="244"/>
      <c r="VMS57" s="245"/>
      <c r="VMT57" s="245"/>
      <c r="VMU57" s="244"/>
      <c r="VMV57" s="246"/>
      <c r="VMW57" s="247"/>
      <c r="VMX57" s="275"/>
      <c r="VMY57" s="275"/>
      <c r="VMZ57" s="275"/>
      <c r="VNA57" s="275"/>
      <c r="VNB57" s="275"/>
      <c r="VNC57" s="275"/>
      <c r="VND57" s="137"/>
      <c r="VNE57" s="137"/>
      <c r="VNF57" s="135"/>
      <c r="VNG57" s="137"/>
      <c r="VNI57" s="250"/>
      <c r="VNJ57" s="250"/>
      <c r="VNK57" s="243"/>
      <c r="VNL57" s="276"/>
      <c r="VNM57" s="276"/>
      <c r="VNN57" s="276"/>
      <c r="VNO57" s="244"/>
      <c r="VNP57" s="244"/>
      <c r="VNQ57" s="244"/>
      <c r="VNR57" s="245"/>
      <c r="VNS57" s="245"/>
      <c r="VNT57" s="244"/>
      <c r="VNU57" s="246"/>
      <c r="VNV57" s="247"/>
      <c r="VNW57" s="275"/>
      <c r="VNX57" s="275"/>
      <c r="VNY57" s="275"/>
      <c r="VNZ57" s="275"/>
      <c r="VOA57" s="275"/>
      <c r="VOB57" s="275"/>
      <c r="VOC57" s="137"/>
      <c r="VOD57" s="137"/>
      <c r="VOE57" s="135"/>
      <c r="VOF57" s="137"/>
      <c r="VOH57" s="250"/>
      <c r="VOI57" s="250"/>
      <c r="VOJ57" s="243"/>
      <c r="VOK57" s="276"/>
      <c r="VOL57" s="276"/>
      <c r="VOM57" s="276"/>
      <c r="VON57" s="244"/>
      <c r="VOO57" s="244"/>
      <c r="VOP57" s="244"/>
      <c r="VOQ57" s="245"/>
      <c r="VOR57" s="245"/>
      <c r="VOS57" s="244"/>
      <c r="VOT57" s="246"/>
      <c r="VOU57" s="247"/>
      <c r="VOV57" s="275"/>
      <c r="VOW57" s="275"/>
      <c r="VOX57" s="275"/>
      <c r="VOY57" s="275"/>
      <c r="VOZ57" s="275"/>
      <c r="VPA57" s="275"/>
      <c r="VPB57" s="137"/>
      <c r="VPC57" s="137"/>
      <c r="VPD57" s="135"/>
      <c r="VPE57" s="137"/>
      <c r="VPG57" s="250"/>
      <c r="VPH57" s="250"/>
      <c r="VPI57" s="243"/>
      <c r="VPJ57" s="276"/>
      <c r="VPK57" s="276"/>
      <c r="VPL57" s="276"/>
      <c r="VPM57" s="244"/>
      <c r="VPN57" s="244"/>
      <c r="VPO57" s="244"/>
      <c r="VPP57" s="245"/>
      <c r="VPQ57" s="245"/>
      <c r="VPR57" s="244"/>
      <c r="VPS57" s="246"/>
      <c r="VPT57" s="247"/>
      <c r="VPU57" s="275"/>
      <c r="VPV57" s="275"/>
      <c r="VPW57" s="275"/>
      <c r="VPX57" s="275"/>
      <c r="VPY57" s="275"/>
      <c r="VPZ57" s="275"/>
      <c r="VQA57" s="137"/>
      <c r="VQB57" s="137"/>
      <c r="VQC57" s="135"/>
      <c r="VQD57" s="137"/>
      <c r="VQF57" s="250"/>
      <c r="VQG57" s="250"/>
      <c r="VQH57" s="243"/>
      <c r="VQI57" s="276"/>
      <c r="VQJ57" s="276"/>
      <c r="VQK57" s="276"/>
      <c r="VQL57" s="244"/>
      <c r="VQM57" s="244"/>
      <c r="VQN57" s="244"/>
      <c r="VQO57" s="245"/>
      <c r="VQP57" s="245"/>
      <c r="VQQ57" s="244"/>
      <c r="VQR57" s="246"/>
      <c r="VQS57" s="247"/>
      <c r="VQT57" s="275"/>
      <c r="VQU57" s="275"/>
      <c r="VQV57" s="275"/>
      <c r="VQW57" s="275"/>
      <c r="VQX57" s="275"/>
      <c r="VQY57" s="275"/>
      <c r="VQZ57" s="137"/>
      <c r="VRA57" s="137"/>
      <c r="VRB57" s="135"/>
      <c r="VRC57" s="137"/>
      <c r="VRE57" s="250"/>
      <c r="VRF57" s="250"/>
      <c r="VRG57" s="243"/>
      <c r="VRH57" s="276"/>
      <c r="VRI57" s="276"/>
      <c r="VRJ57" s="276"/>
      <c r="VRK57" s="244"/>
      <c r="VRL57" s="244"/>
      <c r="VRM57" s="244"/>
      <c r="VRN57" s="245"/>
      <c r="VRO57" s="245"/>
      <c r="VRP57" s="244"/>
      <c r="VRQ57" s="246"/>
      <c r="VRR57" s="247"/>
      <c r="VRS57" s="275"/>
      <c r="VRT57" s="275"/>
      <c r="VRU57" s="275"/>
      <c r="VRV57" s="275"/>
      <c r="VRW57" s="275"/>
      <c r="VRX57" s="275"/>
      <c r="VRY57" s="137"/>
      <c r="VRZ57" s="137"/>
      <c r="VSA57" s="135"/>
      <c r="VSB57" s="137"/>
      <c r="VSD57" s="250"/>
      <c r="VSE57" s="250"/>
      <c r="VSF57" s="243"/>
      <c r="VSG57" s="276"/>
      <c r="VSH57" s="276"/>
      <c r="VSI57" s="276"/>
      <c r="VSJ57" s="244"/>
      <c r="VSK57" s="244"/>
      <c r="VSL57" s="244"/>
      <c r="VSM57" s="245"/>
      <c r="VSN57" s="245"/>
      <c r="VSO57" s="244"/>
      <c r="VSP57" s="246"/>
      <c r="VSQ57" s="247"/>
      <c r="VSR57" s="275"/>
      <c r="VSS57" s="275"/>
      <c r="VST57" s="275"/>
      <c r="VSU57" s="275"/>
      <c r="VSV57" s="275"/>
      <c r="VSW57" s="275"/>
      <c r="VSX57" s="137"/>
      <c r="VSY57" s="137"/>
      <c r="VSZ57" s="135"/>
      <c r="VTA57" s="137"/>
      <c r="VTC57" s="250"/>
      <c r="VTD57" s="250"/>
      <c r="VTE57" s="243"/>
      <c r="VTF57" s="276"/>
      <c r="VTG57" s="276"/>
      <c r="VTH57" s="276"/>
      <c r="VTI57" s="244"/>
      <c r="VTJ57" s="244"/>
      <c r="VTK57" s="244"/>
      <c r="VTL57" s="245"/>
      <c r="VTM57" s="245"/>
      <c r="VTN57" s="244"/>
      <c r="VTO57" s="246"/>
      <c r="VTP57" s="247"/>
      <c r="VTQ57" s="275"/>
      <c r="VTR57" s="275"/>
      <c r="VTS57" s="275"/>
      <c r="VTT57" s="275"/>
      <c r="VTU57" s="275"/>
      <c r="VTV57" s="275"/>
      <c r="VTW57" s="137"/>
      <c r="VTX57" s="137"/>
      <c r="VTY57" s="135"/>
      <c r="VTZ57" s="137"/>
      <c r="VUB57" s="250"/>
      <c r="VUC57" s="250"/>
      <c r="VUD57" s="243"/>
      <c r="VUE57" s="276"/>
      <c r="VUF57" s="276"/>
      <c r="VUG57" s="276"/>
      <c r="VUH57" s="244"/>
      <c r="VUI57" s="244"/>
      <c r="VUJ57" s="244"/>
      <c r="VUK57" s="245"/>
      <c r="VUL57" s="245"/>
      <c r="VUM57" s="244"/>
      <c r="VUN57" s="246"/>
      <c r="VUO57" s="247"/>
      <c r="VUP57" s="275"/>
      <c r="VUQ57" s="275"/>
      <c r="VUR57" s="275"/>
      <c r="VUS57" s="275"/>
      <c r="VUT57" s="275"/>
      <c r="VUU57" s="275"/>
      <c r="VUV57" s="137"/>
      <c r="VUW57" s="137"/>
      <c r="VUX57" s="135"/>
      <c r="VUY57" s="137"/>
      <c r="VVA57" s="250"/>
      <c r="VVB57" s="250"/>
      <c r="VVC57" s="243"/>
      <c r="VVD57" s="276"/>
      <c r="VVE57" s="276"/>
      <c r="VVF57" s="276"/>
      <c r="VVG57" s="244"/>
      <c r="VVH57" s="244"/>
      <c r="VVI57" s="244"/>
      <c r="VVJ57" s="245"/>
      <c r="VVK57" s="245"/>
      <c r="VVL57" s="244"/>
      <c r="VVM57" s="246"/>
      <c r="VVN57" s="247"/>
      <c r="VVO57" s="275"/>
      <c r="VVP57" s="275"/>
      <c r="VVQ57" s="275"/>
      <c r="VVR57" s="275"/>
      <c r="VVS57" s="275"/>
      <c r="VVT57" s="275"/>
      <c r="VVU57" s="137"/>
      <c r="VVV57" s="137"/>
      <c r="VVW57" s="135"/>
      <c r="VVX57" s="137"/>
      <c r="VVZ57" s="250"/>
      <c r="VWA57" s="250"/>
      <c r="VWB57" s="243"/>
      <c r="VWC57" s="276"/>
      <c r="VWD57" s="276"/>
      <c r="VWE57" s="276"/>
      <c r="VWF57" s="244"/>
      <c r="VWG57" s="244"/>
      <c r="VWH57" s="244"/>
      <c r="VWI57" s="245"/>
      <c r="VWJ57" s="245"/>
      <c r="VWK57" s="244"/>
      <c r="VWL57" s="246"/>
      <c r="VWM57" s="247"/>
      <c r="VWN57" s="275"/>
      <c r="VWO57" s="275"/>
      <c r="VWP57" s="275"/>
      <c r="VWQ57" s="275"/>
      <c r="VWR57" s="275"/>
      <c r="VWS57" s="275"/>
      <c r="VWT57" s="137"/>
      <c r="VWU57" s="137"/>
      <c r="VWV57" s="135"/>
      <c r="VWW57" s="137"/>
      <c r="VWY57" s="250"/>
      <c r="VWZ57" s="250"/>
      <c r="VXA57" s="243"/>
      <c r="VXB57" s="276"/>
      <c r="VXC57" s="276"/>
      <c r="VXD57" s="276"/>
      <c r="VXE57" s="244"/>
      <c r="VXF57" s="244"/>
      <c r="VXG57" s="244"/>
      <c r="VXH57" s="245"/>
      <c r="VXI57" s="245"/>
      <c r="VXJ57" s="244"/>
      <c r="VXK57" s="246"/>
      <c r="VXL57" s="247"/>
      <c r="VXM57" s="275"/>
      <c r="VXN57" s="275"/>
      <c r="VXO57" s="275"/>
      <c r="VXP57" s="275"/>
      <c r="VXQ57" s="275"/>
      <c r="VXR57" s="275"/>
      <c r="VXS57" s="137"/>
      <c r="VXT57" s="137"/>
      <c r="VXU57" s="135"/>
      <c r="VXV57" s="137"/>
      <c r="VXX57" s="250"/>
      <c r="VXY57" s="250"/>
      <c r="VXZ57" s="243"/>
      <c r="VYA57" s="276"/>
      <c r="VYB57" s="276"/>
      <c r="VYC57" s="276"/>
      <c r="VYD57" s="244"/>
      <c r="VYE57" s="244"/>
      <c r="VYF57" s="244"/>
      <c r="VYG57" s="245"/>
      <c r="VYH57" s="245"/>
      <c r="VYI57" s="244"/>
      <c r="VYJ57" s="246"/>
      <c r="VYK57" s="247"/>
      <c r="VYL57" s="275"/>
      <c r="VYM57" s="275"/>
      <c r="VYN57" s="275"/>
      <c r="VYO57" s="275"/>
      <c r="VYP57" s="275"/>
      <c r="VYQ57" s="275"/>
      <c r="VYR57" s="137"/>
      <c r="VYS57" s="137"/>
      <c r="VYT57" s="135"/>
      <c r="VYU57" s="137"/>
      <c r="VYW57" s="250"/>
      <c r="VYX57" s="250"/>
      <c r="VYY57" s="243"/>
      <c r="VYZ57" s="276"/>
      <c r="VZA57" s="276"/>
      <c r="VZB57" s="276"/>
      <c r="VZC57" s="244"/>
      <c r="VZD57" s="244"/>
      <c r="VZE57" s="244"/>
      <c r="VZF57" s="245"/>
      <c r="VZG57" s="245"/>
      <c r="VZH57" s="244"/>
      <c r="VZI57" s="246"/>
      <c r="VZJ57" s="247"/>
      <c r="VZK57" s="275"/>
      <c r="VZL57" s="275"/>
      <c r="VZM57" s="275"/>
      <c r="VZN57" s="275"/>
      <c r="VZO57" s="275"/>
      <c r="VZP57" s="275"/>
      <c r="VZQ57" s="137"/>
      <c r="VZR57" s="137"/>
      <c r="VZS57" s="135"/>
      <c r="VZT57" s="137"/>
      <c r="VZV57" s="250"/>
      <c r="VZW57" s="250"/>
      <c r="VZX57" s="243"/>
      <c r="VZY57" s="276"/>
      <c r="VZZ57" s="276"/>
      <c r="WAA57" s="276"/>
      <c r="WAB57" s="244"/>
      <c r="WAC57" s="244"/>
      <c r="WAD57" s="244"/>
      <c r="WAE57" s="245"/>
      <c r="WAF57" s="245"/>
      <c r="WAG57" s="244"/>
      <c r="WAH57" s="246"/>
      <c r="WAI57" s="247"/>
      <c r="WAJ57" s="275"/>
      <c r="WAK57" s="275"/>
      <c r="WAL57" s="275"/>
      <c r="WAM57" s="275"/>
      <c r="WAN57" s="275"/>
      <c r="WAO57" s="275"/>
      <c r="WAP57" s="137"/>
      <c r="WAQ57" s="137"/>
      <c r="WAR57" s="135"/>
      <c r="WAS57" s="137"/>
      <c r="WAU57" s="250"/>
      <c r="WAV57" s="250"/>
      <c r="WAW57" s="243"/>
      <c r="WAX57" s="276"/>
      <c r="WAY57" s="276"/>
      <c r="WAZ57" s="276"/>
      <c r="WBA57" s="244"/>
      <c r="WBB57" s="244"/>
      <c r="WBC57" s="244"/>
      <c r="WBD57" s="245"/>
      <c r="WBE57" s="245"/>
      <c r="WBF57" s="244"/>
      <c r="WBG57" s="246"/>
      <c r="WBH57" s="247"/>
      <c r="WBI57" s="275"/>
      <c r="WBJ57" s="275"/>
      <c r="WBK57" s="275"/>
      <c r="WBL57" s="275"/>
      <c r="WBM57" s="275"/>
      <c r="WBN57" s="275"/>
      <c r="WBO57" s="137"/>
      <c r="WBP57" s="137"/>
      <c r="WBQ57" s="135"/>
      <c r="WBR57" s="137"/>
      <c r="WBT57" s="250"/>
      <c r="WBU57" s="250"/>
      <c r="WBV57" s="243"/>
      <c r="WBW57" s="276"/>
      <c r="WBX57" s="276"/>
      <c r="WBY57" s="276"/>
      <c r="WBZ57" s="244"/>
      <c r="WCA57" s="244"/>
      <c r="WCB57" s="244"/>
      <c r="WCC57" s="245"/>
      <c r="WCD57" s="245"/>
      <c r="WCE57" s="244"/>
      <c r="WCF57" s="246"/>
      <c r="WCG57" s="247"/>
      <c r="WCH57" s="275"/>
      <c r="WCI57" s="275"/>
      <c r="WCJ57" s="275"/>
      <c r="WCK57" s="275"/>
      <c r="WCL57" s="275"/>
      <c r="WCM57" s="275"/>
      <c r="WCN57" s="137"/>
      <c r="WCO57" s="137"/>
      <c r="WCP57" s="135"/>
      <c r="WCQ57" s="137"/>
      <c r="WCS57" s="250"/>
      <c r="WCT57" s="250"/>
      <c r="WCU57" s="243"/>
      <c r="WCV57" s="276"/>
      <c r="WCW57" s="276"/>
      <c r="WCX57" s="276"/>
      <c r="WCY57" s="244"/>
      <c r="WCZ57" s="244"/>
      <c r="WDA57" s="244"/>
      <c r="WDB57" s="245"/>
      <c r="WDC57" s="245"/>
      <c r="WDD57" s="244"/>
      <c r="WDE57" s="246"/>
      <c r="WDF57" s="247"/>
      <c r="WDG57" s="275"/>
      <c r="WDH57" s="275"/>
      <c r="WDI57" s="275"/>
      <c r="WDJ57" s="275"/>
      <c r="WDK57" s="275"/>
      <c r="WDL57" s="275"/>
      <c r="WDM57" s="137"/>
      <c r="WDN57" s="137"/>
      <c r="WDO57" s="135"/>
      <c r="WDP57" s="137"/>
      <c r="WDR57" s="250"/>
      <c r="WDS57" s="250"/>
      <c r="WDT57" s="243"/>
      <c r="WDU57" s="276"/>
      <c r="WDV57" s="276"/>
      <c r="WDW57" s="276"/>
      <c r="WDX57" s="244"/>
      <c r="WDY57" s="244"/>
      <c r="WDZ57" s="244"/>
      <c r="WEA57" s="245"/>
      <c r="WEB57" s="245"/>
      <c r="WEC57" s="244"/>
      <c r="WED57" s="246"/>
      <c r="WEE57" s="247"/>
      <c r="WEF57" s="275"/>
      <c r="WEG57" s="275"/>
      <c r="WEH57" s="275"/>
      <c r="WEI57" s="275"/>
      <c r="WEJ57" s="275"/>
      <c r="WEK57" s="275"/>
      <c r="WEL57" s="137"/>
      <c r="WEM57" s="137"/>
      <c r="WEN57" s="135"/>
      <c r="WEO57" s="137"/>
      <c r="WEQ57" s="250"/>
      <c r="WER57" s="250"/>
      <c r="WES57" s="243"/>
      <c r="WET57" s="276"/>
      <c r="WEU57" s="276"/>
      <c r="WEV57" s="276"/>
      <c r="WEW57" s="244"/>
      <c r="WEX57" s="244"/>
      <c r="WEY57" s="244"/>
      <c r="WEZ57" s="245"/>
      <c r="WFA57" s="245"/>
      <c r="WFB57" s="244"/>
      <c r="WFC57" s="246"/>
      <c r="WFD57" s="247"/>
      <c r="WFE57" s="275"/>
      <c r="WFF57" s="275"/>
      <c r="WFG57" s="275"/>
      <c r="WFH57" s="275"/>
      <c r="WFI57" s="275"/>
      <c r="WFJ57" s="275"/>
      <c r="WFK57" s="137"/>
      <c r="WFL57" s="137"/>
      <c r="WFM57" s="135"/>
      <c r="WFN57" s="137"/>
      <c r="WFP57" s="250"/>
      <c r="WFQ57" s="250"/>
      <c r="WFR57" s="243"/>
      <c r="WFS57" s="276"/>
      <c r="WFT57" s="276"/>
      <c r="WFU57" s="276"/>
      <c r="WFV57" s="244"/>
      <c r="WFW57" s="244"/>
      <c r="WFX57" s="244"/>
      <c r="WFY57" s="245"/>
      <c r="WFZ57" s="245"/>
      <c r="WGA57" s="244"/>
      <c r="WGB57" s="246"/>
      <c r="WGC57" s="247"/>
      <c r="WGD57" s="275"/>
      <c r="WGE57" s="275"/>
      <c r="WGF57" s="275"/>
      <c r="WGG57" s="275"/>
      <c r="WGH57" s="275"/>
      <c r="WGI57" s="275"/>
      <c r="WGJ57" s="137"/>
      <c r="WGK57" s="137"/>
      <c r="WGL57" s="135"/>
      <c r="WGM57" s="137"/>
      <c r="WGO57" s="250"/>
      <c r="WGP57" s="250"/>
      <c r="WGQ57" s="243"/>
      <c r="WGR57" s="276"/>
      <c r="WGS57" s="276"/>
      <c r="WGT57" s="276"/>
      <c r="WGU57" s="244"/>
      <c r="WGV57" s="244"/>
      <c r="WGW57" s="244"/>
      <c r="WGX57" s="245"/>
      <c r="WGY57" s="245"/>
      <c r="WGZ57" s="244"/>
      <c r="WHA57" s="246"/>
      <c r="WHB57" s="247"/>
      <c r="WHC57" s="275"/>
      <c r="WHD57" s="275"/>
      <c r="WHE57" s="275"/>
      <c r="WHF57" s="275"/>
      <c r="WHG57" s="275"/>
      <c r="WHH57" s="275"/>
      <c r="WHI57" s="137"/>
      <c r="WHJ57" s="137"/>
      <c r="WHK57" s="135"/>
      <c r="WHL57" s="137"/>
      <c r="WHN57" s="250"/>
      <c r="WHO57" s="250"/>
      <c r="WHP57" s="243"/>
      <c r="WHQ57" s="276"/>
      <c r="WHR57" s="276"/>
      <c r="WHS57" s="276"/>
      <c r="WHT57" s="244"/>
      <c r="WHU57" s="244"/>
      <c r="WHV57" s="244"/>
      <c r="WHW57" s="245"/>
      <c r="WHX57" s="245"/>
      <c r="WHY57" s="244"/>
      <c r="WHZ57" s="246"/>
      <c r="WIA57" s="247"/>
      <c r="WIB57" s="275"/>
      <c r="WIC57" s="275"/>
      <c r="WID57" s="275"/>
      <c r="WIE57" s="275"/>
      <c r="WIF57" s="275"/>
      <c r="WIG57" s="275"/>
      <c r="WIH57" s="137"/>
      <c r="WII57" s="137"/>
      <c r="WIJ57" s="135"/>
      <c r="WIK57" s="137"/>
      <c r="WIM57" s="250"/>
      <c r="WIN57" s="250"/>
      <c r="WIO57" s="243"/>
      <c r="WIP57" s="276"/>
      <c r="WIQ57" s="276"/>
      <c r="WIR57" s="276"/>
      <c r="WIS57" s="244"/>
      <c r="WIT57" s="244"/>
      <c r="WIU57" s="244"/>
      <c r="WIV57" s="245"/>
      <c r="WIW57" s="245"/>
      <c r="WIX57" s="244"/>
      <c r="WIY57" s="246"/>
      <c r="WIZ57" s="247"/>
      <c r="WJA57" s="275"/>
      <c r="WJB57" s="275"/>
      <c r="WJC57" s="275"/>
      <c r="WJD57" s="275"/>
      <c r="WJE57" s="275"/>
      <c r="WJF57" s="275"/>
      <c r="WJG57" s="137"/>
      <c r="WJH57" s="137"/>
      <c r="WJI57" s="135"/>
      <c r="WJJ57" s="137"/>
      <c r="WJL57" s="250"/>
      <c r="WJM57" s="250"/>
      <c r="WJN57" s="243"/>
      <c r="WJO57" s="276"/>
      <c r="WJP57" s="276"/>
      <c r="WJQ57" s="276"/>
      <c r="WJR57" s="244"/>
      <c r="WJS57" s="244"/>
      <c r="WJT57" s="244"/>
      <c r="WJU57" s="245"/>
      <c r="WJV57" s="245"/>
      <c r="WJW57" s="244"/>
      <c r="WJX57" s="246"/>
      <c r="WJY57" s="247"/>
      <c r="WJZ57" s="275"/>
      <c r="WKA57" s="275"/>
      <c r="WKB57" s="275"/>
      <c r="WKC57" s="275"/>
      <c r="WKD57" s="275"/>
      <c r="WKE57" s="275"/>
      <c r="WKF57" s="137"/>
      <c r="WKG57" s="137"/>
      <c r="WKH57" s="135"/>
      <c r="WKI57" s="137"/>
      <c r="WKK57" s="250"/>
      <c r="WKL57" s="250"/>
      <c r="WKM57" s="243"/>
      <c r="WKN57" s="276"/>
      <c r="WKO57" s="276"/>
      <c r="WKP57" s="276"/>
      <c r="WKQ57" s="244"/>
      <c r="WKR57" s="244"/>
      <c r="WKS57" s="244"/>
      <c r="WKT57" s="245"/>
      <c r="WKU57" s="245"/>
      <c r="WKV57" s="244"/>
      <c r="WKW57" s="246"/>
      <c r="WKX57" s="247"/>
      <c r="WKY57" s="275"/>
      <c r="WKZ57" s="275"/>
      <c r="WLA57" s="275"/>
      <c r="WLB57" s="275"/>
      <c r="WLC57" s="275"/>
      <c r="WLD57" s="275"/>
      <c r="WLE57" s="137"/>
      <c r="WLF57" s="137"/>
      <c r="WLG57" s="135"/>
      <c r="WLH57" s="137"/>
      <c r="WLJ57" s="250"/>
      <c r="WLK57" s="250"/>
      <c r="WLL57" s="243"/>
      <c r="WLM57" s="276"/>
      <c r="WLN57" s="276"/>
      <c r="WLO57" s="276"/>
      <c r="WLP57" s="244"/>
      <c r="WLQ57" s="244"/>
      <c r="WLR57" s="244"/>
      <c r="WLS57" s="245"/>
      <c r="WLT57" s="245"/>
      <c r="WLU57" s="244"/>
      <c r="WLV57" s="246"/>
      <c r="WLW57" s="247"/>
      <c r="WLX57" s="275"/>
      <c r="WLY57" s="275"/>
      <c r="WLZ57" s="275"/>
      <c r="WMA57" s="275"/>
      <c r="WMB57" s="275"/>
      <c r="WMC57" s="275"/>
      <c r="WMD57" s="137"/>
      <c r="WME57" s="137"/>
      <c r="WMF57" s="135"/>
      <c r="WMG57" s="137"/>
      <c r="WMI57" s="250"/>
      <c r="WMJ57" s="250"/>
      <c r="WMK57" s="243"/>
      <c r="WML57" s="276"/>
      <c r="WMM57" s="276"/>
      <c r="WMN57" s="276"/>
      <c r="WMO57" s="244"/>
      <c r="WMP57" s="244"/>
      <c r="WMQ57" s="244"/>
      <c r="WMR57" s="245"/>
      <c r="WMS57" s="245"/>
      <c r="WMT57" s="244"/>
      <c r="WMU57" s="246"/>
      <c r="WMV57" s="247"/>
      <c r="WMW57" s="275"/>
      <c r="WMX57" s="275"/>
      <c r="WMY57" s="275"/>
      <c r="WMZ57" s="275"/>
      <c r="WNA57" s="275"/>
      <c r="WNB57" s="275"/>
      <c r="WNC57" s="137"/>
      <c r="WND57" s="137"/>
      <c r="WNE57" s="135"/>
      <c r="WNF57" s="137"/>
      <c r="WNH57" s="250"/>
      <c r="WNI57" s="250"/>
      <c r="WNJ57" s="243"/>
      <c r="WNK57" s="276"/>
      <c r="WNL57" s="276"/>
      <c r="WNM57" s="276"/>
      <c r="WNN57" s="244"/>
      <c r="WNO57" s="244"/>
      <c r="WNP57" s="244"/>
      <c r="WNQ57" s="245"/>
      <c r="WNR57" s="245"/>
      <c r="WNS57" s="244"/>
      <c r="WNT57" s="246"/>
      <c r="WNU57" s="247"/>
      <c r="WNV57" s="275"/>
      <c r="WNW57" s="275"/>
      <c r="WNX57" s="275"/>
      <c r="WNY57" s="275"/>
      <c r="WNZ57" s="275"/>
      <c r="WOA57" s="275"/>
      <c r="WOB57" s="137"/>
      <c r="WOC57" s="137"/>
      <c r="WOD57" s="135"/>
      <c r="WOE57" s="137"/>
      <c r="WOG57" s="250"/>
      <c r="WOH57" s="250"/>
      <c r="WOI57" s="243"/>
      <c r="WOJ57" s="276"/>
      <c r="WOK57" s="276"/>
      <c r="WOL57" s="276"/>
      <c r="WOM57" s="244"/>
      <c r="WON57" s="244"/>
      <c r="WOO57" s="244"/>
      <c r="WOP57" s="245"/>
      <c r="WOQ57" s="245"/>
      <c r="WOR57" s="244"/>
      <c r="WOS57" s="246"/>
      <c r="WOT57" s="247"/>
      <c r="WOU57" s="275"/>
      <c r="WOV57" s="275"/>
      <c r="WOW57" s="275"/>
      <c r="WOX57" s="275"/>
      <c r="WOY57" s="275"/>
      <c r="WOZ57" s="275"/>
      <c r="WPA57" s="137"/>
      <c r="WPB57" s="137"/>
      <c r="WPC57" s="135"/>
      <c r="WPD57" s="137"/>
      <c r="WPF57" s="250"/>
      <c r="WPG57" s="250"/>
      <c r="WPH57" s="243"/>
      <c r="WPI57" s="276"/>
      <c r="WPJ57" s="276"/>
      <c r="WPK57" s="276"/>
      <c r="WPL57" s="244"/>
      <c r="WPM57" s="244"/>
      <c r="WPN57" s="244"/>
      <c r="WPO57" s="245"/>
      <c r="WPP57" s="245"/>
      <c r="WPQ57" s="244"/>
      <c r="WPR57" s="246"/>
      <c r="WPS57" s="247"/>
      <c r="WPT57" s="275"/>
      <c r="WPU57" s="275"/>
      <c r="WPV57" s="275"/>
      <c r="WPW57" s="275"/>
      <c r="WPX57" s="275"/>
      <c r="WPY57" s="275"/>
      <c r="WPZ57" s="137"/>
      <c r="WQA57" s="137"/>
      <c r="WQB57" s="135"/>
      <c r="WQC57" s="137"/>
      <c r="WQE57" s="250"/>
      <c r="WQF57" s="250"/>
      <c r="WQG57" s="243"/>
      <c r="WQH57" s="276"/>
      <c r="WQI57" s="276"/>
      <c r="WQJ57" s="276"/>
      <c r="WQK57" s="244"/>
      <c r="WQL57" s="244"/>
      <c r="WQM57" s="244"/>
      <c r="WQN57" s="245"/>
      <c r="WQO57" s="245"/>
      <c r="WQP57" s="244"/>
      <c r="WQQ57" s="246"/>
      <c r="WQR57" s="247"/>
      <c r="WQS57" s="275"/>
      <c r="WQT57" s="275"/>
      <c r="WQU57" s="275"/>
      <c r="WQV57" s="275"/>
      <c r="WQW57" s="275"/>
      <c r="WQX57" s="275"/>
      <c r="WQY57" s="137"/>
      <c r="WQZ57" s="137"/>
      <c r="WRA57" s="135"/>
      <c r="WRB57" s="137"/>
      <c r="WRD57" s="250"/>
      <c r="WRE57" s="250"/>
      <c r="WRF57" s="243"/>
      <c r="WRG57" s="276"/>
      <c r="WRH57" s="276"/>
      <c r="WRI57" s="276"/>
      <c r="WRJ57" s="244"/>
      <c r="WRK57" s="244"/>
      <c r="WRL57" s="244"/>
      <c r="WRM57" s="245"/>
      <c r="WRN57" s="245"/>
      <c r="WRO57" s="244"/>
      <c r="WRP57" s="246"/>
      <c r="WRQ57" s="247"/>
      <c r="WRR57" s="275"/>
      <c r="WRS57" s="275"/>
      <c r="WRT57" s="275"/>
      <c r="WRU57" s="275"/>
      <c r="WRV57" s="275"/>
      <c r="WRW57" s="275"/>
      <c r="WRX57" s="137"/>
      <c r="WRY57" s="137"/>
      <c r="WRZ57" s="135"/>
      <c r="WSA57" s="137"/>
      <c r="WSC57" s="250"/>
      <c r="WSD57" s="250"/>
      <c r="WSE57" s="243"/>
      <c r="WSF57" s="276"/>
      <c r="WSG57" s="276"/>
      <c r="WSH57" s="276"/>
      <c r="WSI57" s="244"/>
      <c r="WSJ57" s="244"/>
      <c r="WSK57" s="244"/>
      <c r="WSL57" s="245"/>
      <c r="WSM57" s="245"/>
      <c r="WSN57" s="244"/>
      <c r="WSO57" s="246"/>
      <c r="WSP57" s="247"/>
      <c r="WSQ57" s="275"/>
      <c r="WSR57" s="275"/>
      <c r="WSS57" s="275"/>
      <c r="WST57" s="275"/>
      <c r="WSU57" s="275"/>
      <c r="WSV57" s="275"/>
      <c r="WSW57" s="137"/>
      <c r="WSX57" s="137"/>
      <c r="WSY57" s="135"/>
      <c r="WSZ57" s="137"/>
      <c r="WTB57" s="250"/>
      <c r="WTC57" s="250"/>
      <c r="WTD57" s="243"/>
      <c r="WTE57" s="276"/>
      <c r="WTF57" s="276"/>
      <c r="WTG57" s="276"/>
      <c r="WTH57" s="244"/>
      <c r="WTI57" s="244"/>
      <c r="WTJ57" s="244"/>
      <c r="WTK57" s="245"/>
      <c r="WTL57" s="245"/>
      <c r="WTM57" s="244"/>
      <c r="WTN57" s="246"/>
      <c r="WTO57" s="247"/>
      <c r="WTP57" s="275"/>
      <c r="WTQ57" s="275"/>
      <c r="WTR57" s="275"/>
      <c r="WTS57" s="275"/>
      <c r="WTT57" s="275"/>
      <c r="WTU57" s="275"/>
      <c r="WTV57" s="137"/>
      <c r="WTW57" s="137"/>
      <c r="WTX57" s="135"/>
      <c r="WTY57" s="137"/>
      <c r="WUA57" s="250"/>
      <c r="WUB57" s="250"/>
      <c r="WUC57" s="243"/>
      <c r="WUD57" s="276"/>
      <c r="WUE57" s="276"/>
      <c r="WUF57" s="276"/>
      <c r="WUG57" s="244"/>
      <c r="WUH57" s="244"/>
      <c r="WUI57" s="244"/>
      <c r="WUJ57" s="245"/>
      <c r="WUK57" s="245"/>
      <c r="WUL57" s="244"/>
      <c r="WUM57" s="246"/>
      <c r="WUN57" s="247"/>
      <c r="WUO57" s="275"/>
      <c r="WUP57" s="275"/>
      <c r="WUQ57" s="275"/>
      <c r="WUR57" s="275"/>
      <c r="WUS57" s="275"/>
      <c r="WUT57" s="275"/>
      <c r="WUU57" s="137"/>
      <c r="WUV57" s="137"/>
      <c r="WUW57" s="135"/>
      <c r="WUX57" s="137"/>
      <c r="WUZ57" s="250"/>
      <c r="WVA57" s="250"/>
      <c r="WVB57" s="243"/>
      <c r="WVC57" s="276"/>
      <c r="WVD57" s="276"/>
      <c r="WVE57" s="276"/>
      <c r="WVF57" s="244"/>
      <c r="WVG57" s="244"/>
      <c r="WVH57" s="244"/>
      <c r="WVI57" s="245"/>
      <c r="WVJ57" s="245"/>
      <c r="WVK57" s="244"/>
      <c r="WVL57" s="246"/>
      <c r="WVM57" s="247"/>
      <c r="WVN57" s="275"/>
      <c r="WVO57" s="275"/>
      <c r="WVP57" s="275"/>
      <c r="WVQ57" s="275"/>
      <c r="WVR57" s="275"/>
      <c r="WVS57" s="275"/>
      <c r="WVT57" s="137"/>
      <c r="WVU57" s="137"/>
      <c r="WVV57" s="135"/>
      <c r="WVW57" s="137"/>
      <c r="WVY57" s="250"/>
      <c r="WVZ57" s="250"/>
      <c r="WWA57" s="243"/>
      <c r="WWB57" s="276"/>
      <c r="WWC57" s="276"/>
      <c r="WWD57" s="276"/>
      <c r="WWE57" s="244"/>
      <c r="WWF57" s="244"/>
      <c r="WWG57" s="244"/>
      <c r="WWH57" s="245"/>
      <c r="WWI57" s="245"/>
      <c r="WWJ57" s="244"/>
      <c r="WWK57" s="246"/>
      <c r="WWL57" s="247"/>
      <c r="WWM57" s="275"/>
      <c r="WWN57" s="275"/>
      <c r="WWO57" s="275"/>
      <c r="WWP57" s="275"/>
      <c r="WWQ57" s="275"/>
      <c r="WWR57" s="275"/>
      <c r="WWS57" s="137"/>
      <c r="WWT57" s="137"/>
      <c r="WWU57" s="135"/>
      <c r="WWV57" s="137"/>
      <c r="WWX57" s="250"/>
      <c r="WWY57" s="250"/>
      <c r="WWZ57" s="243"/>
      <c r="WXA57" s="276"/>
      <c r="WXB57" s="276"/>
      <c r="WXC57" s="276"/>
      <c r="WXD57" s="244"/>
      <c r="WXE57" s="244"/>
      <c r="WXF57" s="244"/>
      <c r="WXG57" s="245"/>
      <c r="WXH57" s="245"/>
      <c r="WXI57" s="244"/>
      <c r="WXJ57" s="246"/>
      <c r="WXK57" s="247"/>
      <c r="WXL57" s="275"/>
      <c r="WXM57" s="275"/>
      <c r="WXN57" s="275"/>
      <c r="WXO57" s="275"/>
      <c r="WXP57" s="275"/>
      <c r="WXQ57" s="275"/>
      <c r="WXR57" s="137"/>
      <c r="WXS57" s="137"/>
      <c r="WXT57" s="135"/>
      <c r="WXU57" s="137"/>
      <c r="WXW57" s="250"/>
      <c r="WXX57" s="250"/>
      <c r="WXY57" s="243"/>
      <c r="WXZ57" s="276"/>
      <c r="WYA57" s="276"/>
      <c r="WYB57" s="276"/>
      <c r="WYC57" s="244"/>
      <c r="WYD57" s="244"/>
      <c r="WYE57" s="244"/>
      <c r="WYF57" s="245"/>
      <c r="WYG57" s="245"/>
      <c r="WYH57" s="244"/>
      <c r="WYI57" s="246"/>
      <c r="WYJ57" s="247"/>
      <c r="WYK57" s="275"/>
      <c r="WYL57" s="275"/>
      <c r="WYM57" s="275"/>
      <c r="WYN57" s="275"/>
      <c r="WYO57" s="275"/>
      <c r="WYP57" s="275"/>
      <c r="WYQ57" s="137"/>
      <c r="WYR57" s="137"/>
      <c r="WYS57" s="135"/>
      <c r="WYT57" s="137"/>
      <c r="WYV57" s="250"/>
      <c r="WYW57" s="250"/>
      <c r="WYX57" s="243"/>
      <c r="WYY57" s="276"/>
      <c r="WYZ57" s="276"/>
      <c r="WZA57" s="276"/>
      <c r="WZB57" s="244"/>
      <c r="WZC57" s="244"/>
      <c r="WZD57" s="244"/>
      <c r="WZE57" s="245"/>
      <c r="WZF57" s="245"/>
      <c r="WZG57" s="244"/>
      <c r="WZH57" s="246"/>
      <c r="WZI57" s="247"/>
      <c r="WZJ57" s="275"/>
      <c r="WZK57" s="275"/>
      <c r="WZL57" s="275"/>
      <c r="WZM57" s="275"/>
      <c r="WZN57" s="275"/>
      <c r="WZO57" s="275"/>
      <c r="WZP57" s="137"/>
      <c r="WZQ57" s="137"/>
      <c r="WZR57" s="135"/>
      <c r="WZS57" s="137"/>
      <c r="WZU57" s="250"/>
      <c r="WZV57" s="250"/>
      <c r="WZW57" s="243"/>
      <c r="WZX57" s="276"/>
      <c r="WZY57" s="276"/>
      <c r="WZZ57" s="276"/>
      <c r="XAA57" s="244"/>
      <c r="XAB57" s="244"/>
      <c r="XAC57" s="244"/>
      <c r="XAD57" s="245"/>
      <c r="XAE57" s="245"/>
      <c r="XAF57" s="244"/>
      <c r="XAG57" s="246"/>
      <c r="XAH57" s="247"/>
      <c r="XAI57" s="275"/>
      <c r="XAJ57" s="275"/>
      <c r="XAK57" s="275"/>
      <c r="XAL57" s="275"/>
      <c r="XAM57" s="275"/>
      <c r="XAN57" s="275"/>
      <c r="XAO57" s="137"/>
      <c r="XAP57" s="137"/>
      <c r="XAQ57" s="135"/>
      <c r="XAR57" s="137"/>
      <c r="XAT57" s="250"/>
      <c r="XAU57" s="250"/>
      <c r="XAV57" s="243"/>
      <c r="XAW57" s="276"/>
      <c r="XAX57" s="276"/>
      <c r="XAY57" s="276"/>
      <c r="XAZ57" s="244"/>
      <c r="XBA57" s="244"/>
      <c r="XBB57" s="244"/>
      <c r="XBC57" s="245"/>
      <c r="XBD57" s="245"/>
      <c r="XBE57" s="244"/>
      <c r="XBF57" s="246"/>
      <c r="XBG57" s="247"/>
      <c r="XBH57" s="275"/>
      <c r="XBI57" s="275"/>
      <c r="XBJ57" s="275"/>
      <c r="XBK57" s="275"/>
      <c r="XBL57" s="275"/>
      <c r="XBM57" s="275"/>
      <c r="XBN57" s="137"/>
      <c r="XBO57" s="137"/>
      <c r="XBP57" s="135"/>
      <c r="XBQ57" s="137"/>
      <c r="XBS57" s="250"/>
      <c r="XBT57" s="250"/>
      <c r="XBU57" s="243"/>
      <c r="XBV57" s="276"/>
      <c r="XBW57" s="276"/>
      <c r="XBX57" s="276"/>
      <c r="XBY57" s="244"/>
      <c r="XBZ57" s="244"/>
      <c r="XCA57" s="244"/>
      <c r="XCB57" s="245"/>
      <c r="XCC57" s="245"/>
      <c r="XCD57" s="244"/>
      <c r="XCE57" s="246"/>
      <c r="XCF57" s="247"/>
      <c r="XCG57" s="275"/>
      <c r="XCH57" s="275"/>
      <c r="XCI57" s="275"/>
      <c r="XCJ57" s="275"/>
      <c r="XCK57" s="275"/>
      <c r="XCL57" s="275"/>
      <c r="XCM57" s="137"/>
      <c r="XCN57" s="137"/>
      <c r="XCO57" s="135"/>
      <c r="XCP57" s="137"/>
      <c r="XCR57" s="250"/>
      <c r="XCS57" s="250"/>
      <c r="XCT57" s="243"/>
      <c r="XCU57" s="276"/>
      <c r="XCV57" s="276"/>
      <c r="XCW57" s="276"/>
      <c r="XCX57" s="244"/>
      <c r="XCY57" s="244"/>
      <c r="XCZ57" s="244"/>
      <c r="XDA57" s="245"/>
      <c r="XDB57" s="245"/>
      <c r="XDC57" s="244"/>
      <c r="XDD57" s="246"/>
      <c r="XDE57" s="247"/>
      <c r="XDF57" s="275"/>
      <c r="XDG57" s="275"/>
      <c r="XDH57" s="275"/>
      <c r="XDI57" s="275"/>
      <c r="XDJ57" s="275"/>
      <c r="XDK57" s="275"/>
      <c r="XDL57" s="137"/>
      <c r="XDM57" s="137"/>
      <c r="XDN57" s="135"/>
      <c r="XDO57" s="137"/>
      <c r="XDQ57" s="250"/>
      <c r="XDR57" s="250"/>
      <c r="XDS57" s="243"/>
      <c r="XDT57" s="276"/>
      <c r="XDU57" s="276"/>
      <c r="XDV57" s="276"/>
      <c r="XDW57" s="244"/>
      <c r="XDX57" s="244"/>
      <c r="XDY57" s="244"/>
      <c r="XDZ57" s="245"/>
      <c r="XEA57" s="245"/>
      <c r="XEB57" s="244"/>
      <c r="XEC57" s="246"/>
      <c r="XED57" s="247"/>
      <c r="XEE57" s="275"/>
      <c r="XEF57" s="275"/>
      <c r="XEG57" s="275"/>
      <c r="XEH57" s="275"/>
      <c r="XEI57" s="275"/>
      <c r="XEJ57" s="275"/>
      <c r="XEK57" s="137"/>
      <c r="XEL57" s="137"/>
      <c r="XEM57" s="135"/>
      <c r="XEN57" s="137"/>
      <c r="XEP57" s="250"/>
      <c r="XEQ57" s="250"/>
      <c r="XER57" s="243"/>
      <c r="XES57" s="276"/>
      <c r="XET57" s="276"/>
      <c r="XEU57" s="276"/>
      <c r="XEV57" s="244"/>
      <c r="XEW57" s="244"/>
      <c r="XEX57" s="244"/>
      <c r="XEY57" s="245"/>
      <c r="XEZ57" s="245"/>
    </row>
    <row r="58" spans="1:6143 6145:7168 7170:16380" s="132" customFormat="1" ht="15" customHeight="1" x14ac:dyDescent="0.25">
      <c r="A58" s="243"/>
      <c r="B58" s="276"/>
      <c r="C58" s="276"/>
      <c r="D58" s="276"/>
      <c r="E58" s="244"/>
      <c r="F58" s="244"/>
      <c r="G58" s="244"/>
      <c r="H58" s="245"/>
      <c r="I58" s="245"/>
      <c r="J58" s="244"/>
      <c r="K58" s="246"/>
      <c r="L58" s="247"/>
      <c r="M58" s="275"/>
      <c r="N58" s="275"/>
      <c r="O58" s="275"/>
      <c r="P58" s="275"/>
      <c r="Q58" s="275"/>
      <c r="R58" s="275"/>
      <c r="S58" s="137">
        <f t="shared" si="0"/>
        <v>0</v>
      </c>
      <c r="T58" s="137">
        <f t="shared" si="1"/>
        <v>0</v>
      </c>
      <c r="U58" s="135">
        <f>IF(J58=0,(S58+T58/EERR!$D$2/1.19),(S58+T58/EERR!$D$2/1.19)/J58)</f>
        <v>0</v>
      </c>
      <c r="V58" s="137">
        <f>T58+S58*EERR!$D$2</f>
        <v>0</v>
      </c>
      <c r="W58" s="132">
        <f ca="1">SUMIF(Siteminder!$A$5:$J$164,Ago!G58,Siteminder!$M$5:$M$164)</f>
        <v>0</v>
      </c>
      <c r="X58" s="250">
        <f>SUMIF(Transbank!$A$2:$A$472,B58,Transbank!$L$2:$L$472)+SUMIF(Transbank!$A$2:$A$472,C58,Transbank!$L$2:$L$472)+SUMIF(Transbank!$A$2:$A$472,D58,Transbank!$L$2:$L$472)+(K58+O58)+(L58+P58)*EERR!$D$2</f>
        <v>0</v>
      </c>
      <c r="Y58" s="250">
        <f>X58/EERR!$D$2</f>
        <v>0</v>
      </c>
      <c r="Z58" s="260">
        <f t="shared" si="2"/>
        <v>0</v>
      </c>
    </row>
    <row r="59" spans="1:6143 6145:7168 7170:16380" s="132" customFormat="1" ht="15" customHeight="1" x14ac:dyDescent="0.25">
      <c r="A59" s="243"/>
      <c r="B59" s="276"/>
      <c r="C59" s="276"/>
      <c r="D59" s="276"/>
      <c r="E59" s="244"/>
      <c r="F59" s="244"/>
      <c r="G59" s="244"/>
      <c r="H59" s="245"/>
      <c r="I59" s="245"/>
      <c r="J59" s="244"/>
      <c r="K59" s="246"/>
      <c r="L59" s="247"/>
      <c r="M59" s="275"/>
      <c r="N59" s="275"/>
      <c r="O59" s="275"/>
      <c r="P59" s="275"/>
      <c r="Q59" s="275"/>
      <c r="R59" s="275"/>
      <c r="S59" s="137">
        <f t="shared" si="0"/>
        <v>0</v>
      </c>
      <c r="T59" s="137">
        <f t="shared" si="1"/>
        <v>0</v>
      </c>
      <c r="U59" s="135">
        <f>IF(J59=0,(S59+T59/EERR!$D$2/1.19),(S59+T59/EERR!$D$2/1.19)/J59)</f>
        <v>0</v>
      </c>
      <c r="V59" s="137">
        <f>T59+S59*EERR!$D$2</f>
        <v>0</v>
      </c>
      <c r="W59" s="132">
        <f ca="1">SUMIF(Siteminder!$A$5:$J$164,Ago!G59,Siteminder!$M$5:$M$164)</f>
        <v>0</v>
      </c>
      <c r="X59" s="250">
        <f>SUMIF(Transbank!$A$2:$A$472,B59,Transbank!$L$2:$L$472)+SUMIF(Transbank!$A$2:$A$472,C59,Transbank!$L$2:$L$472)+SUMIF(Transbank!$A$2:$A$472,D59,Transbank!$L$2:$L$472)+(K59+O59)+(L59+P59)*EERR!$D$2</f>
        <v>0</v>
      </c>
      <c r="Y59" s="250">
        <f>X59/EERR!$D$2</f>
        <v>0</v>
      </c>
      <c r="Z59" s="260">
        <f t="shared" si="2"/>
        <v>0</v>
      </c>
    </row>
    <row r="60" spans="1:6143 6145:7168 7170:16380" s="132" customFormat="1" x14ac:dyDescent="0.25">
      <c r="A60" s="243"/>
      <c r="B60" s="276"/>
      <c r="C60" s="276"/>
      <c r="D60" s="276"/>
      <c r="E60" s="244"/>
      <c r="F60" s="244"/>
      <c r="G60" s="244"/>
      <c r="H60" s="245"/>
      <c r="I60" s="245"/>
      <c r="J60" s="244"/>
      <c r="K60" s="246"/>
      <c r="L60" s="247"/>
      <c r="M60" s="246"/>
      <c r="N60" s="246"/>
      <c r="O60" s="246"/>
      <c r="P60" s="246"/>
      <c r="Q60" s="246"/>
      <c r="R60" s="246"/>
      <c r="S60" s="137">
        <f t="shared" si="0"/>
        <v>0</v>
      </c>
      <c r="T60" s="137">
        <f t="shared" si="1"/>
        <v>0</v>
      </c>
      <c r="U60" s="135">
        <f>IF(J60=0,(S60+T60/EERR!$D$2/1.19),(S60+T60/EERR!$D$2/1.19)/J60)</f>
        <v>0</v>
      </c>
      <c r="V60" s="137">
        <f>T60+S60*EERR!$D$2</f>
        <v>0</v>
      </c>
      <c r="W60" s="132">
        <f ca="1">SUMIF(Siteminder!$A$5:$J$164,Ago!G60,Siteminder!$M$5:$M$164)</f>
        <v>0</v>
      </c>
      <c r="X60" s="250">
        <f>SUMIF(Transbank!$A$2:$A$472,B60,Transbank!$L$2:$L$472)+SUMIF(Transbank!$A$2:$A$472,C60,Transbank!$L$2:$L$472)+SUMIF(Transbank!$A$2:$A$472,D60,Transbank!$L$2:$L$472)+(K60+O60)+(L60+P60)*EERR!$D$2</f>
        <v>0</v>
      </c>
      <c r="Y60" s="250">
        <f>X60/EERR!$D$2</f>
        <v>0</v>
      </c>
      <c r="Z60" s="260">
        <f t="shared" si="2"/>
        <v>0</v>
      </c>
    </row>
    <row r="61" spans="1:6143 6145:7168 7170:16380" s="132" customFormat="1" ht="15" customHeight="1" x14ac:dyDescent="0.25">
      <c r="A61" s="243"/>
      <c r="B61" s="276"/>
      <c r="C61" s="276"/>
      <c r="D61" s="276"/>
      <c r="E61" s="244"/>
      <c r="F61" s="244"/>
      <c r="G61" s="244"/>
      <c r="H61" s="245"/>
      <c r="I61" s="245"/>
      <c r="J61" s="244"/>
      <c r="K61" s="246"/>
      <c r="L61" s="261"/>
      <c r="M61" s="262"/>
      <c r="N61" s="262"/>
      <c r="O61" s="262"/>
      <c r="P61" s="262"/>
      <c r="Q61" s="262"/>
      <c r="R61" s="246"/>
      <c r="S61" s="137">
        <f t="shared" si="0"/>
        <v>0</v>
      </c>
      <c r="T61" s="137">
        <f t="shared" si="1"/>
        <v>0</v>
      </c>
      <c r="U61" s="135">
        <f>IF(J61=0,(S61+T61/EERR!$D$2/1.19),(S61+T61/EERR!$D$2/1.19)/J61)</f>
        <v>0</v>
      </c>
      <c r="V61" s="137">
        <f>T61+S61*EERR!$D$2</f>
        <v>0</v>
      </c>
      <c r="W61" s="132">
        <f ca="1">SUMIF(Siteminder!$A$5:$J$164,Ago!G61,Siteminder!$M$5:$M$164)</f>
        <v>0</v>
      </c>
      <c r="X61" s="250">
        <f>SUMIF(Transbank!$A$2:$A$472,B61,Transbank!$L$2:$L$472)+SUMIF(Transbank!$A$2:$A$472,C61,Transbank!$L$2:$L$472)+SUMIF(Transbank!$A$2:$A$472,D61,Transbank!$L$2:$L$472)+(K61+O61)+(L61+P61)*EERR!$D$2</f>
        <v>0</v>
      </c>
      <c r="Y61" s="250">
        <f>X61/EERR!$D$2</f>
        <v>0</v>
      </c>
      <c r="Z61" s="260">
        <f t="shared" si="2"/>
        <v>0</v>
      </c>
    </row>
    <row r="62" spans="1:6143 6145:7168 7170:16380" s="132" customFormat="1" ht="15" customHeight="1" x14ac:dyDescent="0.25">
      <c r="A62" s="243"/>
      <c r="B62" s="276"/>
      <c r="C62" s="276"/>
      <c r="D62" s="276"/>
      <c r="E62" s="244"/>
      <c r="F62" s="244"/>
      <c r="G62" s="244"/>
      <c r="H62" s="245"/>
      <c r="I62" s="245"/>
      <c r="J62" s="244"/>
      <c r="K62" s="246"/>
      <c r="L62" s="247"/>
      <c r="M62" s="246"/>
      <c r="N62" s="246"/>
      <c r="O62" s="246"/>
      <c r="P62" s="246"/>
      <c r="Q62" s="246"/>
      <c r="R62" s="246"/>
      <c r="S62" s="137">
        <f t="shared" si="0"/>
        <v>0</v>
      </c>
      <c r="T62" s="137">
        <f t="shared" si="1"/>
        <v>0</v>
      </c>
      <c r="U62" s="135">
        <f>IF(J62=0,(S62+T62/EERR!$D$2/1.19),(S62+T62/EERR!$D$2/1.19)/J62)</f>
        <v>0</v>
      </c>
      <c r="V62" s="137">
        <f>T62+S62*EERR!$D$2</f>
        <v>0</v>
      </c>
      <c r="W62" s="132">
        <f ca="1">SUMIF(Siteminder!$A$5:$J$164,Ago!G62,Siteminder!$M$5:$M$164)</f>
        <v>0</v>
      </c>
      <c r="X62" s="250">
        <f>SUMIF(Transbank!$A$2:$A$472,B62,Transbank!$L$2:$L$472)+SUMIF(Transbank!$A$2:$A$472,C62,Transbank!$L$2:$L$472)+SUMIF(Transbank!$A$2:$A$472,D62,Transbank!$L$2:$L$472)+(K62+O62)+(L62+P62)*EERR!$D$2</f>
        <v>0</v>
      </c>
      <c r="Y62" s="250">
        <f>X62/EERR!$D$2</f>
        <v>0</v>
      </c>
      <c r="Z62" s="260">
        <f t="shared" si="2"/>
        <v>0</v>
      </c>
    </row>
    <row r="63" spans="1:6143 6145:7168 7170:16380" s="132" customFormat="1" ht="15" customHeight="1" x14ac:dyDescent="0.25">
      <c r="A63" s="243"/>
      <c r="B63" s="276"/>
      <c r="C63" s="276"/>
      <c r="D63" s="276"/>
      <c r="E63" s="244"/>
      <c r="F63" s="244"/>
      <c r="G63" s="244"/>
      <c r="H63" s="245"/>
      <c r="I63" s="245"/>
      <c r="J63" s="244"/>
      <c r="K63" s="246"/>
      <c r="L63" s="247"/>
      <c r="M63" s="246"/>
      <c r="N63" s="246"/>
      <c r="O63" s="246"/>
      <c r="P63" s="246"/>
      <c r="Q63" s="246"/>
      <c r="R63" s="246"/>
      <c r="S63" s="137">
        <f t="shared" si="0"/>
        <v>0</v>
      </c>
      <c r="T63" s="137">
        <f t="shared" si="1"/>
        <v>0</v>
      </c>
      <c r="U63" s="135">
        <f>IF(J63=0,(S63+T63/EERR!$D$2/1.19),(S63+T63/EERR!$D$2/1.19)/J63)</f>
        <v>0</v>
      </c>
      <c r="V63" s="137">
        <f>T63+S63*EERR!$D$2</f>
        <v>0</v>
      </c>
      <c r="W63" s="132">
        <f ca="1">SUMIF(Siteminder!$A$5:$J$164,Ago!G63,Siteminder!$M$5:$M$164)</f>
        <v>0</v>
      </c>
      <c r="X63" s="250">
        <f>SUMIF(Transbank!$A$2:$A$472,B63,Transbank!$L$2:$L$472)+SUMIF(Transbank!$A$2:$A$472,C63,Transbank!$L$2:$L$472)+SUMIF(Transbank!$A$2:$A$472,D63,Transbank!$L$2:$L$472)+(K63+O63)+(L63+P63)*EERR!$D$2</f>
        <v>0</v>
      </c>
      <c r="Y63" s="250">
        <f>X63/EERR!$D$2</f>
        <v>0</v>
      </c>
      <c r="Z63" s="260">
        <f t="shared" si="2"/>
        <v>0</v>
      </c>
    </row>
    <row r="64" spans="1:6143 6145:7168 7170:16380" s="132" customFormat="1" ht="15" customHeight="1" x14ac:dyDescent="0.25">
      <c r="A64" s="243"/>
      <c r="B64" s="276"/>
      <c r="C64" s="276"/>
      <c r="D64" s="276"/>
      <c r="E64" s="244"/>
      <c r="F64" s="244"/>
      <c r="G64" s="244"/>
      <c r="H64" s="245"/>
      <c r="I64" s="245"/>
      <c r="J64" s="244"/>
      <c r="K64" s="246"/>
      <c r="L64" s="247"/>
      <c r="M64" s="246"/>
      <c r="N64" s="246"/>
      <c r="O64" s="246"/>
      <c r="P64" s="246"/>
      <c r="Q64" s="246"/>
      <c r="R64" s="246"/>
      <c r="S64" s="137">
        <f t="shared" si="0"/>
        <v>0</v>
      </c>
      <c r="T64" s="137">
        <f t="shared" si="1"/>
        <v>0</v>
      </c>
      <c r="U64" s="135">
        <f>IF(J64=0,(S64+T64/EERR!$D$2/1.19),(S64+T64/EERR!$D$2/1.19)/J64)</f>
        <v>0</v>
      </c>
      <c r="V64" s="137">
        <f>T64+S64*EERR!$D$2</f>
        <v>0</v>
      </c>
      <c r="W64" s="132">
        <f ca="1">SUMIF(Siteminder!$A$5:$J$164,Ago!G64,Siteminder!$M$5:$M$164)</f>
        <v>0</v>
      </c>
      <c r="X64" s="250">
        <f>SUMIF(Transbank!$A$2:$A$472,B64,Transbank!$L$2:$L$472)+SUMIF(Transbank!$A$2:$A$472,C64,Transbank!$L$2:$L$472)+SUMIF(Transbank!$A$2:$A$472,D64,Transbank!$L$2:$L$472)+(K64+O64)+(L64+P64)*EERR!$D$2</f>
        <v>0</v>
      </c>
      <c r="Y64" s="250">
        <f>X64/EERR!$D$2</f>
        <v>0</v>
      </c>
      <c r="Z64" s="260">
        <f t="shared" si="2"/>
        <v>0</v>
      </c>
    </row>
    <row r="65" spans="1:26" s="132" customFormat="1" ht="15" customHeight="1" x14ac:dyDescent="0.25">
      <c r="A65" s="243"/>
      <c r="B65" s="276"/>
      <c r="C65" s="276"/>
      <c r="D65" s="276"/>
      <c r="E65" s="324"/>
      <c r="F65" s="324"/>
      <c r="G65" s="324"/>
      <c r="H65" s="325"/>
      <c r="I65" s="325"/>
      <c r="J65" s="244"/>
      <c r="K65" s="246"/>
      <c r="L65" s="247"/>
      <c r="M65" s="275"/>
      <c r="N65" s="275"/>
      <c r="O65" s="275"/>
      <c r="P65" s="275"/>
      <c r="Q65" s="275"/>
      <c r="R65" s="275"/>
      <c r="S65" s="137">
        <f t="shared" si="0"/>
        <v>0</v>
      </c>
      <c r="T65" s="137">
        <f t="shared" si="1"/>
        <v>0</v>
      </c>
      <c r="U65" s="135">
        <f>IF(J65=0,(S65+T65/EERR!$D$2/1.19),(S65+T65/EERR!$D$2/1.19)/J65)</f>
        <v>0</v>
      </c>
      <c r="V65" s="137">
        <f>T65+S65*EERR!$D$2</f>
        <v>0</v>
      </c>
      <c r="W65" s="132">
        <f ca="1">SUMIF(Siteminder!$A$5:$J$164,Ago!G65,Siteminder!$M$5:$M$164)</f>
        <v>0</v>
      </c>
      <c r="X65" s="250">
        <f>SUMIF(Transbank!$A$2:$A$472,B65,Transbank!$L$2:$L$472)+SUMIF(Transbank!$A$2:$A$472,C65,Transbank!$L$2:$L$472)+SUMIF(Transbank!$A$2:$A$472,D65,Transbank!$L$2:$L$472)+(K65+O65)+(L65+P65)*EERR!$D$2</f>
        <v>0</v>
      </c>
      <c r="Y65" s="250">
        <f>X65/EERR!$D$2</f>
        <v>0</v>
      </c>
      <c r="Z65" s="260">
        <f t="shared" si="2"/>
        <v>0</v>
      </c>
    </row>
    <row r="66" spans="1:26" s="132" customFormat="1" ht="15" customHeight="1" x14ac:dyDescent="0.25">
      <c r="A66" s="243"/>
      <c r="B66" s="276"/>
      <c r="C66" s="276"/>
      <c r="D66" s="276"/>
      <c r="E66" s="244"/>
      <c r="F66" s="244"/>
      <c r="G66" s="244"/>
      <c r="H66" s="245"/>
      <c r="I66" s="245"/>
      <c r="J66" s="244"/>
      <c r="K66" s="246"/>
      <c r="L66" s="247"/>
      <c r="M66" s="246"/>
      <c r="N66" s="246"/>
      <c r="O66" s="246"/>
      <c r="P66" s="246"/>
      <c r="Q66" s="246"/>
      <c r="R66" s="246"/>
      <c r="S66" s="137">
        <f t="shared" si="0"/>
        <v>0</v>
      </c>
      <c r="T66" s="137">
        <f t="shared" si="1"/>
        <v>0</v>
      </c>
      <c r="U66" s="135">
        <f>IF(J66=0,(S66+T66/EERR!$D$2/1.19),(S66+T66/EERR!$D$2/1.19)/J66)</f>
        <v>0</v>
      </c>
      <c r="V66" s="137">
        <f>T66+S66*EERR!$D$2</f>
        <v>0</v>
      </c>
      <c r="W66" s="132">
        <f ca="1">SUMIF(Siteminder!$A$5:$J$164,Ago!G66,Siteminder!$M$5:$M$164)</f>
        <v>0</v>
      </c>
      <c r="X66" s="250">
        <f>SUMIF(Transbank!$A$2:$A$472,B66,Transbank!$L$2:$L$472)+SUMIF(Transbank!$A$2:$A$472,C66,Transbank!$L$2:$L$472)+SUMIF(Transbank!$A$2:$A$472,D66,Transbank!$L$2:$L$472)+(K66+O66)+(L66+P66)*EERR!$D$2</f>
        <v>0</v>
      </c>
      <c r="Y66" s="250">
        <f>X66/EERR!$D$2</f>
        <v>0</v>
      </c>
      <c r="Z66" s="260">
        <f t="shared" si="2"/>
        <v>0</v>
      </c>
    </row>
    <row r="67" spans="1:26" s="132" customFormat="1" ht="15" customHeight="1" x14ac:dyDescent="0.25">
      <c r="A67" s="243"/>
      <c r="B67" s="276"/>
      <c r="C67" s="276"/>
      <c r="D67" s="276"/>
      <c r="E67" s="244"/>
      <c r="F67" s="244"/>
      <c r="G67" s="244"/>
      <c r="H67" s="245"/>
      <c r="I67" s="245"/>
      <c r="J67" s="244"/>
      <c r="K67" s="246"/>
      <c r="L67" s="247"/>
      <c r="M67" s="246"/>
      <c r="N67" s="246"/>
      <c r="O67" s="246"/>
      <c r="P67" s="246"/>
      <c r="Q67" s="246"/>
      <c r="R67" s="246"/>
      <c r="S67" s="137">
        <f t="shared" si="0"/>
        <v>0</v>
      </c>
      <c r="T67" s="137">
        <f t="shared" si="1"/>
        <v>0</v>
      </c>
      <c r="U67" s="135">
        <f>IF(J67=0,(S67+T67/EERR!$D$2/1.19),(S67+T67/EERR!$D$2/1.19)/J67)</f>
        <v>0</v>
      </c>
      <c r="V67" s="137">
        <f>T67+S67*EERR!$D$2</f>
        <v>0</v>
      </c>
      <c r="W67" s="132">
        <f ca="1">SUMIF(Siteminder!$A$5:$J$164,Ago!G67,Siteminder!$M$5:$M$164)</f>
        <v>0</v>
      </c>
      <c r="X67" s="250">
        <f>SUMIF(Transbank!$A$2:$A$472,B67,Transbank!$L$2:$L$472)+SUMIF(Transbank!$A$2:$A$472,C67,Transbank!$L$2:$L$472)+SUMIF(Transbank!$A$2:$A$472,D67,Transbank!$L$2:$L$472)+(K67+O67)+(L67+P67)*EERR!$D$2</f>
        <v>0</v>
      </c>
      <c r="Y67" s="250">
        <f>X67/EERR!$D$2</f>
        <v>0</v>
      </c>
      <c r="Z67" s="260">
        <f t="shared" si="2"/>
        <v>0</v>
      </c>
    </row>
    <row r="68" spans="1:26" ht="12.75" x14ac:dyDescent="0.2">
      <c r="A68" s="227"/>
      <c r="B68" s="227"/>
      <c r="C68" s="227"/>
      <c r="D68" s="227"/>
      <c r="E68" s="227"/>
      <c r="F68" s="227"/>
      <c r="G68" s="227"/>
      <c r="H68" s="232"/>
      <c r="I68" s="232"/>
      <c r="J68" s="233">
        <f t="shared" ref="J68:P68" si="5">SUM(J3:J67)</f>
        <v>144</v>
      </c>
      <c r="K68" s="233">
        <f t="shared" si="5"/>
        <v>371756</v>
      </c>
      <c r="L68" s="233">
        <f t="shared" si="5"/>
        <v>6205</v>
      </c>
      <c r="M68" s="233">
        <f t="shared" si="5"/>
        <v>2386584</v>
      </c>
      <c r="N68" s="233">
        <f t="shared" si="5"/>
        <v>12520</v>
      </c>
      <c r="O68" s="233">
        <f t="shared" si="5"/>
        <v>196493</v>
      </c>
      <c r="P68" s="233">
        <f t="shared" si="5"/>
        <v>0</v>
      </c>
      <c r="Q68" s="233"/>
      <c r="R68" s="233"/>
      <c r="S68" s="233">
        <f>SUM(S3:S67)</f>
        <v>25105</v>
      </c>
      <c r="T68" s="233">
        <f>SUM(T3:T67)</f>
        <v>5002559</v>
      </c>
      <c r="U68" s="233">
        <f>IF(J68=0,(S68+T68/EERR!$D$2/1.19),(S68+T68/EERR!$D$2/1.19)/J68)</f>
        <v>215.27307569597289</v>
      </c>
      <c r="V68" s="233">
        <f>SUM(V3:V67)</f>
        <v>22907445</v>
      </c>
      <c r="W68" s="233">
        <f ca="1">SUM(W3:W67)</f>
        <v>142</v>
      </c>
      <c r="X68" s="233">
        <f>SUM(X3:X67)</f>
        <v>23696884.999999996</v>
      </c>
      <c r="Y68" s="233"/>
      <c r="Z68" s="260">
        <f t="shared" si="2"/>
        <v>789439.99999999627</v>
      </c>
    </row>
    <row r="69" spans="1:26" s="132" customFormat="1" x14ac:dyDescent="0.25">
      <c r="A69" s="243">
        <v>4036</v>
      </c>
      <c r="B69" s="276">
        <v>1548</v>
      </c>
      <c r="C69" s="276">
        <v>1581</v>
      </c>
      <c r="D69" s="276"/>
      <c r="E69" s="244" t="s">
        <v>705</v>
      </c>
      <c r="F69" s="244" t="s">
        <v>249</v>
      </c>
      <c r="G69" s="259">
        <v>1907234763622</v>
      </c>
      <c r="H69" s="245">
        <v>43681</v>
      </c>
      <c r="I69" s="245">
        <v>43688</v>
      </c>
      <c r="J69" s="244">
        <v>7</v>
      </c>
      <c r="K69" s="246"/>
      <c r="L69" s="247"/>
      <c r="M69" s="246"/>
      <c r="N69" s="246">
        <v>1111</v>
      </c>
      <c r="O69" s="246"/>
      <c r="P69" s="246"/>
      <c r="Q69" s="246"/>
      <c r="R69" s="246">
        <v>185</v>
      </c>
      <c r="S69" s="137">
        <f t="shared" si="0"/>
        <v>1296</v>
      </c>
      <c r="T69" s="137">
        <f t="shared" ref="T69" si="6">M69+O69+K69+Q69</f>
        <v>0</v>
      </c>
      <c r="U69" s="135">
        <f>IF(J69=0,(S69+T69/EERR!$D$2/1.19),(S69+T69/EERR!$D$2/1.19)/J69)</f>
        <v>185.14285714285714</v>
      </c>
      <c r="V69" s="137">
        <f>T69+S69*EERR!$D$2</f>
        <v>924307.20000000007</v>
      </c>
      <c r="W69" s="132">
        <f ca="1">SUMIF(Siteminder!$A$5:$J$164,Ago!G69,Siteminder!$M$5:$M$164)</f>
        <v>7</v>
      </c>
      <c r="X69" s="250">
        <f>SUMIF(Transbank!$A$2:$A$472,B69,Transbank!$L$2:$L$472)+SUMIF(Transbank!$A$2:$A$472,C69,Transbank!$L$2:$L$472)+SUMIF(Transbank!$A$2:$A$472,D69,Transbank!$L$2:$L$472)+(K69+O69)+(L69+P69)*EERR!$D$2</f>
        <v>919814.41500000004</v>
      </c>
      <c r="Y69" s="251">
        <f>X69/EERR!$D$2</f>
        <v>1289.7005257992148</v>
      </c>
      <c r="Z69" s="260">
        <f t="shared" si="2"/>
        <v>-4492.7850000000326</v>
      </c>
    </row>
    <row r="70" spans="1:26" s="132" customFormat="1" x14ac:dyDescent="0.25">
      <c r="A70" s="243">
        <v>4042</v>
      </c>
      <c r="B70" s="276">
        <v>1499</v>
      </c>
      <c r="C70" s="276">
        <v>1589</v>
      </c>
      <c r="D70" s="276"/>
      <c r="E70" s="244" t="s">
        <v>702</v>
      </c>
      <c r="F70" s="244" t="s">
        <v>249</v>
      </c>
      <c r="G70" s="259">
        <v>1905254561764</v>
      </c>
      <c r="H70" s="245">
        <v>43684</v>
      </c>
      <c r="I70" s="245">
        <v>43686</v>
      </c>
      <c r="J70" s="244">
        <v>2</v>
      </c>
      <c r="K70" s="246"/>
      <c r="L70" s="247"/>
      <c r="M70" s="246"/>
      <c r="N70" s="246">
        <v>209</v>
      </c>
      <c r="O70" s="246"/>
      <c r="P70" s="246"/>
      <c r="Q70" s="246"/>
      <c r="R70" s="246">
        <v>209</v>
      </c>
      <c r="S70" s="137">
        <f t="shared" si="0"/>
        <v>418</v>
      </c>
      <c r="T70" s="137">
        <f t="shared" ref="T70:T86" si="7">M70+O70+K70+Q70</f>
        <v>0</v>
      </c>
      <c r="U70" s="135">
        <f>IF(J70=0,(S70+T70/EERR!$D$2/1.19),(S70+T70/EERR!$D$2/1.19)/J70)</f>
        <v>209</v>
      </c>
      <c r="V70" s="137">
        <f>T70+S70*EERR!$D$2</f>
        <v>298117.60000000003</v>
      </c>
      <c r="W70" s="132">
        <f ca="1">SUMIF(Siteminder!$A$5:$J$164,Ago!G70,Siteminder!$M$5:$M$164)</f>
        <v>2</v>
      </c>
      <c r="X70" s="250">
        <f>SUMIF(Transbank!$A$2:$A$472,B70,Transbank!$L$2:$L$472)+SUMIF(Transbank!$A$2:$A$472,C70,Transbank!$L$2:$L$472)+SUMIF(Transbank!$A$2:$A$472,D70,Transbank!$L$2:$L$472)+(K70+O70)+(L70+P70)*EERR!$D$2</f>
        <v>292445.33999999997</v>
      </c>
      <c r="Y70" s="251">
        <f>X70/EERR!$D$2</f>
        <v>410.04674705552435</v>
      </c>
      <c r="Z70" s="260">
        <f t="shared" si="2"/>
        <v>-5672.2600000000675</v>
      </c>
    </row>
    <row r="71" spans="1:26" s="132" customFormat="1" x14ac:dyDescent="0.25">
      <c r="A71" s="243">
        <v>4047</v>
      </c>
      <c r="B71" s="276">
        <v>1596</v>
      </c>
      <c r="C71" s="276"/>
      <c r="D71" s="276"/>
      <c r="E71" s="244" t="s">
        <v>648</v>
      </c>
      <c r="F71" s="244" t="s">
        <v>249</v>
      </c>
      <c r="G71" s="259">
        <v>1908074814893</v>
      </c>
      <c r="H71" s="245">
        <v>43687</v>
      </c>
      <c r="I71" s="245">
        <v>43688</v>
      </c>
      <c r="J71" s="244">
        <v>2</v>
      </c>
      <c r="K71" s="246"/>
      <c r="L71" s="247"/>
      <c r="M71" s="246"/>
      <c r="N71" s="246">
        <v>370.5</v>
      </c>
      <c r="O71" s="246"/>
      <c r="P71" s="246"/>
      <c r="Q71" s="246"/>
      <c r="R71" s="246"/>
      <c r="S71" s="137">
        <f t="shared" ref="S71:S86" si="8">L71+N71+P71+R71</f>
        <v>370.5</v>
      </c>
      <c r="T71" s="137">
        <f t="shared" si="7"/>
        <v>0</v>
      </c>
      <c r="U71" s="135">
        <f>IF(J71=0,(S71+T71/EERR!$D$2/1.19),(S71+T71/EERR!$D$2/1.19)/J71)</f>
        <v>185.25</v>
      </c>
      <c r="V71" s="137">
        <f>T71+S71*EERR!$D$2</f>
        <v>264240.60000000003</v>
      </c>
      <c r="W71" s="132">
        <f ca="1">SUMIF(Siteminder!$A$5:$J$164,Ago!G71,Siteminder!$M$5:$M$164)</f>
        <v>2</v>
      </c>
      <c r="X71" s="250">
        <f>SUMIF(Transbank!$A$2:$A$472,B71,Transbank!$L$2:$L$472)+SUMIF(Transbank!$A$2:$A$472,C71,Transbank!$L$2:$L$472)+SUMIF(Transbank!$A$2:$A$472,D71,Transbank!$L$2:$L$472)+(K71+O71)+(L71+P71)*EERR!$D$2</f>
        <v>264240.60000000003</v>
      </c>
      <c r="Y71" s="251">
        <f>X71/EERR!$D$2</f>
        <v>370.5</v>
      </c>
      <c r="Z71" s="260">
        <f t="shared" ref="Z71:Z86" si="9">+X71-V71</f>
        <v>0</v>
      </c>
    </row>
    <row r="72" spans="1:26" s="132" customFormat="1" x14ac:dyDescent="0.25">
      <c r="A72" s="243">
        <v>4048</v>
      </c>
      <c r="B72" s="276">
        <v>1508</v>
      </c>
      <c r="C72" s="276">
        <v>1601</v>
      </c>
      <c r="D72" s="276"/>
      <c r="E72" s="244" t="s">
        <v>704</v>
      </c>
      <c r="F72" s="244" t="s">
        <v>249</v>
      </c>
      <c r="G72" s="259">
        <v>1903184325773</v>
      </c>
      <c r="H72" s="245">
        <v>43687</v>
      </c>
      <c r="I72" s="245">
        <v>43690</v>
      </c>
      <c r="J72" s="244">
        <v>3</v>
      </c>
      <c r="K72" s="246"/>
      <c r="L72" s="247"/>
      <c r="M72" s="246"/>
      <c r="N72" s="246">
        <v>418</v>
      </c>
      <c r="O72" s="246"/>
      <c r="P72" s="246"/>
      <c r="Q72" s="246"/>
      <c r="R72" s="246">
        <v>209</v>
      </c>
      <c r="S72" s="137">
        <f t="shared" si="8"/>
        <v>627</v>
      </c>
      <c r="T72" s="137">
        <f t="shared" si="7"/>
        <v>0</v>
      </c>
      <c r="U72" s="135">
        <f>IF(J72=0,(S72+T72/EERR!$D$2/1.19),(S72+T72/EERR!$D$2/1.19)/J72)</f>
        <v>209</v>
      </c>
      <c r="V72" s="137">
        <f>T72+S72*EERR!$D$2</f>
        <v>447176.4</v>
      </c>
      <c r="W72" s="132">
        <f ca="1">SUMIF(Siteminder!$A$5:$J$164,Ago!G72,Siteminder!$M$5:$M$164)</f>
        <v>3</v>
      </c>
      <c r="X72" s="250">
        <f>SUMIF(Transbank!$A$2:$A$472,B72,Transbank!$L$2:$L$472)+SUMIF(Transbank!$A$2:$A$472,C72,Transbank!$L$2:$L$472)+SUMIF(Transbank!$A$2:$A$472,D72,Transbank!$L$2:$L$472)+(K72+O72)+(L72+P72)*EERR!$D$2</f>
        <v>441504.14</v>
      </c>
      <c r="Y72" s="251">
        <f>X72/EERR!$D$2</f>
        <v>619.04674705552441</v>
      </c>
      <c r="Z72" s="260">
        <f t="shared" si="9"/>
        <v>-5672.2600000000093</v>
      </c>
    </row>
    <row r="73" spans="1:26" s="132" customFormat="1" x14ac:dyDescent="0.25">
      <c r="A73" s="243">
        <v>4049</v>
      </c>
      <c r="B73" s="276">
        <v>1509</v>
      </c>
      <c r="C73" s="276">
        <v>1602</v>
      </c>
      <c r="D73" s="276"/>
      <c r="E73" s="244" t="s">
        <v>703</v>
      </c>
      <c r="F73" s="244" t="s">
        <v>249</v>
      </c>
      <c r="G73" s="259">
        <v>1903094294461</v>
      </c>
      <c r="H73" s="245">
        <v>43687</v>
      </c>
      <c r="I73" s="245">
        <v>43690</v>
      </c>
      <c r="J73" s="244">
        <v>6</v>
      </c>
      <c r="K73" s="246"/>
      <c r="L73" s="247"/>
      <c r="M73" s="246"/>
      <c r="N73" s="246">
        <v>836</v>
      </c>
      <c r="O73" s="246"/>
      <c r="P73" s="246"/>
      <c r="Q73" s="246"/>
      <c r="R73" s="246">
        <v>418</v>
      </c>
      <c r="S73" s="137">
        <f t="shared" si="8"/>
        <v>1254</v>
      </c>
      <c r="T73" s="137">
        <f t="shared" si="7"/>
        <v>0</v>
      </c>
      <c r="U73" s="135">
        <f>IF(J73=0,(S73+T73/EERR!$D$2/1.19),(S73+T73/EERR!$D$2/1.19)/J73)</f>
        <v>209</v>
      </c>
      <c r="V73" s="137">
        <f>T73+S73*EERR!$D$2</f>
        <v>894352.8</v>
      </c>
      <c r="W73" s="132">
        <f ca="1">SUMIF(Siteminder!$A$5:$J$164,Ago!G73,Siteminder!$M$5:$M$164)</f>
        <v>6</v>
      </c>
      <c r="X73" s="250">
        <f>SUMIF(Transbank!$A$2:$A$472,B73,Transbank!$L$2:$L$472)+SUMIF(Transbank!$A$2:$A$472,C73,Transbank!$L$2:$L$472)+SUMIF(Transbank!$A$2:$A$472,D73,Transbank!$L$2:$L$472)+(K73+O73)+(L73+P73)*EERR!$D$2</f>
        <v>883008.28</v>
      </c>
      <c r="Y73" s="251">
        <f>X73/EERR!$D$2</f>
        <v>1238.0934941110488</v>
      </c>
      <c r="Z73" s="260">
        <f t="shared" si="9"/>
        <v>-11344.520000000019</v>
      </c>
    </row>
    <row r="74" spans="1:26" s="132" customFormat="1" x14ac:dyDescent="0.25">
      <c r="A74" s="243"/>
      <c r="B74" s="276"/>
      <c r="C74" s="276"/>
      <c r="D74" s="276"/>
      <c r="E74" s="244"/>
      <c r="F74" s="244"/>
      <c r="G74" s="259"/>
      <c r="H74" s="245"/>
      <c r="I74" s="245"/>
      <c r="J74" s="244"/>
      <c r="K74" s="246"/>
      <c r="L74" s="247"/>
      <c r="M74" s="246"/>
      <c r="N74" s="246"/>
      <c r="O74" s="246"/>
      <c r="P74" s="246"/>
      <c r="Q74" s="246"/>
      <c r="R74" s="246"/>
      <c r="S74" s="137">
        <f t="shared" si="8"/>
        <v>0</v>
      </c>
      <c r="T74" s="137">
        <f t="shared" si="7"/>
        <v>0</v>
      </c>
      <c r="U74" s="135">
        <f>IF(J74=0,(S74+T74/EERR!$D$2/1.19),(S74+T74/EERR!$D$2/1.19)/J74)</f>
        <v>0</v>
      </c>
      <c r="V74" s="137">
        <f>T74+S74*EERR!$D$2</f>
        <v>0</v>
      </c>
      <c r="W74" s="132">
        <f ca="1">SUMIF(Siteminder!$A$5:$J$164,Ago!G74,Siteminder!$M$5:$M$164)</f>
        <v>0</v>
      </c>
      <c r="X74" s="250">
        <f>SUMIF(Transbank!$A$2:$A$472,B74,Transbank!$L$2:$L$472)+SUMIF(Transbank!$A$2:$A$472,C74,Transbank!$L$2:$L$472)+SUMIF(Transbank!$A$2:$A$472,D74,Transbank!$L$2:$L$472)+(K74+O74)+(L74+P74)*EERR!$D$2</f>
        <v>0</v>
      </c>
      <c r="Y74" s="251">
        <f>X74/EERR!$D$2</f>
        <v>0</v>
      </c>
      <c r="Z74" s="260">
        <f t="shared" si="9"/>
        <v>0</v>
      </c>
    </row>
    <row r="75" spans="1:26" s="132" customFormat="1" x14ac:dyDescent="0.25">
      <c r="A75" s="243"/>
      <c r="B75" s="276"/>
      <c r="C75" s="276"/>
      <c r="D75" s="276"/>
      <c r="E75" s="244"/>
      <c r="F75" s="244"/>
      <c r="G75" s="259"/>
      <c r="H75" s="245"/>
      <c r="I75" s="245"/>
      <c r="J75" s="244"/>
      <c r="K75" s="246"/>
      <c r="L75" s="247"/>
      <c r="M75" s="246"/>
      <c r="N75" s="246"/>
      <c r="O75" s="246"/>
      <c r="P75" s="246"/>
      <c r="Q75" s="246"/>
      <c r="R75" s="246"/>
      <c r="S75" s="137">
        <f t="shared" si="8"/>
        <v>0</v>
      </c>
      <c r="T75" s="137">
        <f t="shared" si="7"/>
        <v>0</v>
      </c>
      <c r="U75" s="135">
        <f>IF(J75=0,(S75+T75/EERR!$D$2/1.19),(S75+T75/EERR!$D$2/1.19)/J75)</f>
        <v>0</v>
      </c>
      <c r="V75" s="137">
        <f>T75+S75*EERR!$D$2</f>
        <v>0</v>
      </c>
      <c r="W75" s="132">
        <f ca="1">SUMIF(Siteminder!$A$5:$J$164,Ago!G75,Siteminder!$M$5:$M$164)</f>
        <v>0</v>
      </c>
      <c r="X75" s="250">
        <f>SUMIF(Transbank!$A$2:$A$472,B75,Transbank!$L$2:$L$472)+SUMIF(Transbank!$A$2:$A$472,C75,Transbank!$L$2:$L$472)+SUMIF(Transbank!$A$2:$A$472,D75,Transbank!$L$2:$L$472)+(K75+O75)+(L75+P75)*EERR!$D$2</f>
        <v>0</v>
      </c>
      <c r="Y75" s="251">
        <f>X75/EERR!$D$2</f>
        <v>0</v>
      </c>
      <c r="Z75" s="260">
        <f t="shared" si="9"/>
        <v>0</v>
      </c>
    </row>
    <row r="76" spans="1:26" s="132" customFormat="1" x14ac:dyDescent="0.25">
      <c r="A76" s="243"/>
      <c r="B76" s="276"/>
      <c r="C76" s="276"/>
      <c r="D76" s="276"/>
      <c r="E76" s="244"/>
      <c r="F76" s="244"/>
      <c r="G76" s="259"/>
      <c r="H76" s="245"/>
      <c r="I76" s="245"/>
      <c r="J76" s="244"/>
      <c r="K76" s="246"/>
      <c r="L76" s="247"/>
      <c r="M76" s="246"/>
      <c r="N76" s="246"/>
      <c r="O76" s="246"/>
      <c r="P76" s="246"/>
      <c r="Q76" s="246"/>
      <c r="R76" s="246"/>
      <c r="S76" s="137">
        <f t="shared" si="8"/>
        <v>0</v>
      </c>
      <c r="T76" s="137">
        <f t="shared" si="7"/>
        <v>0</v>
      </c>
      <c r="U76" s="135">
        <f>IF(J76=0,(S76+T76/EERR!$D$2/1.19),(S76+T76/EERR!$D$2/1.19)/J76)</f>
        <v>0</v>
      </c>
      <c r="V76" s="137">
        <f>T76+S76*EERR!$D$2</f>
        <v>0</v>
      </c>
      <c r="W76" s="132">
        <f ca="1">SUMIF(Siteminder!$A$5:$J$164,Ago!G76,Siteminder!$M$5:$M$164)</f>
        <v>0</v>
      </c>
      <c r="X76" s="250">
        <f>SUMIF(Transbank!$A$2:$A$472,B76,Transbank!$L$2:$L$472)+SUMIF(Transbank!$A$2:$A$472,C76,Transbank!$L$2:$L$472)+SUMIF(Transbank!$A$2:$A$472,D76,Transbank!$L$2:$L$472)+(K76+O76)+(L76+P76)*EERR!$D$2</f>
        <v>0</v>
      </c>
      <c r="Y76" s="251">
        <f>X76/EERR!$D$2</f>
        <v>0</v>
      </c>
      <c r="Z76" s="260">
        <f t="shared" si="9"/>
        <v>0</v>
      </c>
    </row>
    <row r="77" spans="1:26" s="132" customFormat="1" x14ac:dyDescent="0.25">
      <c r="A77" s="243"/>
      <c r="B77" s="276"/>
      <c r="C77" s="276"/>
      <c r="D77" s="276"/>
      <c r="E77" s="244"/>
      <c r="F77" s="244"/>
      <c r="G77" s="259"/>
      <c r="H77" s="245"/>
      <c r="I77" s="245"/>
      <c r="J77" s="244"/>
      <c r="K77" s="246"/>
      <c r="L77" s="247"/>
      <c r="M77" s="246"/>
      <c r="N77" s="246"/>
      <c r="O77" s="246"/>
      <c r="P77" s="246"/>
      <c r="Q77" s="246"/>
      <c r="R77" s="246"/>
      <c r="S77" s="137">
        <f t="shared" si="8"/>
        <v>0</v>
      </c>
      <c r="T77" s="137">
        <f t="shared" si="7"/>
        <v>0</v>
      </c>
      <c r="U77" s="135">
        <f>IF(J77=0,(S77+T77/EERR!$D$2/1.19),(S77+T77/EERR!$D$2/1.19)/J77)</f>
        <v>0</v>
      </c>
      <c r="V77" s="137">
        <f>T77+S77*EERR!$D$2</f>
        <v>0</v>
      </c>
      <c r="W77" s="132">
        <f ca="1">SUMIF(Siteminder!$A$5:$J$164,Ago!G77,Siteminder!$M$5:$M$164)</f>
        <v>0</v>
      </c>
      <c r="X77" s="250">
        <f>SUMIF(Transbank!$A$2:$A$472,B77,Transbank!$L$2:$L$472)+SUMIF(Transbank!$A$2:$A$472,C77,Transbank!$L$2:$L$472)+SUMIF(Transbank!$A$2:$A$472,D77,Transbank!$L$2:$L$472)+(K77+O77)+(L77+P77)*EERR!$D$2</f>
        <v>0</v>
      </c>
      <c r="Y77" s="251">
        <f>X77/EERR!$D$2</f>
        <v>0</v>
      </c>
      <c r="Z77" s="260">
        <f t="shared" si="9"/>
        <v>0</v>
      </c>
    </row>
    <row r="78" spans="1:26" s="132" customFormat="1" x14ac:dyDescent="0.25">
      <c r="A78" s="243"/>
      <c r="B78" s="276"/>
      <c r="C78" s="276"/>
      <c r="D78" s="276"/>
      <c r="E78" s="244"/>
      <c r="F78" s="244"/>
      <c r="G78" s="259"/>
      <c r="H78" s="245"/>
      <c r="I78" s="245"/>
      <c r="J78" s="244"/>
      <c r="K78" s="246"/>
      <c r="L78" s="247"/>
      <c r="M78" s="246"/>
      <c r="N78" s="246"/>
      <c r="O78" s="246"/>
      <c r="P78" s="246"/>
      <c r="Q78" s="246"/>
      <c r="R78" s="246"/>
      <c r="S78" s="137">
        <f t="shared" si="8"/>
        <v>0</v>
      </c>
      <c r="T78" s="137">
        <f t="shared" si="7"/>
        <v>0</v>
      </c>
      <c r="U78" s="135">
        <f>IF(J78=0,(S78+T78/EERR!$D$2/1.19),(S78+T78/EERR!$D$2/1.19)/J78)</f>
        <v>0</v>
      </c>
      <c r="V78" s="137">
        <f>T78+S78*EERR!$D$2</f>
        <v>0</v>
      </c>
      <c r="W78" s="132">
        <f ca="1">SUMIF(Siteminder!$A$5:$J$164,Ago!G78,Siteminder!$M$5:$M$164)</f>
        <v>0</v>
      </c>
      <c r="X78" s="250">
        <f>SUMIF(Transbank!$A$2:$A$472,B78,Transbank!$L$2:$L$472)+SUMIF(Transbank!$A$2:$A$472,C78,Transbank!$L$2:$L$472)+SUMIF(Transbank!$A$2:$A$472,D78,Transbank!$L$2:$L$472)+(K78+O78)+(L78+P78)*EERR!$D$2</f>
        <v>0</v>
      </c>
      <c r="Y78" s="251">
        <f>X78/EERR!$D$2</f>
        <v>0</v>
      </c>
      <c r="Z78" s="260">
        <f t="shared" si="9"/>
        <v>0</v>
      </c>
    </row>
    <row r="79" spans="1:26" s="132" customFormat="1" x14ac:dyDescent="0.25">
      <c r="A79" s="243"/>
      <c r="B79" s="276"/>
      <c r="C79" s="276"/>
      <c r="D79" s="276"/>
      <c r="E79" s="244"/>
      <c r="F79" s="244"/>
      <c r="G79" s="259"/>
      <c r="H79" s="245"/>
      <c r="I79" s="245"/>
      <c r="J79" s="244"/>
      <c r="K79" s="246"/>
      <c r="L79" s="247"/>
      <c r="M79" s="246"/>
      <c r="N79" s="246"/>
      <c r="O79" s="246"/>
      <c r="P79" s="246"/>
      <c r="Q79" s="246"/>
      <c r="R79" s="246"/>
      <c r="S79" s="137">
        <f t="shared" si="8"/>
        <v>0</v>
      </c>
      <c r="T79" s="137">
        <f t="shared" si="7"/>
        <v>0</v>
      </c>
      <c r="U79" s="135">
        <f>IF(J79=0,(S79+T79/EERR!$D$2/1.19),(S79+T79/EERR!$D$2/1.19)/J79)</f>
        <v>0</v>
      </c>
      <c r="V79" s="137">
        <f>T79+S79*EERR!$D$2</f>
        <v>0</v>
      </c>
      <c r="W79" s="132">
        <f ca="1">SUMIF(Siteminder!$A$5:$J$164,Ago!G79,Siteminder!$M$5:$M$164)</f>
        <v>0</v>
      </c>
      <c r="X79" s="250">
        <f>SUMIF(Transbank!$A$2:$A$472,B79,Transbank!$L$2:$L$472)+SUMIF(Transbank!$A$2:$A$472,C79,Transbank!$L$2:$L$472)+SUMIF(Transbank!$A$2:$A$472,D79,Transbank!$L$2:$L$472)+(K79+O79)+(L79+P79)*EERR!$D$2</f>
        <v>0</v>
      </c>
      <c r="Y79" s="251">
        <f>X79/EERR!$D$2</f>
        <v>0</v>
      </c>
      <c r="Z79" s="260">
        <f t="shared" si="9"/>
        <v>0</v>
      </c>
    </row>
    <row r="80" spans="1:26" s="132" customFormat="1" x14ac:dyDescent="0.25">
      <c r="A80" s="243"/>
      <c r="B80" s="276"/>
      <c r="C80" s="276"/>
      <c r="D80" s="276"/>
      <c r="E80" s="244"/>
      <c r="F80" s="244"/>
      <c r="G80" s="259"/>
      <c r="H80" s="245"/>
      <c r="I80" s="245"/>
      <c r="J80" s="244"/>
      <c r="K80" s="246"/>
      <c r="L80" s="247"/>
      <c r="M80" s="246"/>
      <c r="N80" s="246"/>
      <c r="O80" s="246"/>
      <c r="P80" s="246"/>
      <c r="Q80" s="246"/>
      <c r="R80" s="246"/>
      <c r="S80" s="137">
        <f t="shared" si="8"/>
        <v>0</v>
      </c>
      <c r="T80" s="137">
        <f t="shared" si="7"/>
        <v>0</v>
      </c>
      <c r="U80" s="135">
        <f>IF(J80=0,(S80+T80/EERR!$D$2/1.19),(S80+T80/EERR!$D$2/1.19)/J80)</f>
        <v>0</v>
      </c>
      <c r="V80" s="137">
        <f>T80+S80*EERR!$D$2</f>
        <v>0</v>
      </c>
      <c r="W80" s="132">
        <f ca="1">SUMIF(Siteminder!$A$5:$J$164,Ago!G80,Siteminder!$M$5:$M$164)</f>
        <v>0</v>
      </c>
      <c r="X80" s="250">
        <f>SUMIF(Transbank!$A$2:$A$472,B80,Transbank!$L$2:$L$472)+SUMIF(Transbank!$A$2:$A$472,C80,Transbank!$L$2:$L$472)+SUMIF(Transbank!$A$2:$A$472,D80,Transbank!$L$2:$L$472)+(K80+O80)+(L80+P80)*EERR!$D$2</f>
        <v>0</v>
      </c>
      <c r="Y80" s="251">
        <f>X80/EERR!$D$2</f>
        <v>0</v>
      </c>
      <c r="Z80" s="260">
        <f t="shared" si="9"/>
        <v>0</v>
      </c>
    </row>
    <row r="81" spans="1:26" s="132" customFormat="1" x14ac:dyDescent="0.25">
      <c r="A81" s="243"/>
      <c r="B81" s="276"/>
      <c r="C81" s="276"/>
      <c r="D81" s="276"/>
      <c r="E81" s="244"/>
      <c r="F81" s="244"/>
      <c r="G81" s="259"/>
      <c r="H81" s="245"/>
      <c r="I81" s="245"/>
      <c r="J81" s="244"/>
      <c r="K81" s="246"/>
      <c r="L81" s="247"/>
      <c r="M81" s="246"/>
      <c r="N81" s="246"/>
      <c r="O81" s="246"/>
      <c r="P81" s="246"/>
      <c r="Q81" s="246"/>
      <c r="R81" s="246"/>
      <c r="S81" s="137">
        <f t="shared" si="8"/>
        <v>0</v>
      </c>
      <c r="T81" s="137">
        <f t="shared" si="7"/>
        <v>0</v>
      </c>
      <c r="U81" s="135">
        <f>IF(J81=0,(S81+T81/EERR!$D$2/1.19),(S81+T81/EERR!$D$2/1.19)/J81)</f>
        <v>0</v>
      </c>
      <c r="V81" s="137">
        <f>T81+S81*EERR!$D$2</f>
        <v>0</v>
      </c>
      <c r="W81" s="132">
        <f ca="1">SUMIF(Siteminder!$A$5:$J$164,Ago!G81,Siteminder!$M$5:$M$164)</f>
        <v>0</v>
      </c>
      <c r="X81" s="250">
        <f>SUMIF(Transbank!$A$2:$A$472,B81,Transbank!$L$2:$L$472)+SUMIF(Transbank!$A$2:$A$472,C81,Transbank!$L$2:$L$472)+SUMIF(Transbank!$A$2:$A$472,D81,Transbank!$L$2:$L$472)+(K81+O81)+(L81+P81)*EERR!$D$2</f>
        <v>0</v>
      </c>
      <c r="Y81" s="251">
        <f>X81/EERR!$D$2</f>
        <v>0</v>
      </c>
      <c r="Z81" s="260">
        <f t="shared" si="9"/>
        <v>0</v>
      </c>
    </row>
    <row r="82" spans="1:26" s="132" customFormat="1" x14ac:dyDescent="0.25">
      <c r="A82" s="243"/>
      <c r="B82" s="276"/>
      <c r="C82" s="276"/>
      <c r="D82" s="276"/>
      <c r="E82" s="244"/>
      <c r="F82" s="244"/>
      <c r="G82" s="259"/>
      <c r="H82" s="245"/>
      <c r="I82" s="245"/>
      <c r="J82" s="244"/>
      <c r="K82" s="246"/>
      <c r="L82" s="247"/>
      <c r="M82" s="246"/>
      <c r="N82" s="246"/>
      <c r="O82" s="246"/>
      <c r="P82" s="246"/>
      <c r="Q82" s="246"/>
      <c r="R82" s="246"/>
      <c r="S82" s="137">
        <f t="shared" si="8"/>
        <v>0</v>
      </c>
      <c r="T82" s="137">
        <f t="shared" si="7"/>
        <v>0</v>
      </c>
      <c r="U82" s="135">
        <f>IF(J82=0,(S82+T82/EERR!$D$2/1.19),(S82+T82/EERR!$D$2/1.19)/J82)</f>
        <v>0</v>
      </c>
      <c r="V82" s="137">
        <f>T82+S82*EERR!$D$2</f>
        <v>0</v>
      </c>
      <c r="W82" s="132">
        <f ca="1">SUMIF(Siteminder!$A$5:$J$164,Ago!G82,Siteminder!$M$5:$M$164)</f>
        <v>0</v>
      </c>
      <c r="X82" s="250">
        <f>SUMIF(Transbank!$A$2:$A$472,B82,Transbank!$L$2:$L$472)+SUMIF(Transbank!$A$2:$A$472,C82,Transbank!$L$2:$L$472)+SUMIF(Transbank!$A$2:$A$472,D82,Transbank!$L$2:$L$472)+(K82+O82)+(L82+P82)*EERR!$D$2</f>
        <v>0</v>
      </c>
      <c r="Y82" s="251">
        <f>X82/EERR!$D$2</f>
        <v>0</v>
      </c>
      <c r="Z82" s="260">
        <f t="shared" si="9"/>
        <v>0</v>
      </c>
    </row>
    <row r="83" spans="1:26" s="132" customFormat="1" x14ac:dyDescent="0.25">
      <c r="A83" s="243"/>
      <c r="B83" s="276"/>
      <c r="C83" s="276"/>
      <c r="D83" s="276"/>
      <c r="E83" s="244"/>
      <c r="F83" s="244"/>
      <c r="G83" s="259"/>
      <c r="H83" s="245"/>
      <c r="I83" s="245"/>
      <c r="J83" s="244"/>
      <c r="K83" s="246"/>
      <c r="L83" s="247"/>
      <c r="M83" s="246"/>
      <c r="N83" s="246"/>
      <c r="O83" s="246"/>
      <c r="P83" s="246"/>
      <c r="Q83" s="246"/>
      <c r="R83" s="246"/>
      <c r="S83" s="137">
        <f t="shared" si="8"/>
        <v>0</v>
      </c>
      <c r="T83" s="137">
        <f t="shared" si="7"/>
        <v>0</v>
      </c>
      <c r="U83" s="135">
        <f>IF(J83=0,(S83+T83/EERR!$D$2/1.19),(S83+T83/EERR!$D$2/1.19)/J83)</f>
        <v>0</v>
      </c>
      <c r="V83" s="137">
        <f>T83+S83*EERR!$D$2</f>
        <v>0</v>
      </c>
      <c r="W83" s="132">
        <f ca="1">SUMIF(Siteminder!$A$5:$J$164,Ago!G83,Siteminder!$M$5:$M$164)</f>
        <v>0</v>
      </c>
      <c r="X83" s="250">
        <f>SUMIF(Transbank!$A$2:$A$472,B83,Transbank!$L$2:$L$472)+SUMIF(Transbank!$A$2:$A$472,C83,Transbank!$L$2:$L$472)+SUMIF(Transbank!$A$2:$A$472,D83,Transbank!$L$2:$L$472)+(K83+O83)+(L83+P83)*EERR!$D$2</f>
        <v>0</v>
      </c>
      <c r="Y83" s="251">
        <f>X83/EERR!$D$2</f>
        <v>0</v>
      </c>
      <c r="Z83" s="260">
        <f t="shared" si="9"/>
        <v>0</v>
      </c>
    </row>
    <row r="84" spans="1:26" s="132" customFormat="1" x14ac:dyDescent="0.25">
      <c r="A84" s="243"/>
      <c r="B84" s="276"/>
      <c r="C84" s="276"/>
      <c r="D84" s="276"/>
      <c r="E84" s="244"/>
      <c r="F84" s="244"/>
      <c r="G84" s="259"/>
      <c r="H84" s="245"/>
      <c r="I84" s="245"/>
      <c r="J84" s="244"/>
      <c r="K84" s="246"/>
      <c r="L84" s="247"/>
      <c r="M84" s="246"/>
      <c r="N84" s="246"/>
      <c r="O84" s="246"/>
      <c r="P84" s="246"/>
      <c r="Q84" s="246"/>
      <c r="R84" s="246"/>
      <c r="S84" s="137">
        <f t="shared" si="8"/>
        <v>0</v>
      </c>
      <c r="T84" s="137">
        <f t="shared" si="7"/>
        <v>0</v>
      </c>
      <c r="U84" s="135">
        <f>IF(J84=0,(S84+T84/EERR!$D$2/1.19),(S84+T84/EERR!$D$2/1.19)/J84)</f>
        <v>0</v>
      </c>
      <c r="V84" s="137">
        <f>T84+S84*EERR!$D$2</f>
        <v>0</v>
      </c>
      <c r="W84" s="132">
        <f ca="1">SUMIF(Siteminder!$A$5:$J$164,Ago!G84,Siteminder!$M$5:$M$164)</f>
        <v>0</v>
      </c>
      <c r="X84" s="250">
        <f>SUMIF(Transbank!$A$2:$A$472,B84,Transbank!$L$2:$L$472)+SUMIF(Transbank!$A$2:$A$472,C84,Transbank!$L$2:$L$472)+SUMIF(Transbank!$A$2:$A$472,D84,Transbank!$L$2:$L$472)+(K84+O84)+(L84+P84)*EERR!$D$2</f>
        <v>0</v>
      </c>
      <c r="Y84" s="251">
        <f>X84/EERR!$D$2</f>
        <v>0</v>
      </c>
      <c r="Z84" s="260">
        <f t="shared" si="9"/>
        <v>0</v>
      </c>
    </row>
    <row r="85" spans="1:26" s="132" customFormat="1" x14ac:dyDescent="0.25">
      <c r="A85" s="243"/>
      <c r="B85" s="276"/>
      <c r="C85" s="276"/>
      <c r="D85" s="276"/>
      <c r="E85" s="244"/>
      <c r="F85" s="244"/>
      <c r="G85" s="259"/>
      <c r="H85" s="245"/>
      <c r="I85" s="245"/>
      <c r="J85" s="244"/>
      <c r="K85" s="246"/>
      <c r="L85" s="247"/>
      <c r="M85" s="246"/>
      <c r="N85" s="246"/>
      <c r="O85" s="246"/>
      <c r="P85" s="246"/>
      <c r="Q85" s="246"/>
      <c r="R85" s="246"/>
      <c r="S85" s="137">
        <f t="shared" si="8"/>
        <v>0</v>
      </c>
      <c r="T85" s="137">
        <f t="shared" si="7"/>
        <v>0</v>
      </c>
      <c r="U85" s="135">
        <f>IF(J85=0,(S85+T85/EERR!$D$2/1.19),(S85+T85/EERR!$D$2/1.19)/J85)</f>
        <v>0</v>
      </c>
      <c r="V85" s="137">
        <f>T85+S85*EERR!$D$2</f>
        <v>0</v>
      </c>
      <c r="W85" s="132">
        <f ca="1">SUMIF(Siteminder!$A$5:$J$164,Ago!G85,Siteminder!$M$5:$M$164)</f>
        <v>0</v>
      </c>
      <c r="X85" s="250">
        <f>SUMIF(Transbank!$A$2:$A$472,B85,Transbank!$L$2:$L$472)+SUMIF(Transbank!$A$2:$A$472,C85,Transbank!$L$2:$L$472)+SUMIF(Transbank!$A$2:$A$472,D85,Transbank!$L$2:$L$472)+(K85+O85)+(L85+P85)*EERR!$D$2</f>
        <v>0</v>
      </c>
      <c r="Y85" s="251">
        <f>X85/EERR!$D$2</f>
        <v>0</v>
      </c>
      <c r="Z85" s="260">
        <f t="shared" si="9"/>
        <v>0</v>
      </c>
    </row>
    <row r="86" spans="1:26" s="132" customFormat="1" x14ac:dyDescent="0.25">
      <c r="A86" s="243"/>
      <c r="B86" s="276"/>
      <c r="C86" s="276"/>
      <c r="D86" s="276"/>
      <c r="E86" s="244"/>
      <c r="F86" s="244"/>
      <c r="G86" s="244"/>
      <c r="H86" s="245"/>
      <c r="I86" s="245"/>
      <c r="J86" s="244"/>
      <c r="K86" s="246"/>
      <c r="L86" s="247"/>
      <c r="M86" s="246"/>
      <c r="N86" s="246"/>
      <c r="O86" s="246"/>
      <c r="P86" s="246"/>
      <c r="Q86" s="246"/>
      <c r="R86" s="246"/>
      <c r="S86" s="137">
        <f t="shared" si="8"/>
        <v>0</v>
      </c>
      <c r="T86" s="137">
        <f t="shared" si="7"/>
        <v>0</v>
      </c>
      <c r="U86" s="135">
        <f>IF(J86=0,(S86+T86/EERR!$D$2/1.19),(S86+T86/EERR!$D$2/1.19)/J86)</f>
        <v>0</v>
      </c>
      <c r="V86" s="137">
        <f>T86+S86*EERR!$D$2</f>
        <v>0</v>
      </c>
      <c r="W86" s="132">
        <f ca="1">SUMIF(Siteminder!$A$5:$J$164,Ago!G86,Siteminder!$M$5:$M$164)</f>
        <v>0</v>
      </c>
      <c r="X86" s="250">
        <f>SUMIF(Transbank!$A$2:$A$472,B86,Transbank!$L$2:$L$472)+SUMIF(Transbank!$A$2:$A$472,C86,Transbank!$L$2:$L$472)+SUMIF(Transbank!$A$2:$A$472,D86,Transbank!$L$2:$L$472)+(K86+O86)+(L86+P86)*EERR!$D$2</f>
        <v>0</v>
      </c>
      <c r="Y86" s="251">
        <f>X86/EERR!$D$2</f>
        <v>0</v>
      </c>
      <c r="Z86" s="260">
        <f t="shared" si="9"/>
        <v>0</v>
      </c>
    </row>
    <row r="87" spans="1:26" ht="12.75" x14ac:dyDescent="0.2">
      <c r="A87" s="227"/>
      <c r="B87" s="227"/>
      <c r="C87" s="227"/>
      <c r="D87" s="227"/>
      <c r="E87" s="227"/>
      <c r="F87" s="227"/>
      <c r="G87" s="227"/>
      <c r="H87" s="232"/>
      <c r="I87" s="232"/>
      <c r="J87" s="233">
        <f>SUM(J69:J86)</f>
        <v>20</v>
      </c>
      <c r="K87" s="233">
        <f t="shared" ref="K87:T87" si="10">SUM(K69:K86)</f>
        <v>0</v>
      </c>
      <c r="L87" s="233">
        <f t="shared" si="10"/>
        <v>0</v>
      </c>
      <c r="M87" s="233">
        <f t="shared" si="10"/>
        <v>0</v>
      </c>
      <c r="N87" s="233">
        <f t="shared" si="10"/>
        <v>2944.5</v>
      </c>
      <c r="O87" s="233">
        <f t="shared" si="10"/>
        <v>0</v>
      </c>
      <c r="P87" s="233">
        <f t="shared" si="10"/>
        <v>0</v>
      </c>
      <c r="Q87" s="233">
        <f t="shared" si="10"/>
        <v>0</v>
      </c>
      <c r="R87" s="233">
        <f t="shared" si="10"/>
        <v>1021</v>
      </c>
      <c r="S87" s="233">
        <f t="shared" si="10"/>
        <v>3965.5</v>
      </c>
      <c r="T87" s="233">
        <f t="shared" si="10"/>
        <v>0</v>
      </c>
      <c r="U87" s="233">
        <f>IF(J87=0,(S87+T87/EERR!$D$2/1.19),(S87+T87/EERR!$D$2/1.19)/J87)</f>
        <v>198.27500000000001</v>
      </c>
      <c r="V87" s="233">
        <f>SUM(V69:V86)</f>
        <v>2828194.6000000006</v>
      </c>
      <c r="W87" s="233">
        <f ca="1">SUM(W69:W86)</f>
        <v>20</v>
      </c>
      <c r="X87" s="233">
        <f>SUM(X69:X86)</f>
        <v>2801012.7750000004</v>
      </c>
      <c r="Y87" s="233"/>
      <c r="Z87" s="260">
        <f t="shared" ref="Z87:Z110" si="11">+X87-V87</f>
        <v>-27181.825000000186</v>
      </c>
    </row>
    <row r="88" spans="1:26" x14ac:dyDescent="0.25">
      <c r="A88" s="243">
        <v>4032</v>
      </c>
      <c r="B88" s="276">
        <v>1549</v>
      </c>
      <c r="C88" s="276"/>
      <c r="D88" s="276"/>
      <c r="E88" s="244" t="s">
        <v>715</v>
      </c>
      <c r="F88" s="244" t="s">
        <v>216</v>
      </c>
      <c r="G88" s="244">
        <v>1306498393</v>
      </c>
      <c r="H88" s="245">
        <v>43678</v>
      </c>
      <c r="I88" s="245">
        <v>43679</v>
      </c>
      <c r="J88" s="244">
        <v>1</v>
      </c>
      <c r="K88" s="246"/>
      <c r="L88" s="247"/>
      <c r="M88" s="246"/>
      <c r="N88" s="246"/>
      <c r="O88" s="246"/>
      <c r="P88" s="246"/>
      <c r="Q88" s="246"/>
      <c r="R88" s="246">
        <v>195</v>
      </c>
      <c r="S88" s="137">
        <f t="shared" ref="S88" si="12">L88+N88+P88+R88</f>
        <v>195</v>
      </c>
      <c r="T88" s="137">
        <f t="shared" ref="T88" si="13">M88+O88+K88+Q88</f>
        <v>0</v>
      </c>
      <c r="U88" s="135">
        <f>IF(J88=0,(S88+T88/EERR!$D$2/1.19),(S88+T88/EERR!$D$2/1.19)/J88)</f>
        <v>195</v>
      </c>
      <c r="V88" s="137">
        <f>T88+S88*EERR!$D$2</f>
        <v>139074</v>
      </c>
      <c r="W88" s="132">
        <f ca="1">SUMIF(Siteminder!$A$5:$J$164,Ago!G88,Siteminder!$M$5:$M$164)</f>
        <v>1</v>
      </c>
      <c r="X88" s="250">
        <f>SUMIF(Transbank!$A$2:$A$472,B88,Transbank!$L$2:$L$472)+SUMIF(Transbank!$A$2:$A$472,C88,Transbank!$L$2:$L$472)+SUMIF(Transbank!$A$2:$A$472,D88,Transbank!$L$2:$L$472)+(K88+O88)+(L88+P88)*EERR!$D$2</f>
        <v>133781.69999999998</v>
      </c>
      <c r="Y88" s="252">
        <f>X88/EERR!$D$2</f>
        <v>187.5795008412787</v>
      </c>
      <c r="Z88" s="260">
        <f t="shared" si="11"/>
        <v>-5292.3000000000175</v>
      </c>
    </row>
    <row r="89" spans="1:26" s="132" customFormat="1" x14ac:dyDescent="0.25">
      <c r="A89" s="243">
        <v>4040</v>
      </c>
      <c r="B89" s="276">
        <v>1501</v>
      </c>
      <c r="C89" s="276"/>
      <c r="D89" s="276"/>
      <c r="E89" s="244" t="s">
        <v>658</v>
      </c>
      <c r="F89" s="244" t="s">
        <v>216</v>
      </c>
      <c r="G89" s="259">
        <v>1296878961</v>
      </c>
      <c r="H89" s="245">
        <v>43683</v>
      </c>
      <c r="I89" s="245">
        <v>43684</v>
      </c>
      <c r="J89" s="244">
        <v>1</v>
      </c>
      <c r="K89" s="246"/>
      <c r="L89" s="247"/>
      <c r="M89" s="246"/>
      <c r="N89" s="246"/>
      <c r="O89" s="246"/>
      <c r="P89" s="246"/>
      <c r="Q89" s="246"/>
      <c r="R89" s="246">
        <v>195</v>
      </c>
      <c r="S89" s="137">
        <f t="shared" ref="S89:S110" si="14">L89+N89+P89+R89</f>
        <v>195</v>
      </c>
      <c r="T89" s="137">
        <f t="shared" ref="T89:T110" si="15">M89+O89+K89+Q89</f>
        <v>0</v>
      </c>
      <c r="U89" s="135">
        <f>IF(J89=0,(S89+T89/EERR!$D$2/1.19),(S89+T89/EERR!$D$2/1.19)/J89)</f>
        <v>195</v>
      </c>
      <c r="V89" s="137">
        <f>T89+S89*EERR!$D$2</f>
        <v>139074</v>
      </c>
      <c r="W89" s="132">
        <f ca="1">SUMIF(Siteminder!$A$5:$J$164,Ago!G89,Siteminder!$M$5:$M$164)</f>
        <v>1</v>
      </c>
      <c r="X89" s="250">
        <f>SUMIF(Transbank!$A$2:$A$472,B89,Transbank!$L$2:$L$472)+SUMIF(Transbank!$A$2:$A$472,C89,Transbank!$L$2:$L$472)+SUMIF(Transbank!$A$2:$A$472,D89,Transbank!$L$2:$L$472)+(K89+O89)+(L89+P89)*EERR!$D$2</f>
        <v>133781.69999999998</v>
      </c>
      <c r="Y89" s="252">
        <f>X89/EERR!$D$2</f>
        <v>187.5795008412787</v>
      </c>
      <c r="Z89" s="260">
        <f t="shared" si="11"/>
        <v>-5292.3000000000175</v>
      </c>
    </row>
    <row r="90" spans="1:26" s="132" customFormat="1" x14ac:dyDescent="0.25">
      <c r="A90" s="243">
        <v>4045</v>
      </c>
      <c r="B90" s="276">
        <v>1507</v>
      </c>
      <c r="C90" s="276">
        <v>1595</v>
      </c>
      <c r="D90" s="276"/>
      <c r="E90" s="244" t="s">
        <v>712</v>
      </c>
      <c r="F90" s="244" t="s">
        <v>216</v>
      </c>
      <c r="G90" s="259">
        <v>1236698353</v>
      </c>
      <c r="H90" s="245">
        <v>43687</v>
      </c>
      <c r="I90" s="245">
        <v>43692</v>
      </c>
      <c r="J90" s="244">
        <v>5</v>
      </c>
      <c r="K90" s="246"/>
      <c r="L90" s="247"/>
      <c r="M90" s="246"/>
      <c r="N90" s="246">
        <v>900</v>
      </c>
      <c r="O90" s="246"/>
      <c r="P90" s="246"/>
      <c r="Q90" s="246"/>
      <c r="R90" s="246">
        <v>220</v>
      </c>
      <c r="S90" s="137">
        <f t="shared" si="14"/>
        <v>1120</v>
      </c>
      <c r="T90" s="137">
        <f t="shared" si="15"/>
        <v>0</v>
      </c>
      <c r="U90" s="135">
        <f>IF(J90=0,(S90+T90/EERR!$D$2/1.19),(S90+T90/EERR!$D$2/1.19)/J90)</f>
        <v>224</v>
      </c>
      <c r="V90" s="137">
        <f>T90+S90*EERR!$D$2</f>
        <v>798784</v>
      </c>
      <c r="W90" s="132">
        <f ca="1">SUMIF(Siteminder!$A$5:$J$164,Ago!G90,Siteminder!$M$5:$M$164)</f>
        <v>5</v>
      </c>
      <c r="X90" s="250">
        <f>SUMIF(Transbank!$A$2:$A$472,B90,Transbank!$L$2:$L$472)+SUMIF(Transbank!$A$2:$A$472,C90,Transbank!$L$2:$L$472)+SUMIF(Transbank!$A$2:$A$472,D90,Transbank!$L$2:$L$472)+(K90+O90)+(L90+P90)*EERR!$D$2</f>
        <v>792813.2</v>
      </c>
      <c r="Y90" s="252">
        <f>X90/EERR!$D$2</f>
        <v>1111.6281547952888</v>
      </c>
      <c r="Z90" s="260">
        <f t="shared" si="11"/>
        <v>-5970.8000000000466</v>
      </c>
    </row>
    <row r="91" spans="1:26" s="132" customFormat="1" x14ac:dyDescent="0.25">
      <c r="A91" s="243">
        <v>4050</v>
      </c>
      <c r="B91" s="276">
        <v>1597</v>
      </c>
      <c r="C91" s="276"/>
      <c r="D91" s="276"/>
      <c r="E91" s="244" t="s">
        <v>716</v>
      </c>
      <c r="F91" s="244" t="s">
        <v>216</v>
      </c>
      <c r="G91" s="259">
        <v>1317969443</v>
      </c>
      <c r="H91" s="245">
        <v>43689</v>
      </c>
      <c r="I91" s="245">
        <v>43690</v>
      </c>
      <c r="J91" s="244">
        <v>1</v>
      </c>
      <c r="K91" s="246"/>
      <c r="L91" s="247"/>
      <c r="M91" s="246"/>
      <c r="N91" s="246"/>
      <c r="O91" s="246"/>
      <c r="P91" s="246"/>
      <c r="Q91" s="246"/>
      <c r="R91" s="246">
        <v>195</v>
      </c>
      <c r="S91" s="137">
        <f t="shared" si="14"/>
        <v>195</v>
      </c>
      <c r="T91" s="137">
        <f t="shared" si="15"/>
        <v>0</v>
      </c>
      <c r="U91" s="135">
        <f>IF(J91=0,(S91+T91/EERR!$D$2/1.19),(S91+T91/EERR!$D$2/1.19)/J91)</f>
        <v>195</v>
      </c>
      <c r="V91" s="137">
        <f>T91+S91*EERR!$D$2</f>
        <v>139074</v>
      </c>
      <c r="W91" s="132">
        <f ca="1">SUMIF(Siteminder!$A$5:$J$164,Ago!G91,Siteminder!$M$5:$M$164)</f>
        <v>1</v>
      </c>
      <c r="X91" s="250">
        <f>SUMIF(Transbank!$A$2:$A$472,B91,Transbank!$L$2:$L$472)+SUMIF(Transbank!$A$2:$A$472,C91,Transbank!$L$2:$L$472)+SUMIF(Transbank!$A$2:$A$472,D91,Transbank!$L$2:$L$472)+(K91+O91)+(L91+P91)*EERR!$D$2</f>
        <v>139074</v>
      </c>
      <c r="Y91" s="252">
        <f>X91/EERR!$D$2</f>
        <v>195</v>
      </c>
      <c r="Z91" s="260">
        <f t="shared" si="11"/>
        <v>0</v>
      </c>
    </row>
    <row r="92" spans="1:26" s="132" customFormat="1" x14ac:dyDescent="0.25">
      <c r="A92" s="243">
        <v>4053</v>
      </c>
      <c r="B92" s="276">
        <v>1519</v>
      </c>
      <c r="C92" s="276">
        <v>1610</v>
      </c>
      <c r="D92" s="276"/>
      <c r="E92" s="244" t="s">
        <v>710</v>
      </c>
      <c r="F92" s="244" t="s">
        <v>216</v>
      </c>
      <c r="G92" s="259">
        <v>1223839108</v>
      </c>
      <c r="H92" s="245">
        <v>43690</v>
      </c>
      <c r="I92" s="245">
        <v>43693</v>
      </c>
      <c r="J92" s="244">
        <v>3</v>
      </c>
      <c r="K92" s="246"/>
      <c r="L92" s="247"/>
      <c r="M92" s="246"/>
      <c r="N92" s="246">
        <v>480</v>
      </c>
      <c r="O92" s="246"/>
      <c r="P92" s="246"/>
      <c r="Q92" s="246"/>
      <c r="R92" s="246">
        <v>220</v>
      </c>
      <c r="S92" s="137">
        <f t="shared" si="14"/>
        <v>700</v>
      </c>
      <c r="T92" s="137">
        <f t="shared" si="15"/>
        <v>0</v>
      </c>
      <c r="U92" s="135">
        <f>IF(J92=0,(S92+T92/EERR!$D$2/1.19),(S92+T92/EERR!$D$2/1.19)/J92)</f>
        <v>233.33333333333334</v>
      </c>
      <c r="V92" s="137">
        <f>T92+S92*EERR!$D$2</f>
        <v>499240.00000000006</v>
      </c>
      <c r="W92" s="132">
        <f ca="1">SUMIF(Siteminder!$A$5:$J$164,Ago!G92,Siteminder!$M$5:$M$164)</f>
        <v>3</v>
      </c>
      <c r="X92" s="250">
        <f>SUMIF(Transbank!$A$2:$A$472,B92,Transbank!$L$2:$L$472)+SUMIF(Transbank!$A$2:$A$472,C92,Transbank!$L$2:$L$472)+SUMIF(Transbank!$A$2:$A$472,D92,Transbank!$L$2:$L$472)+(K92+O92)+(L92+P92)*EERR!$D$2</f>
        <v>493269.19999999995</v>
      </c>
      <c r="Y92" s="252">
        <f>X92/EERR!$D$2</f>
        <v>691.62815479528876</v>
      </c>
      <c r="Z92" s="260">
        <f t="shared" si="11"/>
        <v>-5970.8000000001048</v>
      </c>
    </row>
    <row r="93" spans="1:26" s="132" customFormat="1" x14ac:dyDescent="0.25">
      <c r="A93" s="243">
        <v>4054</v>
      </c>
      <c r="B93" s="276">
        <v>1520</v>
      </c>
      <c r="C93" s="276">
        <v>1609</v>
      </c>
      <c r="D93" s="276"/>
      <c r="E93" s="244" t="s">
        <v>709</v>
      </c>
      <c r="F93" s="244" t="s">
        <v>216</v>
      </c>
      <c r="G93" s="259">
        <v>1223838264</v>
      </c>
      <c r="H93" s="245">
        <v>43690</v>
      </c>
      <c r="I93" s="245">
        <v>43693</v>
      </c>
      <c r="J93" s="244">
        <v>3</v>
      </c>
      <c r="K93" s="246"/>
      <c r="L93" s="247"/>
      <c r="M93" s="246"/>
      <c r="N93" s="246">
        <v>480</v>
      </c>
      <c r="O93" s="246"/>
      <c r="P93" s="246"/>
      <c r="Q93" s="246"/>
      <c r="R93" s="246">
        <v>220</v>
      </c>
      <c r="S93" s="137">
        <f t="shared" si="14"/>
        <v>700</v>
      </c>
      <c r="T93" s="137">
        <f t="shared" si="15"/>
        <v>0</v>
      </c>
      <c r="U93" s="135">
        <f>IF(J93=0,(S93+T93/EERR!$D$2/1.19),(S93+T93/EERR!$D$2/1.19)/J93)</f>
        <v>233.33333333333334</v>
      </c>
      <c r="V93" s="137">
        <f>T93+S93*EERR!$D$2</f>
        <v>499240.00000000006</v>
      </c>
      <c r="W93" s="132">
        <f ca="1">SUMIF(Siteminder!$A$5:$J$164,Ago!G93,Siteminder!$M$5:$M$164)</f>
        <v>3</v>
      </c>
      <c r="X93" s="250">
        <f>SUMIF(Transbank!$A$2:$A$472,B93,Transbank!$L$2:$L$472)+SUMIF(Transbank!$A$2:$A$472,C93,Transbank!$L$2:$L$472)+SUMIF(Transbank!$A$2:$A$472,D93,Transbank!$L$2:$L$472)+(K93+O93)+(L93+P93)*EERR!$D$2</f>
        <v>493269.19999999995</v>
      </c>
      <c r="Y93" s="252">
        <f>X93/EERR!$D$2</f>
        <v>691.62815479528876</v>
      </c>
      <c r="Z93" s="260">
        <f t="shared" si="11"/>
        <v>-5970.8000000001048</v>
      </c>
    </row>
    <row r="94" spans="1:26" s="132" customFormat="1" x14ac:dyDescent="0.25">
      <c r="A94" s="243">
        <v>54542</v>
      </c>
      <c r="B94" s="276">
        <v>1521</v>
      </c>
      <c r="C94" s="276">
        <v>1626</v>
      </c>
      <c r="D94" s="276"/>
      <c r="E94" s="244" t="s">
        <v>713</v>
      </c>
      <c r="F94" s="244" t="s">
        <v>216</v>
      </c>
      <c r="G94" s="244">
        <v>1270354542</v>
      </c>
      <c r="H94" s="245">
        <v>43691</v>
      </c>
      <c r="I94" s="245">
        <v>43695</v>
      </c>
      <c r="J94" s="244">
        <v>4</v>
      </c>
      <c r="K94" s="246"/>
      <c r="L94" s="247"/>
      <c r="M94" s="246">
        <v>614326</v>
      </c>
      <c r="N94" s="246"/>
      <c r="O94" s="246"/>
      <c r="P94" s="246"/>
      <c r="Q94" s="246">
        <v>194494</v>
      </c>
      <c r="R94" s="246"/>
      <c r="S94" s="137">
        <f t="shared" si="14"/>
        <v>0</v>
      </c>
      <c r="T94" s="137">
        <f t="shared" si="15"/>
        <v>808820</v>
      </c>
      <c r="U94" s="135">
        <f>IF(J94=0,(S94+T94/EERR!$D$2/1.19),(S94+T94/EERR!$D$2/1.19)/J94)</f>
        <v>238.25037586543311</v>
      </c>
      <c r="V94" s="137">
        <f>T94+S94*EERR!$D$2</f>
        <v>808820</v>
      </c>
      <c r="W94" s="132">
        <f ca="1">SUMIF(Siteminder!$A$5:$J$164,Ago!G94,Siteminder!$M$5:$M$164)</f>
        <v>4</v>
      </c>
      <c r="X94" s="250">
        <f>SUMIF(Transbank!$A$2:$A$472,B94,Transbank!$L$2:$L$472)+SUMIF(Transbank!$A$2:$A$472,C94,Transbank!$L$2:$L$472)+SUMIF(Transbank!$A$2:$A$472,D94,Transbank!$L$2:$L$472)+(K94+O94)+(L94+P94)*EERR!$D$2</f>
        <v>808820</v>
      </c>
      <c r="Y94" s="252">
        <f>X94/EERR!$D$2</f>
        <v>1134.0717891194615</v>
      </c>
      <c r="Z94" s="260">
        <f t="shared" si="11"/>
        <v>0</v>
      </c>
    </row>
    <row r="95" spans="1:26" s="132" customFormat="1" x14ac:dyDescent="0.25">
      <c r="A95" s="243">
        <v>4070</v>
      </c>
      <c r="B95" s="276">
        <v>1564</v>
      </c>
      <c r="C95" s="276">
        <v>1667</v>
      </c>
      <c r="D95" s="276"/>
      <c r="E95" s="244" t="s">
        <v>711</v>
      </c>
      <c r="F95" s="244" t="s">
        <v>216</v>
      </c>
      <c r="G95" s="244">
        <v>1234586319</v>
      </c>
      <c r="H95" s="245">
        <v>43704</v>
      </c>
      <c r="I95" s="245">
        <v>43707</v>
      </c>
      <c r="J95" s="244">
        <v>3</v>
      </c>
      <c r="K95" s="246"/>
      <c r="L95" s="247"/>
      <c r="M95" s="246"/>
      <c r="N95" s="246">
        <v>440</v>
      </c>
      <c r="O95" s="246"/>
      <c r="P95" s="246"/>
      <c r="Q95" s="246"/>
      <c r="R95" s="246">
        <v>220</v>
      </c>
      <c r="S95" s="137">
        <f t="shared" si="14"/>
        <v>660</v>
      </c>
      <c r="T95" s="137">
        <f t="shared" si="15"/>
        <v>0</v>
      </c>
      <c r="U95" s="135">
        <f>IF(J95=0,(S95+T95/EERR!$D$2/1.19),(S95+T95/EERR!$D$2/1.19)/J95)</f>
        <v>220</v>
      </c>
      <c r="V95" s="137">
        <f>T95+S95*EERR!$D$2</f>
        <v>470712.00000000006</v>
      </c>
      <c r="W95" s="132">
        <f ca="1">SUMIF(Siteminder!$A$5:$J$164,Ago!G95,Siteminder!$M$5:$M$164)</f>
        <v>3</v>
      </c>
      <c r="X95" s="250">
        <f>SUMIF(Transbank!$A$2:$A$472,B95,Transbank!$L$2:$L$472)+SUMIF(Transbank!$A$2:$A$472,C95,Transbank!$L$2:$L$472)+SUMIF(Transbank!$A$2:$A$472,D95,Transbank!$L$2:$L$472)+(K95+O95)+(L95+P95)*EERR!$D$2</f>
        <v>464741.19999999995</v>
      </c>
      <c r="Y95" s="252">
        <f>X95/EERR!$D$2</f>
        <v>651.62815479528876</v>
      </c>
      <c r="Z95" s="260">
        <f t="shared" si="11"/>
        <v>-5970.8000000001048</v>
      </c>
    </row>
    <row r="96" spans="1:26" s="132" customFormat="1" x14ac:dyDescent="0.25">
      <c r="A96" s="243">
        <v>4071</v>
      </c>
      <c r="B96" s="276">
        <v>1590</v>
      </c>
      <c r="C96" s="276"/>
      <c r="D96" s="276"/>
      <c r="E96" s="244" t="s">
        <v>656</v>
      </c>
      <c r="F96" s="244"/>
      <c r="G96" s="244">
        <v>1279844007</v>
      </c>
      <c r="H96" s="245">
        <v>43705</v>
      </c>
      <c r="I96" s="245">
        <v>43711</v>
      </c>
      <c r="J96" s="244">
        <v>6</v>
      </c>
      <c r="K96" s="246"/>
      <c r="L96" s="247">
        <v>1100</v>
      </c>
      <c r="M96" s="246"/>
      <c r="N96" s="246"/>
      <c r="O96" s="246"/>
      <c r="P96" s="246"/>
      <c r="Q96" s="246"/>
      <c r="R96" s="246">
        <v>220</v>
      </c>
      <c r="S96" s="137">
        <f t="shared" si="14"/>
        <v>1320</v>
      </c>
      <c r="T96" s="137">
        <f t="shared" si="15"/>
        <v>0</v>
      </c>
      <c r="U96" s="135">
        <f>IF(J96=0,(S96+T96/EERR!$D$2/1.19),(S96+T96/EERR!$D$2/1.19)/J96)</f>
        <v>220</v>
      </c>
      <c r="V96" s="137">
        <f>T96+S96*EERR!$D$2</f>
        <v>941424.00000000012</v>
      </c>
      <c r="W96" s="132">
        <f ca="1">SUMIF(Siteminder!$A$5:$J$164,Ago!G96,Siteminder!$M$5:$M$164)</f>
        <v>6</v>
      </c>
      <c r="X96" s="250">
        <f>SUMIF(Transbank!$A$2:$A$472,B96,Transbank!$L$2:$L$472)+SUMIF(Transbank!$A$2:$A$472,C96,Transbank!$L$2:$L$472)+SUMIF(Transbank!$A$2:$A$472,D96,Transbank!$L$2:$L$472)+(K96+O96)+(L96+P96)*EERR!$D$2</f>
        <v>941424</v>
      </c>
      <c r="Y96" s="252">
        <f>X96/EERR!$D$2</f>
        <v>1320</v>
      </c>
      <c r="Z96" s="260">
        <f t="shared" si="11"/>
        <v>0</v>
      </c>
    </row>
    <row r="97" spans="1:26" s="132" customFormat="1" x14ac:dyDescent="0.25">
      <c r="A97" s="243"/>
      <c r="B97" s="276"/>
      <c r="C97" s="276"/>
      <c r="D97" s="276"/>
      <c r="E97" s="244"/>
      <c r="F97" s="244"/>
      <c r="G97" s="244"/>
      <c r="H97" s="245"/>
      <c r="I97" s="245"/>
      <c r="J97" s="244"/>
      <c r="K97" s="246"/>
      <c r="L97" s="247"/>
      <c r="M97" s="246"/>
      <c r="N97" s="246"/>
      <c r="O97" s="246"/>
      <c r="P97" s="246"/>
      <c r="Q97" s="246"/>
      <c r="R97" s="246"/>
      <c r="S97" s="137">
        <f t="shared" si="14"/>
        <v>0</v>
      </c>
      <c r="T97" s="137">
        <f t="shared" si="15"/>
        <v>0</v>
      </c>
      <c r="U97" s="135">
        <f>IF(J97=0,(S97+T97/EERR!$D$2/1.19),(S97+T97/EERR!$D$2/1.19)/J97)</f>
        <v>0</v>
      </c>
      <c r="V97" s="137">
        <f>T97+S97*EERR!$D$2</f>
        <v>0</v>
      </c>
      <c r="W97" s="132">
        <f ca="1">SUMIF(Siteminder!$A$5:$J$164,Ago!G97,Siteminder!$M$5:$M$164)</f>
        <v>0</v>
      </c>
      <c r="X97" s="250">
        <f>SUMIF(Transbank!$A$2:$A$472,B97,Transbank!$L$2:$L$472)+SUMIF(Transbank!$A$2:$A$472,C97,Transbank!$L$2:$L$472)+SUMIF(Transbank!$A$2:$A$472,D97,Transbank!$L$2:$L$472)+(K97+O97)+(L97+P97)*EERR!$D$2</f>
        <v>0</v>
      </c>
      <c r="Y97" s="252">
        <f>X97/EERR!$D$2</f>
        <v>0</v>
      </c>
      <c r="Z97" s="260">
        <f t="shared" si="11"/>
        <v>0</v>
      </c>
    </row>
    <row r="98" spans="1:26" s="132" customFormat="1" x14ac:dyDescent="0.25">
      <c r="A98" s="243"/>
      <c r="B98" s="276"/>
      <c r="C98" s="276"/>
      <c r="D98" s="276"/>
      <c r="E98" s="244"/>
      <c r="F98" s="244"/>
      <c r="G98" s="244"/>
      <c r="H98" s="245"/>
      <c r="I98" s="245"/>
      <c r="J98" s="244"/>
      <c r="K98" s="246"/>
      <c r="L98" s="247"/>
      <c r="M98" s="246"/>
      <c r="N98" s="246"/>
      <c r="O98" s="246"/>
      <c r="P98" s="246"/>
      <c r="Q98" s="246"/>
      <c r="R98" s="246"/>
      <c r="S98" s="137">
        <f t="shared" si="14"/>
        <v>0</v>
      </c>
      <c r="T98" s="137">
        <f t="shared" si="15"/>
        <v>0</v>
      </c>
      <c r="U98" s="135">
        <f>IF(J98=0,(S98+T98/EERR!$D$2/1.19),(S98+T98/EERR!$D$2/1.19)/J98)</f>
        <v>0</v>
      </c>
      <c r="V98" s="137">
        <f>T98+S98*EERR!$D$2</f>
        <v>0</v>
      </c>
      <c r="W98" s="132">
        <f ca="1">SUMIF(Siteminder!$A$5:$J$164,Ago!G98,Siteminder!$M$5:$M$164)</f>
        <v>0</v>
      </c>
      <c r="X98" s="250">
        <f>SUMIF(Transbank!$A$2:$A$472,B98,Transbank!$L$2:$L$472)+SUMIF(Transbank!$A$2:$A$472,C98,Transbank!$L$2:$L$472)+SUMIF(Transbank!$A$2:$A$472,D98,Transbank!$L$2:$L$472)+(K98+O98)+(L98+P98)*EERR!$D$2</f>
        <v>0</v>
      </c>
      <c r="Y98" s="252">
        <f>X98/EERR!$D$2</f>
        <v>0</v>
      </c>
      <c r="Z98" s="260">
        <f t="shared" si="11"/>
        <v>0</v>
      </c>
    </row>
    <row r="99" spans="1:26" s="132" customFormat="1" x14ac:dyDescent="0.25">
      <c r="A99" s="243"/>
      <c r="B99" s="276"/>
      <c r="C99" s="276"/>
      <c r="D99" s="276"/>
      <c r="E99" s="244"/>
      <c r="F99" s="244"/>
      <c r="G99" s="244"/>
      <c r="H99" s="245"/>
      <c r="I99" s="245"/>
      <c r="J99" s="244"/>
      <c r="K99" s="246"/>
      <c r="L99" s="247"/>
      <c r="M99" s="246"/>
      <c r="N99" s="246"/>
      <c r="O99" s="246"/>
      <c r="P99" s="246"/>
      <c r="Q99" s="246"/>
      <c r="R99" s="246"/>
      <c r="S99" s="137">
        <f t="shared" si="14"/>
        <v>0</v>
      </c>
      <c r="T99" s="137">
        <f t="shared" si="15"/>
        <v>0</v>
      </c>
      <c r="U99" s="135">
        <f>IF(J99=0,(S99+T99/EERR!$D$2/1.19),(S99+T99/EERR!$D$2/1.19)/J99)</f>
        <v>0</v>
      </c>
      <c r="V99" s="137">
        <f>T99+S99*EERR!$D$2</f>
        <v>0</v>
      </c>
      <c r="W99" s="132">
        <f ca="1">SUMIF(Siteminder!$A$5:$J$164,Ago!G99,Siteminder!$M$5:$M$164)</f>
        <v>0</v>
      </c>
      <c r="X99" s="250">
        <f>SUMIF(Transbank!$A$2:$A$472,B99,Transbank!$L$2:$L$472)+SUMIF(Transbank!$A$2:$A$472,C99,Transbank!$L$2:$L$472)+SUMIF(Transbank!$A$2:$A$472,D99,Transbank!$L$2:$L$472)+(K99+O99)+(L99+P99)*EERR!$D$2</f>
        <v>0</v>
      </c>
      <c r="Y99" s="252">
        <f>X99/EERR!$D$2</f>
        <v>0</v>
      </c>
      <c r="Z99" s="260">
        <f t="shared" si="11"/>
        <v>0</v>
      </c>
    </row>
    <row r="100" spans="1:26" s="132" customFormat="1" x14ac:dyDescent="0.25">
      <c r="A100" s="243"/>
      <c r="B100" s="276"/>
      <c r="C100" s="276"/>
      <c r="D100" s="276"/>
      <c r="E100" s="244"/>
      <c r="F100" s="244"/>
      <c r="G100" s="244"/>
      <c r="H100" s="245"/>
      <c r="I100" s="245"/>
      <c r="J100" s="244"/>
      <c r="K100" s="246"/>
      <c r="L100" s="247"/>
      <c r="M100" s="246"/>
      <c r="N100" s="246"/>
      <c r="O100" s="246"/>
      <c r="P100" s="246"/>
      <c r="Q100" s="246"/>
      <c r="R100" s="246"/>
      <c r="S100" s="137">
        <f t="shared" si="14"/>
        <v>0</v>
      </c>
      <c r="T100" s="137">
        <f t="shared" si="15"/>
        <v>0</v>
      </c>
      <c r="U100" s="135">
        <f>IF(J100=0,(S100+T100/EERR!$D$2/1.19),(S100+T100/EERR!$D$2/1.19)/J100)</f>
        <v>0</v>
      </c>
      <c r="V100" s="137">
        <f>T100+S100*EERR!$D$2</f>
        <v>0</v>
      </c>
      <c r="W100" s="132">
        <f ca="1">SUMIF(Siteminder!$A$5:$J$164,Ago!G100,Siteminder!$M$5:$M$164)</f>
        <v>0</v>
      </c>
      <c r="X100" s="250">
        <f>SUMIF(Transbank!$A$2:$A$472,B100,Transbank!$L$2:$L$472)+SUMIF(Transbank!$A$2:$A$472,C100,Transbank!$L$2:$L$472)+SUMIF(Transbank!$A$2:$A$472,D100,Transbank!$L$2:$L$472)+(K100+O100)+(L100+P100)*EERR!$D$2</f>
        <v>0</v>
      </c>
      <c r="Y100" s="252">
        <f>X100/EERR!$D$2</f>
        <v>0</v>
      </c>
      <c r="Z100" s="260">
        <f t="shared" si="11"/>
        <v>0</v>
      </c>
    </row>
    <row r="101" spans="1:26" s="132" customFormat="1" x14ac:dyDescent="0.25">
      <c r="A101" s="243"/>
      <c r="B101" s="276"/>
      <c r="C101" s="276"/>
      <c r="D101" s="276"/>
      <c r="E101" s="244"/>
      <c r="F101" s="244"/>
      <c r="G101" s="244"/>
      <c r="H101" s="245"/>
      <c r="I101" s="245"/>
      <c r="J101" s="244"/>
      <c r="K101" s="246"/>
      <c r="L101" s="247"/>
      <c r="M101" s="246"/>
      <c r="N101" s="246"/>
      <c r="O101" s="246"/>
      <c r="P101" s="246"/>
      <c r="Q101" s="246"/>
      <c r="R101" s="246"/>
      <c r="S101" s="137">
        <f t="shared" si="14"/>
        <v>0</v>
      </c>
      <c r="T101" s="137">
        <f t="shared" si="15"/>
        <v>0</v>
      </c>
      <c r="U101" s="135">
        <f>IF(J101=0,(S101+T101/EERR!$D$2/1.19),(S101+T101/EERR!$D$2/1.19)/J101)</f>
        <v>0</v>
      </c>
      <c r="V101" s="137">
        <f>T101+S101*EERR!$D$2</f>
        <v>0</v>
      </c>
      <c r="W101" s="132">
        <f ca="1">SUMIF(Siteminder!$A$5:$J$164,Ago!G101,Siteminder!$M$5:$M$164)</f>
        <v>0</v>
      </c>
      <c r="X101" s="250">
        <f>SUMIF(Transbank!$A$2:$A$472,B101,Transbank!$L$2:$L$472)+SUMIF(Transbank!$A$2:$A$472,C101,Transbank!$L$2:$L$472)+SUMIF(Transbank!$A$2:$A$472,D101,Transbank!$L$2:$L$472)+(K101+O101)+(L101+P101)*EERR!$D$2</f>
        <v>0</v>
      </c>
      <c r="Y101" s="252">
        <f>X101/EERR!$D$2</f>
        <v>0</v>
      </c>
      <c r="Z101" s="260">
        <f t="shared" si="11"/>
        <v>0</v>
      </c>
    </row>
    <row r="102" spans="1:26" s="132" customFormat="1" x14ac:dyDescent="0.25">
      <c r="A102" s="243"/>
      <c r="B102" s="276"/>
      <c r="C102" s="276"/>
      <c r="D102" s="276"/>
      <c r="E102" s="244"/>
      <c r="F102" s="244"/>
      <c r="G102" s="244"/>
      <c r="H102" s="245"/>
      <c r="I102" s="245"/>
      <c r="J102" s="244"/>
      <c r="K102" s="246"/>
      <c r="L102" s="247"/>
      <c r="M102" s="246"/>
      <c r="N102" s="246"/>
      <c r="O102" s="246"/>
      <c r="P102" s="246"/>
      <c r="Q102" s="246"/>
      <c r="R102" s="246"/>
      <c r="S102" s="137">
        <f t="shared" si="14"/>
        <v>0</v>
      </c>
      <c r="T102" s="137">
        <f t="shared" si="15"/>
        <v>0</v>
      </c>
      <c r="U102" s="135">
        <f>IF(J102=0,(S102+T102/EERR!$D$2/1.19),(S102+T102/EERR!$D$2/1.19)/J102)</f>
        <v>0</v>
      </c>
      <c r="V102" s="137">
        <f>T102+S102*EERR!$D$2</f>
        <v>0</v>
      </c>
      <c r="W102" s="132">
        <f ca="1">SUMIF(Siteminder!$A$5:$J$164,Ago!G102,Siteminder!$M$5:$M$164)</f>
        <v>0</v>
      </c>
      <c r="X102" s="250">
        <f>SUMIF(Transbank!$A$2:$A$472,B102,Transbank!$L$2:$L$472)+SUMIF(Transbank!$A$2:$A$472,C102,Transbank!$L$2:$L$472)+SUMIF(Transbank!$A$2:$A$472,D102,Transbank!$L$2:$L$472)+(K102+O102)+(L102+P102)*EERR!$D$2</f>
        <v>0</v>
      </c>
      <c r="Y102" s="252">
        <f>X102/EERR!$D$2</f>
        <v>0</v>
      </c>
      <c r="Z102" s="260">
        <f t="shared" si="11"/>
        <v>0</v>
      </c>
    </row>
    <row r="103" spans="1:26" s="132" customFormat="1" x14ac:dyDescent="0.25">
      <c r="A103" s="243"/>
      <c r="B103" s="276"/>
      <c r="C103" s="276"/>
      <c r="D103" s="276"/>
      <c r="E103" s="244"/>
      <c r="F103" s="244"/>
      <c r="G103" s="244"/>
      <c r="H103" s="245"/>
      <c r="I103" s="245"/>
      <c r="J103" s="244"/>
      <c r="K103" s="246"/>
      <c r="L103" s="247"/>
      <c r="M103" s="246"/>
      <c r="N103" s="246"/>
      <c r="O103" s="246"/>
      <c r="P103" s="246"/>
      <c r="Q103" s="246"/>
      <c r="R103" s="246"/>
      <c r="S103" s="137">
        <f t="shared" si="14"/>
        <v>0</v>
      </c>
      <c r="T103" s="137">
        <f t="shared" si="15"/>
        <v>0</v>
      </c>
      <c r="U103" s="135">
        <f>IF(J103=0,(S103+T103/EERR!$D$2/1.19),(S103+T103/EERR!$D$2/1.19)/J103)</f>
        <v>0</v>
      </c>
      <c r="V103" s="137">
        <f>T103+S103*EERR!$D$2</f>
        <v>0</v>
      </c>
      <c r="W103" s="132">
        <f ca="1">SUMIF(Siteminder!$A$5:$J$164,Ago!G103,Siteminder!$M$5:$M$164)</f>
        <v>0</v>
      </c>
      <c r="X103" s="250">
        <f>SUMIF(Transbank!$A$2:$A$472,B103,Transbank!$L$2:$L$472)+SUMIF(Transbank!$A$2:$A$472,C103,Transbank!$L$2:$L$472)+SUMIF(Transbank!$A$2:$A$472,D103,Transbank!$L$2:$L$472)+(K103+O103)+(L103+P103)*EERR!$D$2</f>
        <v>0</v>
      </c>
      <c r="Y103" s="252">
        <f>X103/EERR!$D$2</f>
        <v>0</v>
      </c>
      <c r="Z103" s="260">
        <f t="shared" si="11"/>
        <v>0</v>
      </c>
    </row>
    <row r="104" spans="1:26" s="132" customFormat="1" x14ac:dyDescent="0.25">
      <c r="A104" s="243"/>
      <c r="B104" s="276"/>
      <c r="C104" s="276"/>
      <c r="D104" s="276"/>
      <c r="E104" s="244"/>
      <c r="F104" s="244"/>
      <c r="G104" s="244"/>
      <c r="H104" s="245"/>
      <c r="I104" s="245"/>
      <c r="J104" s="244"/>
      <c r="K104" s="246"/>
      <c r="L104" s="247"/>
      <c r="M104" s="246"/>
      <c r="N104" s="246"/>
      <c r="O104" s="246"/>
      <c r="P104" s="246"/>
      <c r="Q104" s="246"/>
      <c r="R104" s="246"/>
      <c r="S104" s="137">
        <f t="shared" si="14"/>
        <v>0</v>
      </c>
      <c r="T104" s="137">
        <f t="shared" si="15"/>
        <v>0</v>
      </c>
      <c r="U104" s="135">
        <f>IF(J104=0,(S104+T104/EERR!$D$2/1.19),(S104+T104/EERR!$D$2/1.19)/J104)</f>
        <v>0</v>
      </c>
      <c r="V104" s="137">
        <f>T104+S104*EERR!$D$2</f>
        <v>0</v>
      </c>
      <c r="W104" s="132">
        <f ca="1">SUMIF(Siteminder!$A$5:$J$164,Ago!G104,Siteminder!$M$5:$M$164)</f>
        <v>0</v>
      </c>
      <c r="X104" s="250">
        <f>SUMIF(Transbank!$A$2:$A$472,B104,Transbank!$L$2:$L$472)+SUMIF(Transbank!$A$2:$A$472,C104,Transbank!$L$2:$L$472)+SUMIF(Transbank!$A$2:$A$472,D104,Transbank!$L$2:$L$472)+(K104+O104)+(L104+P104)*EERR!$D$2</f>
        <v>0</v>
      </c>
      <c r="Y104" s="252">
        <f>X104/EERR!$D$2</f>
        <v>0</v>
      </c>
      <c r="Z104" s="260">
        <f t="shared" si="11"/>
        <v>0</v>
      </c>
    </row>
    <row r="105" spans="1:26" s="132" customFormat="1" x14ac:dyDescent="0.25">
      <c r="A105" s="243"/>
      <c r="B105" s="276"/>
      <c r="C105" s="276"/>
      <c r="D105" s="276"/>
      <c r="E105" s="244"/>
      <c r="F105" s="244"/>
      <c r="G105" s="244"/>
      <c r="H105" s="245"/>
      <c r="I105" s="245"/>
      <c r="J105" s="244"/>
      <c r="K105" s="246"/>
      <c r="L105" s="247"/>
      <c r="M105" s="246"/>
      <c r="N105" s="246"/>
      <c r="O105" s="246"/>
      <c r="P105" s="246"/>
      <c r="Q105" s="246"/>
      <c r="R105" s="246"/>
      <c r="S105" s="137">
        <f t="shared" si="14"/>
        <v>0</v>
      </c>
      <c r="T105" s="137">
        <f t="shared" si="15"/>
        <v>0</v>
      </c>
      <c r="U105" s="135">
        <f>IF(J105=0,(S105+T105/EERR!$D$2/1.19),(S105+T105/EERR!$D$2/1.19)/J105)</f>
        <v>0</v>
      </c>
      <c r="V105" s="137">
        <f>T105+S105*EERR!$D$2</f>
        <v>0</v>
      </c>
      <c r="W105" s="132">
        <f ca="1">SUMIF(Siteminder!$A$5:$J$164,Ago!G105,Siteminder!$M$5:$M$164)</f>
        <v>0</v>
      </c>
      <c r="X105" s="250">
        <f>SUMIF(Transbank!$A$2:$A$472,B105,Transbank!$L$2:$L$472)+SUMIF(Transbank!$A$2:$A$472,C105,Transbank!$L$2:$L$472)+SUMIF(Transbank!$A$2:$A$472,D105,Transbank!$L$2:$L$472)+(K105+O105)+(L105+P105)*EERR!$D$2</f>
        <v>0</v>
      </c>
      <c r="Y105" s="252">
        <f>X105/EERR!$D$2</f>
        <v>0</v>
      </c>
      <c r="Z105" s="260">
        <f t="shared" si="11"/>
        <v>0</v>
      </c>
    </row>
    <row r="106" spans="1:26" s="132" customFormat="1" x14ac:dyDescent="0.25">
      <c r="A106" s="243"/>
      <c r="B106" s="276"/>
      <c r="C106" s="276"/>
      <c r="D106" s="276"/>
      <c r="E106" s="244"/>
      <c r="F106" s="244"/>
      <c r="G106" s="244"/>
      <c r="H106" s="245"/>
      <c r="I106" s="245"/>
      <c r="J106" s="244"/>
      <c r="K106" s="246"/>
      <c r="L106" s="247"/>
      <c r="M106" s="246"/>
      <c r="N106" s="246"/>
      <c r="O106" s="246"/>
      <c r="P106" s="246"/>
      <c r="Q106" s="246"/>
      <c r="R106" s="246"/>
      <c r="S106" s="137">
        <f t="shared" si="14"/>
        <v>0</v>
      </c>
      <c r="T106" s="137">
        <f t="shared" si="15"/>
        <v>0</v>
      </c>
      <c r="U106" s="135">
        <f>IF(J106=0,(S106+T106/EERR!$D$2/1.19),(S106+T106/EERR!$D$2/1.19)/J106)</f>
        <v>0</v>
      </c>
      <c r="V106" s="137">
        <f>T106+S106*EERR!$D$2</f>
        <v>0</v>
      </c>
      <c r="W106" s="132">
        <f ca="1">SUMIF(Siteminder!$A$5:$J$164,Ago!G106,Siteminder!$M$5:$M$164)</f>
        <v>0</v>
      </c>
      <c r="X106" s="250">
        <f>SUMIF(Transbank!$A$2:$A$472,B106,Transbank!$L$2:$L$472)+SUMIF(Transbank!$A$2:$A$472,C106,Transbank!$L$2:$L$472)+SUMIF(Transbank!$A$2:$A$472,D106,Transbank!$L$2:$L$472)+(K106+O106)+(L106+P106)*EERR!$D$2</f>
        <v>0</v>
      </c>
      <c r="Y106" s="252">
        <f>X106/EERR!$D$2</f>
        <v>0</v>
      </c>
      <c r="Z106" s="260">
        <f t="shared" si="11"/>
        <v>0</v>
      </c>
    </row>
    <row r="107" spans="1:26" s="132" customFormat="1" x14ac:dyDescent="0.25">
      <c r="A107" s="243"/>
      <c r="B107" s="276"/>
      <c r="C107" s="276"/>
      <c r="D107" s="276"/>
      <c r="E107" s="244"/>
      <c r="F107" s="244"/>
      <c r="G107" s="244"/>
      <c r="H107" s="245"/>
      <c r="I107" s="245"/>
      <c r="J107" s="244"/>
      <c r="K107" s="246"/>
      <c r="L107" s="247"/>
      <c r="M107" s="246"/>
      <c r="N107" s="246"/>
      <c r="O107" s="246"/>
      <c r="P107" s="246"/>
      <c r="Q107" s="246"/>
      <c r="R107" s="246"/>
      <c r="S107" s="137">
        <f t="shared" si="14"/>
        <v>0</v>
      </c>
      <c r="T107" s="137">
        <f t="shared" si="15"/>
        <v>0</v>
      </c>
      <c r="U107" s="135">
        <f>IF(J107=0,(S107+T107/EERR!$D$2/1.19),(S107+T107/EERR!$D$2/1.19)/J107)</f>
        <v>0</v>
      </c>
      <c r="V107" s="137">
        <f>T107+S107*EERR!$D$2</f>
        <v>0</v>
      </c>
      <c r="W107" s="132">
        <f ca="1">SUMIF(Siteminder!$A$5:$J$164,Ago!G107,Siteminder!$M$5:$M$164)</f>
        <v>0</v>
      </c>
      <c r="X107" s="250">
        <f>SUMIF(Transbank!$A$2:$A$472,B107,Transbank!$L$2:$L$472)+SUMIF(Transbank!$A$2:$A$472,C107,Transbank!$L$2:$L$472)+SUMIF(Transbank!$A$2:$A$472,D107,Transbank!$L$2:$L$472)+(K107+O107)+(L107+P107)*EERR!$D$2</f>
        <v>0</v>
      </c>
      <c r="Y107" s="252">
        <f>X107/EERR!$D$2</f>
        <v>0</v>
      </c>
      <c r="Z107" s="260">
        <f t="shared" si="11"/>
        <v>0</v>
      </c>
    </row>
    <row r="108" spans="1:26" s="132" customFormat="1" x14ac:dyDescent="0.25">
      <c r="A108" s="243"/>
      <c r="B108" s="276"/>
      <c r="C108" s="276"/>
      <c r="D108" s="276"/>
      <c r="E108" s="244"/>
      <c r="F108" s="244"/>
      <c r="G108" s="244"/>
      <c r="H108" s="245"/>
      <c r="I108" s="245"/>
      <c r="J108" s="244"/>
      <c r="K108" s="246"/>
      <c r="L108" s="247"/>
      <c r="M108" s="246"/>
      <c r="N108" s="246"/>
      <c r="O108" s="246"/>
      <c r="P108" s="246"/>
      <c r="Q108" s="246"/>
      <c r="R108" s="246"/>
      <c r="S108" s="137">
        <f t="shared" si="14"/>
        <v>0</v>
      </c>
      <c r="T108" s="137">
        <f t="shared" si="15"/>
        <v>0</v>
      </c>
      <c r="U108" s="135">
        <f>IF(J108=0,(S108+T108/EERR!$D$2/1.19),(S108+T108/EERR!$D$2/1.19)/J108)</f>
        <v>0</v>
      </c>
      <c r="V108" s="137">
        <f>T108+S108*EERR!$D$2</f>
        <v>0</v>
      </c>
      <c r="W108" s="132">
        <f ca="1">SUMIF(Siteminder!$A$5:$J$164,Ago!G108,Siteminder!$M$5:$M$164)</f>
        <v>0</v>
      </c>
      <c r="X108" s="250">
        <f>SUMIF(Transbank!$A$2:$A$472,B108,Transbank!$L$2:$L$472)+SUMIF(Transbank!$A$2:$A$472,C108,Transbank!$L$2:$L$472)+SUMIF(Transbank!$A$2:$A$472,D108,Transbank!$L$2:$L$472)+(K108+O108)+(L108+P108)*EERR!$D$2</f>
        <v>0</v>
      </c>
      <c r="Y108" s="252">
        <f>X108/EERR!$D$2</f>
        <v>0</v>
      </c>
      <c r="Z108" s="260">
        <f t="shared" si="11"/>
        <v>0</v>
      </c>
    </row>
    <row r="109" spans="1:26" s="132" customFormat="1" x14ac:dyDescent="0.25">
      <c r="A109" s="243"/>
      <c r="B109" s="276"/>
      <c r="C109" s="276"/>
      <c r="D109" s="276"/>
      <c r="E109" s="244"/>
      <c r="F109" s="244"/>
      <c r="G109" s="244"/>
      <c r="H109" s="245"/>
      <c r="I109" s="245"/>
      <c r="J109" s="244"/>
      <c r="K109" s="246"/>
      <c r="L109" s="247"/>
      <c r="M109" s="246"/>
      <c r="N109" s="246"/>
      <c r="O109" s="246"/>
      <c r="P109" s="246"/>
      <c r="Q109" s="246"/>
      <c r="R109" s="246"/>
      <c r="S109" s="137">
        <f t="shared" si="14"/>
        <v>0</v>
      </c>
      <c r="T109" s="137">
        <f t="shared" si="15"/>
        <v>0</v>
      </c>
      <c r="U109" s="135">
        <f>IF(J109=0,(S109+T109/EERR!$D$2/1.19),(S109+T109/EERR!$D$2/1.19)/J109)</f>
        <v>0</v>
      </c>
      <c r="V109" s="137">
        <f>T109+S109*EERR!$D$2</f>
        <v>0</v>
      </c>
      <c r="W109" s="132">
        <f ca="1">SUMIF(Siteminder!$A$5:$J$164,Ago!G109,Siteminder!$M$5:$M$164)</f>
        <v>0</v>
      </c>
      <c r="X109" s="250">
        <f>SUMIF(Transbank!$A$2:$A$472,B109,Transbank!$L$2:$L$472)+SUMIF(Transbank!$A$2:$A$472,C109,Transbank!$L$2:$L$472)+SUMIF(Transbank!$A$2:$A$472,D109,Transbank!$L$2:$L$472)+(K109+O109)+(L109+P109)*EERR!$D$2</f>
        <v>0</v>
      </c>
      <c r="Y109" s="252">
        <f>X109/EERR!$D$2</f>
        <v>0</v>
      </c>
      <c r="Z109" s="260">
        <f t="shared" si="11"/>
        <v>0</v>
      </c>
    </row>
    <row r="110" spans="1:26" s="132" customFormat="1" x14ac:dyDescent="0.25">
      <c r="A110" s="243"/>
      <c r="B110" s="276"/>
      <c r="C110" s="276"/>
      <c r="D110" s="276"/>
      <c r="E110" s="244"/>
      <c r="F110" s="244"/>
      <c r="G110" s="244"/>
      <c r="H110" s="245"/>
      <c r="I110" s="245"/>
      <c r="J110" s="244"/>
      <c r="K110" s="246"/>
      <c r="L110" s="247"/>
      <c r="M110" s="246"/>
      <c r="N110" s="246"/>
      <c r="O110" s="246"/>
      <c r="P110" s="246"/>
      <c r="Q110" s="246"/>
      <c r="R110" s="246"/>
      <c r="S110" s="137">
        <f t="shared" si="14"/>
        <v>0</v>
      </c>
      <c r="T110" s="137">
        <f t="shared" si="15"/>
        <v>0</v>
      </c>
      <c r="U110" s="135">
        <f>IF(J110=0,(S110+T110/EERR!$D$2/1.19),(S110+T110/EERR!$D$2/1.19)/J110)</f>
        <v>0</v>
      </c>
      <c r="V110" s="137">
        <f>T110+S110*EERR!$D$2</f>
        <v>0</v>
      </c>
      <c r="W110" s="132">
        <f ca="1">SUMIF(Siteminder!$A$5:$J$164,Ago!G110,Siteminder!$M$5:$M$164)</f>
        <v>0</v>
      </c>
      <c r="X110" s="250">
        <f>SUMIF(Transbank!$A$2:$A$472,B110,Transbank!$L$2:$L$472)+SUMIF(Transbank!$A$2:$A$472,C110,Transbank!$L$2:$L$472)+SUMIF(Transbank!$A$2:$A$472,D110,Transbank!$L$2:$L$472)+(K110+O110)+(L110+P110)*EERR!$D$2</f>
        <v>0</v>
      </c>
      <c r="Y110" s="252">
        <f>X110/EERR!$D$2</f>
        <v>0</v>
      </c>
      <c r="Z110" s="260">
        <f t="shared" si="11"/>
        <v>0</v>
      </c>
    </row>
    <row r="111" spans="1:26" ht="12.75" x14ac:dyDescent="0.2">
      <c r="A111" s="227"/>
      <c r="B111" s="227"/>
      <c r="C111" s="227"/>
      <c r="D111" s="227"/>
      <c r="E111" s="227"/>
      <c r="F111" s="227"/>
      <c r="G111" s="227"/>
      <c r="H111" s="228"/>
      <c r="I111" s="228"/>
      <c r="J111" s="227">
        <f t="shared" ref="J111:Q111" si="16">SUM(J88:J110)</f>
        <v>27</v>
      </c>
      <c r="K111" s="227">
        <f t="shared" si="16"/>
        <v>0</v>
      </c>
      <c r="L111" s="227">
        <f t="shared" si="16"/>
        <v>1100</v>
      </c>
      <c r="M111" s="227">
        <f t="shared" si="16"/>
        <v>614326</v>
      </c>
      <c r="N111" s="227">
        <f t="shared" si="16"/>
        <v>2300</v>
      </c>
      <c r="O111" s="227">
        <f t="shared" si="16"/>
        <v>0</v>
      </c>
      <c r="P111" s="227">
        <f t="shared" si="16"/>
        <v>0</v>
      </c>
      <c r="Q111" s="227">
        <f t="shared" si="16"/>
        <v>194494</v>
      </c>
      <c r="R111" s="227"/>
      <c r="S111" s="227">
        <f>SUM(S88:S110)</f>
        <v>5085</v>
      </c>
      <c r="T111" s="227">
        <f>SUM(T88:T110)</f>
        <v>808820</v>
      </c>
      <c r="U111" s="233">
        <f>IF(J111=0,(S111+T111/EERR!$D$2/1.19),(S111+T111/EERR!$D$2/1.19)/J111)</f>
        <v>223.62968531339752</v>
      </c>
      <c r="V111" s="227">
        <f>SUM(V88:V110)</f>
        <v>4435442</v>
      </c>
      <c r="W111" s="233">
        <f ca="1">SUM(W88:W110)</f>
        <v>27</v>
      </c>
      <c r="X111" s="233">
        <f>SUM(X88:X110)</f>
        <v>4400974.2</v>
      </c>
      <c r="Y111" s="233"/>
    </row>
    <row r="112" spans="1:26" s="132" customFormat="1" x14ac:dyDescent="0.25">
      <c r="A112" s="133"/>
      <c r="B112" s="227"/>
      <c r="C112" s="227"/>
      <c r="D112" s="227"/>
      <c r="E112" s="133"/>
      <c r="F112" s="133"/>
      <c r="G112" s="133"/>
      <c r="H112" s="134"/>
      <c r="I112" s="134"/>
      <c r="J112" s="133"/>
      <c r="K112" s="135"/>
      <c r="L112" s="136"/>
      <c r="M112" s="135"/>
      <c r="N112" s="135"/>
      <c r="O112" s="135"/>
      <c r="P112" s="135"/>
      <c r="Q112" s="135"/>
      <c r="R112" s="135"/>
      <c r="S112" s="137"/>
      <c r="T112" s="137"/>
      <c r="U112" s="135">
        <f>IF(J112=0,(S112+T112/EERR!$D$2/1.19),(S112+T112/EERR!$D$2/1.19)/J112)</f>
        <v>0</v>
      </c>
      <c r="V112" s="133"/>
      <c r="X112" s="141"/>
      <c r="Y112" s="141"/>
    </row>
    <row r="113" spans="1:25" x14ac:dyDescent="0.25">
      <c r="A113" s="234"/>
      <c r="B113" s="277"/>
      <c r="C113" s="277"/>
      <c r="D113" s="277"/>
      <c r="E113" s="234" t="s">
        <v>235</v>
      </c>
      <c r="F113" s="234"/>
      <c r="G113" s="234"/>
      <c r="H113" s="235"/>
      <c r="I113" s="235"/>
      <c r="J113" s="234"/>
      <c r="K113" s="236"/>
      <c r="L113" s="237"/>
      <c r="M113" s="236"/>
      <c r="N113" s="236"/>
      <c r="O113" s="236"/>
      <c r="P113" s="236"/>
      <c r="Q113" s="236"/>
      <c r="R113" s="236"/>
      <c r="S113" s="238"/>
      <c r="T113" s="238">
        <f t="shared" ref="T113" si="17">M113+O113+K113</f>
        <v>0</v>
      </c>
      <c r="U113" s="236">
        <f>IF(J113=0,(S113+T113/EERR!$D$2/1.19),(S113+T113/EERR!$D$2/1.19)/J113)</f>
        <v>0</v>
      </c>
      <c r="V113" s="234"/>
      <c r="X113" s="141">
        <f>IF((M113+N113)&gt;0,SUMIF(Transbank!$A$2:$A$191,Ago!A113,Transbank!$L$2:$L$191),K113+(L113+Ago!P113)*EERR!$D$2+Ago!O113)</f>
        <v>0</v>
      </c>
      <c r="Y113" s="141">
        <f>X113/EERR!$D$2</f>
        <v>0</v>
      </c>
    </row>
    <row r="114" spans="1:25" x14ac:dyDescent="0.25">
      <c r="A114" s="227"/>
      <c r="B114" s="227"/>
      <c r="C114" s="227"/>
      <c r="D114" s="227"/>
      <c r="E114" s="227"/>
      <c r="F114" s="227"/>
      <c r="G114" s="227"/>
      <c r="H114" s="228"/>
      <c r="I114" s="228"/>
      <c r="J114" s="233">
        <f t="shared" ref="J114:T114" si="18">SUM(J113:J113)</f>
        <v>0</v>
      </c>
      <c r="K114" s="233">
        <f t="shared" si="18"/>
        <v>0</v>
      </c>
      <c r="L114" s="233">
        <f t="shared" si="18"/>
        <v>0</v>
      </c>
      <c r="M114" s="233">
        <f t="shared" si="18"/>
        <v>0</v>
      </c>
      <c r="N114" s="233">
        <f>SUM(N112:N113)</f>
        <v>0</v>
      </c>
      <c r="O114" s="233">
        <f t="shared" si="18"/>
        <v>0</v>
      </c>
      <c r="P114" s="233">
        <f t="shared" si="18"/>
        <v>0</v>
      </c>
      <c r="Q114" s="233"/>
      <c r="R114" s="233"/>
      <c r="S114" s="233">
        <f t="shared" si="18"/>
        <v>0</v>
      </c>
      <c r="T114" s="233">
        <f t="shared" si="18"/>
        <v>0</v>
      </c>
      <c r="U114" s="239"/>
      <c r="V114" s="233"/>
      <c r="W114" s="227"/>
      <c r="X114" s="240"/>
      <c r="Y114" s="240"/>
    </row>
    <row r="115" spans="1:25" x14ac:dyDescent="0.25">
      <c r="A115" s="227"/>
      <c r="B115" s="227"/>
      <c r="C115" s="227"/>
      <c r="D115" s="227"/>
      <c r="E115" s="241"/>
      <c r="F115" s="241"/>
      <c r="G115" s="241"/>
      <c r="H115" s="242">
        <f>H68+H87+H111</f>
        <v>0</v>
      </c>
      <c r="I115" s="242">
        <f>I68+I87+I111</f>
        <v>0</v>
      </c>
      <c r="J115" s="242">
        <f t="shared" ref="J115:S115" si="19">J68+J87+J111+J114</f>
        <v>191</v>
      </c>
      <c r="K115" s="242">
        <f t="shared" si="19"/>
        <v>371756</v>
      </c>
      <c r="L115" s="242">
        <f t="shared" si="19"/>
        <v>7305</v>
      </c>
      <c r="M115" s="242">
        <f t="shared" si="19"/>
        <v>3000910</v>
      </c>
      <c r="N115" s="242">
        <f t="shared" si="19"/>
        <v>17764.5</v>
      </c>
      <c r="O115" s="242">
        <f t="shared" si="19"/>
        <v>196493</v>
      </c>
      <c r="P115" s="242">
        <f t="shared" si="19"/>
        <v>0</v>
      </c>
      <c r="Q115" s="242">
        <f t="shared" si="19"/>
        <v>194494</v>
      </c>
      <c r="R115" s="242">
        <f t="shared" si="19"/>
        <v>1021</v>
      </c>
      <c r="S115" s="242">
        <f t="shared" si="19"/>
        <v>34155.5</v>
      </c>
      <c r="T115" s="242">
        <f>(T68+T87+T111+T114)/1.19</f>
        <v>4883511.7647058824</v>
      </c>
      <c r="U115" s="242">
        <f>(U68*J68+U87*J87+U111*J111)/J115</f>
        <v>214.67447331770592</v>
      </c>
      <c r="V115" s="242">
        <f>V68+V87+V111</f>
        <v>30171081.600000001</v>
      </c>
      <c r="W115" s="242">
        <f ca="1">W68+W87+W111+W114</f>
        <v>189</v>
      </c>
      <c r="X115" s="240">
        <f>X68+X87+X111</f>
        <v>30898871.974999998</v>
      </c>
      <c r="Y115" s="240"/>
    </row>
    <row r="116" spans="1:25" ht="12.75" x14ac:dyDescent="0.2">
      <c r="A116" s="227"/>
      <c r="B116" s="227"/>
      <c r="C116" s="227"/>
      <c r="D116" s="227"/>
      <c r="E116" s="227"/>
      <c r="F116" s="227"/>
      <c r="G116" s="227"/>
      <c r="H116" s="233"/>
      <c r="I116" s="233"/>
      <c r="J116" s="233"/>
      <c r="K116" s="233">
        <f>(K115)/EERR!$D$2</f>
        <v>521.25070106561975</v>
      </c>
      <c r="L116" s="233">
        <f>L115</f>
        <v>7305</v>
      </c>
      <c r="M116" s="233">
        <f>(M115)/EERR!$D$2</f>
        <v>4207.6696578799774</v>
      </c>
      <c r="N116" s="233">
        <f>N115</f>
        <v>17764.5</v>
      </c>
      <c r="O116" s="233">
        <f>(O115)/EERR!$D$2</f>
        <v>275.50897363993266</v>
      </c>
      <c r="P116" s="233">
        <f>(P115)/EERR!$D$2</f>
        <v>0</v>
      </c>
      <c r="Q116" s="233"/>
      <c r="R116" s="233"/>
      <c r="S116" s="233">
        <f>S115+S114</f>
        <v>34155.5</v>
      </c>
      <c r="T116" s="233">
        <f>(T115)/EERR!D2</f>
        <v>6847.3244036818314</v>
      </c>
      <c r="U116" s="233">
        <f>U115+U114</f>
        <v>214.67447331770592</v>
      </c>
      <c r="V116" s="233">
        <f>V115+V114</f>
        <v>30171081.600000001</v>
      </c>
      <c r="W116" s="233">
        <f>SUM(K116:V116)</f>
        <v>30242373.028209586</v>
      </c>
      <c r="X116" s="227"/>
      <c r="Y116" s="227"/>
    </row>
    <row r="117" spans="1:25" ht="12.75" x14ac:dyDescent="0.2">
      <c r="J117" s="222">
        <f>J115/(310)</f>
        <v>0.61612903225806448</v>
      </c>
      <c r="L117" s="321"/>
      <c r="S117" s="341">
        <f>SUM(S116:T116)</f>
        <v>41002.824403681829</v>
      </c>
      <c r="T117" s="341"/>
    </row>
    <row r="118" spans="1:25" ht="12.75" x14ac:dyDescent="0.2">
      <c r="L118" s="33"/>
      <c r="S118" s="342">
        <f>S117*EERR!D2</f>
        <v>29243214.364705883</v>
      </c>
      <c r="T118" s="342">
        <f>S117*EERR!D2</f>
        <v>29243214.364705883</v>
      </c>
    </row>
    <row r="119" spans="1:25" ht="12.75" x14ac:dyDescent="0.2">
      <c r="H119" s="260">
        <f>+L115+P115</f>
        <v>7305</v>
      </c>
      <c r="K119" s="90">
        <f>K115/1.19</f>
        <v>312400</v>
      </c>
      <c r="L119" s="33"/>
      <c r="Y119" s="132">
        <f>36000*620</f>
        <v>22320000</v>
      </c>
    </row>
    <row r="120" spans="1:25" ht="12.75" x14ac:dyDescent="0.2">
      <c r="G120" s="34" t="s">
        <v>192</v>
      </c>
      <c r="H120" s="34" t="s">
        <v>193</v>
      </c>
      <c r="I120" s="132"/>
      <c r="J120" s="132"/>
      <c r="K120" s="132"/>
      <c r="L120" s="132"/>
      <c r="S120" s="36">
        <f>S115*689</f>
        <v>23533139.5</v>
      </c>
      <c r="T120" s="36">
        <f>T115*0.19</f>
        <v>927867.23529411771</v>
      </c>
    </row>
    <row r="121" spans="1:25" ht="12.75" x14ac:dyDescent="0.2">
      <c r="E121" s="131" t="s">
        <v>1195</v>
      </c>
      <c r="F121" s="131"/>
      <c r="G121" s="29">
        <f>-'BCI '!H173</f>
        <v>611493</v>
      </c>
      <c r="H121" s="29">
        <f>-'BCI '!H174</f>
        <v>5940</v>
      </c>
      <c r="I121" s="132"/>
      <c r="J121" s="132"/>
      <c r="K121" s="132"/>
      <c r="L121" s="132"/>
    </row>
    <row r="122" spans="1:25" ht="12.75" x14ac:dyDescent="0.2">
      <c r="E122" s="131" t="s">
        <v>1194</v>
      </c>
      <c r="F122" s="133"/>
      <c r="G122" s="137">
        <f>+K115</f>
        <v>371756</v>
      </c>
      <c r="H122" s="38">
        <f>+L115</f>
        <v>7305</v>
      </c>
      <c r="I122" s="132"/>
      <c r="J122" s="132"/>
      <c r="K122" s="132"/>
      <c r="L122" s="132"/>
    </row>
    <row r="123" spans="1:25" ht="12.75" x14ac:dyDescent="0.2">
      <c r="E123" s="131" t="s">
        <v>1196</v>
      </c>
      <c r="F123" s="133"/>
      <c r="G123" s="334">
        <f>+G121-G122</f>
        <v>239737</v>
      </c>
      <c r="H123" s="335">
        <f>+H121-H122</f>
        <v>-1365</v>
      </c>
      <c r="I123" s="132"/>
      <c r="J123" s="132"/>
      <c r="K123" s="132"/>
      <c r="L123" s="132"/>
    </row>
    <row r="124" spans="1:25" ht="12.75" x14ac:dyDescent="0.2">
      <c r="L124" s="32"/>
    </row>
    <row r="125" spans="1:25" ht="12.75" x14ac:dyDescent="0.2">
      <c r="L125" s="32"/>
    </row>
    <row r="126" spans="1:25" ht="16.5" thickBot="1" x14ac:dyDescent="0.3">
      <c r="E126" s="332" t="s">
        <v>83</v>
      </c>
      <c r="F126" s="333">
        <f>(K115+M115)*0.19</f>
        <v>640806.54</v>
      </c>
      <c r="L126" s="32"/>
    </row>
    <row r="127" spans="1:25" ht="12.75" x14ac:dyDescent="0.2">
      <c r="L127" s="32"/>
    </row>
    <row r="128" spans="1:25" ht="12.75" x14ac:dyDescent="0.2">
      <c r="L128" s="32"/>
    </row>
    <row r="129" spans="12:12" ht="12.75" x14ac:dyDescent="0.2">
      <c r="L129" s="32"/>
    </row>
    <row r="130" spans="12:12" ht="12.75" x14ac:dyDescent="0.2">
      <c r="L130" s="32"/>
    </row>
    <row r="131" spans="12:12" ht="12.75" x14ac:dyDescent="0.2">
      <c r="L131" s="32"/>
    </row>
    <row r="132" spans="12:12" ht="12.75" x14ac:dyDescent="0.2">
      <c r="L132" s="32"/>
    </row>
    <row r="133" spans="12:12" ht="12.75" x14ac:dyDescent="0.2">
      <c r="L133" s="32"/>
    </row>
    <row r="134" spans="12:12" ht="12.75" x14ac:dyDescent="0.2">
      <c r="L134" s="32"/>
    </row>
    <row r="135" spans="12:12" ht="12.75" x14ac:dyDescent="0.2">
      <c r="L135" s="32"/>
    </row>
    <row r="136" spans="12:12" ht="12.75" x14ac:dyDescent="0.2">
      <c r="L136" s="32"/>
    </row>
    <row r="137" spans="12:12" ht="12.75" x14ac:dyDescent="0.2">
      <c r="L137" s="32"/>
    </row>
    <row r="138" spans="12:12" ht="12.75" x14ac:dyDescent="0.2">
      <c r="L138" s="32"/>
    </row>
    <row r="139" spans="12:12" ht="12.75" x14ac:dyDescent="0.2">
      <c r="L139" s="32"/>
    </row>
    <row r="140" spans="12:12" ht="12.75" x14ac:dyDescent="0.2">
      <c r="L140" s="32"/>
    </row>
    <row r="141" spans="12:12" ht="12.75" x14ac:dyDescent="0.2">
      <c r="L141" s="32"/>
    </row>
    <row r="142" spans="12:12" ht="12.75" x14ac:dyDescent="0.2">
      <c r="L142" s="32"/>
    </row>
    <row r="143" spans="12:12" ht="12.75" x14ac:dyDescent="0.2">
      <c r="L143" s="32"/>
    </row>
    <row r="144" spans="12:12" ht="12.75" x14ac:dyDescent="0.2">
      <c r="L144" s="32"/>
    </row>
    <row r="145" spans="12:12" ht="12.75" x14ac:dyDescent="0.2">
      <c r="L145" s="32"/>
    </row>
    <row r="146" spans="12:12" ht="12.75" x14ac:dyDescent="0.2">
      <c r="L146" s="32"/>
    </row>
    <row r="147" spans="12:12" ht="12.75" x14ac:dyDescent="0.2">
      <c r="L147" s="32"/>
    </row>
    <row r="148" spans="12:12" ht="12.75" x14ac:dyDescent="0.2">
      <c r="L148" s="32"/>
    </row>
    <row r="149" spans="12:12" ht="12.75" x14ac:dyDescent="0.2">
      <c r="L149" s="32"/>
    </row>
    <row r="150" spans="12:12" ht="12.75" x14ac:dyDescent="0.2">
      <c r="L150" s="32"/>
    </row>
    <row r="151" spans="12:12" ht="12.75" x14ac:dyDescent="0.2">
      <c r="L151" s="32"/>
    </row>
    <row r="152" spans="12:12" ht="12.75" x14ac:dyDescent="0.2">
      <c r="L152" s="32"/>
    </row>
    <row r="153" spans="12:12" ht="12.75" x14ac:dyDescent="0.2">
      <c r="L153" s="32"/>
    </row>
    <row r="154" spans="12:12" ht="12.75" x14ac:dyDescent="0.2">
      <c r="L154" s="32"/>
    </row>
    <row r="155" spans="12:12" ht="12.75" x14ac:dyDescent="0.2">
      <c r="L155" s="32"/>
    </row>
    <row r="156" spans="12:12" ht="12.75" x14ac:dyDescent="0.2">
      <c r="L156" s="32"/>
    </row>
    <row r="157" spans="12:12" ht="12.75" x14ac:dyDescent="0.2">
      <c r="L157" s="32"/>
    </row>
    <row r="158" spans="12:12" ht="12.75" x14ac:dyDescent="0.2">
      <c r="L158" s="32"/>
    </row>
    <row r="159" spans="12:12" ht="12.75" x14ac:dyDescent="0.2">
      <c r="L159" s="32"/>
    </row>
    <row r="160" spans="12:12" ht="12.75" x14ac:dyDescent="0.2">
      <c r="L160" s="32"/>
    </row>
    <row r="161" spans="12:12" ht="12.75" x14ac:dyDescent="0.2">
      <c r="L161" s="32"/>
    </row>
    <row r="162" spans="12:12" ht="12.75" x14ac:dyDescent="0.2">
      <c r="L162" s="32"/>
    </row>
    <row r="163" spans="12:12" ht="12.75" x14ac:dyDescent="0.2">
      <c r="L163" s="32"/>
    </row>
    <row r="164" spans="12:12" ht="12.75" x14ac:dyDescent="0.2">
      <c r="L164" s="32"/>
    </row>
    <row r="165" spans="12:12" ht="12.75" x14ac:dyDescent="0.2">
      <c r="L165" s="32"/>
    </row>
    <row r="166" spans="12:12" ht="12.75" x14ac:dyDescent="0.2">
      <c r="L166" s="32"/>
    </row>
    <row r="167" spans="12:12" ht="12.75" x14ac:dyDescent="0.2">
      <c r="L167" s="32"/>
    </row>
    <row r="168" spans="12:12" ht="12.75" x14ac:dyDescent="0.2">
      <c r="L168" s="32"/>
    </row>
    <row r="169" spans="12:12" ht="12.75" x14ac:dyDescent="0.2">
      <c r="L169" s="32"/>
    </row>
    <row r="170" spans="12:12" ht="12.75" x14ac:dyDescent="0.2">
      <c r="L170" s="32"/>
    </row>
    <row r="171" spans="12:12" ht="12.75" x14ac:dyDescent="0.2">
      <c r="L171" s="32"/>
    </row>
    <row r="172" spans="12:12" ht="12.75" x14ac:dyDescent="0.2">
      <c r="L172" s="32"/>
    </row>
    <row r="173" spans="12:12" ht="12.75" x14ac:dyDescent="0.2">
      <c r="L173" s="32"/>
    </row>
    <row r="174" spans="12:12" ht="12.75" x14ac:dyDescent="0.2">
      <c r="L174" s="32"/>
    </row>
    <row r="175" spans="12:12" ht="12.75" x14ac:dyDescent="0.2">
      <c r="L175" s="32"/>
    </row>
    <row r="176" spans="12:12" ht="12.75" x14ac:dyDescent="0.2">
      <c r="L176" s="32"/>
    </row>
    <row r="177" spans="12:12" ht="12.75" x14ac:dyDescent="0.2">
      <c r="L177" s="32"/>
    </row>
    <row r="178" spans="12:12" ht="12.75" x14ac:dyDescent="0.2">
      <c r="L178" s="32"/>
    </row>
    <row r="179" spans="12:12" ht="12.75" x14ac:dyDescent="0.2">
      <c r="L179" s="32"/>
    </row>
    <row r="180" spans="12:12" ht="12.75" x14ac:dyDescent="0.2">
      <c r="L180" s="32"/>
    </row>
    <row r="181" spans="12:12" ht="12.75" x14ac:dyDescent="0.2">
      <c r="L181" s="32"/>
    </row>
    <row r="182" spans="12:12" ht="12.75" x14ac:dyDescent="0.2">
      <c r="L182" s="32"/>
    </row>
    <row r="183" spans="12:12" ht="12.75" x14ac:dyDescent="0.2">
      <c r="L183" s="32"/>
    </row>
    <row r="184" spans="12:12" ht="12.75" x14ac:dyDescent="0.2">
      <c r="L184" s="32"/>
    </row>
    <row r="185" spans="12:12" ht="12.75" x14ac:dyDescent="0.2">
      <c r="L185" s="32"/>
    </row>
    <row r="186" spans="12:12" ht="12.75" x14ac:dyDescent="0.2">
      <c r="L186" s="32"/>
    </row>
    <row r="187" spans="12:12" ht="12.75" x14ac:dyDescent="0.2">
      <c r="L187" s="32"/>
    </row>
    <row r="188" spans="12:12" ht="12.75" x14ac:dyDescent="0.2">
      <c r="L188" s="32"/>
    </row>
  </sheetData>
  <autoFilter ref="A2:X110"/>
  <sortState ref="E69:R73">
    <sortCondition ref="H69:H73"/>
  </sortState>
  <mergeCells count="7">
    <mergeCell ref="B1:D1"/>
    <mergeCell ref="S117:T117"/>
    <mergeCell ref="S118:T118"/>
    <mergeCell ref="K1:L1"/>
    <mergeCell ref="M1:N1"/>
    <mergeCell ref="O1:P1"/>
    <mergeCell ref="Q1:R1"/>
  </mergeCells>
  <conditionalFormatting sqref="W112 W69:W86 W3:W67 W88:W110">
    <cfRule type="expression" dxfId="1" priority="18">
      <formula>IF(J3=W3,0,1)</formula>
    </cfRule>
  </conditionalFormatting>
  <conditionalFormatting sqref="AR57 BQ57 CP57 DO57 EN57 FM57 GL57 HK57 IJ57 JI57 KH57 LG57 MF57 NE57 OD57 PC57 QB57 RA57 RZ57 SY57 TX57 UW57 VV57 WU57 XT57 YS57 ZR57 AAQ57 ABP57 ACO57 ADN57 AEM57 AFL57 AGK57 AHJ57 AII57 AJH57 AKG57 ALF57 AME57 AND57 AOC57 APB57 AQA57 AQZ57 ARY57 ASX57 ATW57 AUV57 AVU57 AWT57 AXS57 AYR57 AZQ57 BAP57 BBO57 BCN57 BDM57 BEL57 BFK57 BGJ57 BHI57 BIH57 BJG57 BKF57 BLE57 BMD57 BNC57 BOB57 BPA57 BPZ57 BQY57 BRX57 BSW57 BTV57 BUU57 BVT57 BWS57 BXR57 BYQ57 BZP57 CAO57 CBN57 CCM57 CDL57 CEK57 CFJ57 CGI57 CHH57 CIG57 CJF57 CKE57 CLD57 CMC57 CNB57 COA57 COZ57 CPY57 CQX57 CRW57 CSV57 CTU57 CUT57 CVS57 CWR57 CXQ57 CYP57 CZO57 DAN57 DBM57 DCL57 DDK57 DEJ57 DFI57 DGH57 DHG57 DIF57 DJE57 DKD57 DLC57 DMB57 DNA57 DNZ57 DOY57 DPX57 DQW57 DRV57 DSU57 DTT57 DUS57 DVR57 DWQ57 DXP57 DYO57 DZN57 EAM57 EBL57 ECK57 EDJ57 EEI57 EFH57 EGG57 EHF57 EIE57 EJD57 EKC57 ELB57 EMA57 EMZ57 ENY57 EOX57 EPW57 EQV57 ERU57 EST57 ETS57 EUR57 EVQ57 EWP57 EXO57 EYN57 EZM57 FAL57 FBK57 FCJ57 FDI57 FEH57 FFG57 FGF57 FHE57 FID57 FJC57 FKB57 FLA57 FLZ57 FMY57 FNX57 FOW57 FPV57 FQU57 FRT57 FSS57 FTR57 FUQ57 FVP57 FWO57 FXN57 FYM57 FZL57 GAK57 GBJ57 GCI57 GDH57 GEG57 GFF57 GGE57 GHD57 GIC57 GJB57 GKA57 GKZ57 GLY57 GMX57 GNW57 GOV57 GPU57 GQT57 GRS57 GSR57 GTQ57 GUP57 GVO57 GWN57 GXM57 GYL57 GZK57 HAJ57 HBI57 HCH57 HDG57 HEF57 HFE57 HGD57 HHC57 HIB57 HJA57 HJZ57 HKY57 HLX57 HMW57 HNV57 HOU57 HPT57 HQS57 HRR57 HSQ57 HTP57 HUO57 HVN57 HWM57 HXL57 HYK57 HZJ57 IAI57 IBH57 ICG57 IDF57 IEE57 IFD57 IGC57 IHB57 IIA57 IIZ57 IJY57 IKX57 ILW57 IMV57 INU57 IOT57 IPS57 IQR57 IRQ57 ISP57 ITO57 IUN57 IVM57 IWL57 IXK57 IYJ57 IZI57 JAH57 JBG57 JCF57 JDE57 JED57 JFC57 JGB57 JHA57 JHZ57 JIY57 JJX57 JKW57 JLV57 JMU57 JNT57 JOS57 JPR57 JQQ57 JRP57 JSO57 JTN57 JUM57 JVL57 JWK57 JXJ57 JYI57 JZH57 KAG57 KBF57 KCE57 KDD57 KEC57 KFB57 KGA57 KGZ57 KHY57 KIX57 KJW57 KKV57 KLU57 KMT57 KNS57 KOR57 KPQ57 KQP57 KRO57 KSN57 KTM57 KUL57 KVK57 KWJ57 KXI57 KYH57 KZG57 LAF57 LBE57 LCD57 LDC57 LEB57 LFA57 LFZ57 LGY57 LHX57 LIW57 LJV57 LKU57 LLT57 LMS57 LNR57 LOQ57 LPP57 LQO57 LRN57 LSM57 LTL57 LUK57 LVJ57 LWI57 LXH57 LYG57 LZF57 MAE57 MBD57 MCC57 MDB57 MEA57 MEZ57 MFY57 MGX57 MHW57 MIV57 MJU57 MKT57 MLS57 MMR57 MNQ57 MOP57 MPO57 MQN57 MRM57 MSL57 MTK57 MUJ57 MVI57 MWH57 MXG57 MYF57 MZE57 NAD57 NBC57 NCB57 NDA57 NDZ57 NEY57 NFX57 NGW57 NHV57 NIU57 NJT57 NKS57 NLR57 NMQ57 NNP57 NOO57 NPN57 NQM57 NRL57 NSK57 NTJ57 NUI57 NVH57 NWG57 NXF57 NYE57 NZD57 OAC57 OBB57 OCA57 OCZ57 ODY57 OEX57 OFW57 OGV57 OHU57 OIT57 OJS57 OKR57 OLQ57 OMP57 ONO57 OON57 OPM57 OQL57 ORK57 OSJ57 OTI57 OUH57 OVG57 OWF57 OXE57 OYD57 OZC57 PAB57 PBA57 PBZ57 PCY57 PDX57 PEW57 PFV57 PGU57 PHT57 PIS57 PJR57 PKQ57 PLP57 PMO57 PNN57 POM57 PPL57 PQK57 PRJ57 PSI57 PTH57 PUG57 PVF57 PWE57 PXD57 PYC57 PZB57 QAA57 QAZ57 QBY57 QCX57 QDW57 QEV57 QFU57 QGT57 QHS57 QIR57 QJQ57 QKP57 QLO57 QMN57 QNM57 QOL57 QPK57 QQJ57 QRI57 QSH57 QTG57 QUF57 QVE57 QWD57 QXC57 QYB57 QZA57 QZZ57 RAY57 RBX57 RCW57 RDV57 REU57 RFT57 RGS57 RHR57 RIQ57 RJP57 RKO57 RLN57 RMM57 RNL57 ROK57 RPJ57 RQI57 RRH57 RSG57 RTF57 RUE57 RVD57 RWC57 RXB57 RYA57 RYZ57 RZY57 SAX57 SBW57 SCV57 SDU57 SET57 SFS57 SGR57 SHQ57 SIP57 SJO57 SKN57 SLM57 SML57 SNK57 SOJ57 SPI57 SQH57 SRG57 SSF57 STE57 SUD57 SVC57 SWB57 SXA57 SXZ57 SYY57 SZX57 TAW57 TBV57 TCU57 TDT57 TES57 TFR57 TGQ57 THP57 TIO57 TJN57 TKM57 TLL57 TMK57 TNJ57 TOI57 TPH57 TQG57 TRF57 TSE57 TTD57 TUC57 TVB57 TWA57 TWZ57 TXY57 TYX57 TZW57 UAV57 UBU57 UCT57 UDS57 UER57 UFQ57 UGP57 UHO57 UIN57 UJM57 UKL57 ULK57 UMJ57 UNI57 UOH57 UPG57 UQF57 URE57 USD57 UTC57 UUB57 UVA57 UVZ57 UWY57 UXX57 UYW57 UZV57 VAU57 VBT57 VCS57 VDR57 VEQ57 VFP57 VGO57 VHN57 VIM57 VJL57 VKK57 VLJ57 VMI57 VNH57 VOG57 VPF57 VQE57 VRD57 VSC57 VTB57 VUA57 VUZ57 VVY57 VWX57 VXW57 VYV57 VZU57 WAT57 WBS57 WCR57 WDQ57 WEP57 WFO57 WGN57 WHM57 WIL57 WJK57 WKJ57 WLI57 WMH57 WNG57 WOF57 WPE57 WQD57 WRC57 WSB57 WTA57 WTZ57 WUY57 WVX57 WWW57 WXV57 WYU57 WZT57 XAS57 XBR57 XCQ57 XDP57 XEO57">
    <cfRule type="expression" dxfId="0" priority="5">
      <formula>IF(AE57=AR57,0,1)</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33"/>
  <sheetViews>
    <sheetView workbookViewId="0">
      <selection activeCell="A49" sqref="A49:G49"/>
    </sheetView>
  </sheetViews>
  <sheetFormatPr baseColWidth="10" defaultColWidth="11.5703125" defaultRowHeight="15" x14ac:dyDescent="0.25"/>
  <cols>
    <col min="1" max="1" width="19.28515625" style="194" customWidth="1"/>
    <col min="2" max="2" width="15.5703125" style="194" customWidth="1"/>
    <col min="3" max="3" width="16.5703125" style="194" customWidth="1"/>
    <col min="4" max="4" width="16.5703125" style="253" customWidth="1"/>
    <col min="5" max="5" width="12.42578125" style="194" customWidth="1"/>
    <col min="6" max="6" width="11.28515625" style="194" customWidth="1"/>
    <col min="7" max="7" width="12.28515625" style="194" customWidth="1"/>
    <col min="8" max="8" width="36.5703125" style="194" customWidth="1"/>
    <col min="9" max="9" width="11.85546875" style="194" customWidth="1"/>
    <col min="10" max="10" width="19.140625" style="194" customWidth="1"/>
    <col min="11" max="11" width="12.7109375" style="194" bestFit="1" customWidth="1"/>
    <col min="12" max="16384" width="11.5703125" style="194"/>
  </cols>
  <sheetData>
    <row r="1" spans="1:14" x14ac:dyDescent="0.25">
      <c r="A1" s="193"/>
      <c r="B1" s="193"/>
      <c r="C1" s="193"/>
      <c r="D1" s="193"/>
      <c r="E1" s="193"/>
      <c r="F1" s="193"/>
      <c r="G1" s="193"/>
      <c r="H1" s="193"/>
      <c r="I1" s="193"/>
      <c r="J1" s="4"/>
    </row>
    <row r="3" spans="1:14" x14ac:dyDescent="0.25">
      <c r="A3" s="194" t="s">
        <v>60</v>
      </c>
    </row>
    <row r="4" spans="1:14" x14ac:dyDescent="0.25">
      <c r="A4" s="6" t="s">
        <v>23</v>
      </c>
      <c r="B4" s="6" t="s">
        <v>261</v>
      </c>
      <c r="C4" s="6" t="s">
        <v>245</v>
      </c>
      <c r="D4" s="6"/>
      <c r="E4" s="6" t="s">
        <v>262</v>
      </c>
      <c r="F4" s="6" t="s">
        <v>263</v>
      </c>
      <c r="G4" s="6" t="s">
        <v>264</v>
      </c>
      <c r="H4" s="6" t="s">
        <v>265</v>
      </c>
      <c r="I4" s="6" t="s">
        <v>266</v>
      </c>
      <c r="J4" s="6" t="s">
        <v>360</v>
      </c>
      <c r="K4" s="6" t="s">
        <v>361</v>
      </c>
      <c r="N4" s="322" t="s">
        <v>362</v>
      </c>
    </row>
    <row r="5" spans="1:14" hidden="1" x14ac:dyDescent="0.25">
      <c r="A5" s="37">
        <v>2189018281</v>
      </c>
      <c r="B5" s="6" t="s">
        <v>259</v>
      </c>
      <c r="C5" s="249" t="s">
        <v>246</v>
      </c>
      <c r="D5" s="249"/>
      <c r="E5" s="249">
        <v>43670.000451388885</v>
      </c>
      <c r="F5" s="249">
        <v>43678</v>
      </c>
      <c r="G5" s="249">
        <v>43681</v>
      </c>
      <c r="H5" s="249" t="s">
        <v>664</v>
      </c>
      <c r="I5" s="274">
        <v>585</v>
      </c>
      <c r="J5" s="110">
        <f t="shared" ref="J5:J36" si="0">G5-F5</f>
        <v>3</v>
      </c>
      <c r="K5" s="6">
        <f>SUMIF(Ago!$G$3:$G$110,A5,Ago!$J$3:$J$110)</f>
        <v>3</v>
      </c>
      <c r="L5" s="226">
        <f t="shared" ref="L5" si="1">+I5/K5</f>
        <v>195</v>
      </c>
      <c r="M5" s="253">
        <f t="shared" ref="M5" si="2">ROUND(I5/L5,0)</f>
        <v>3</v>
      </c>
      <c r="N5" s="323">
        <f t="shared" ref="N5" si="3">+M5-K5</f>
        <v>0</v>
      </c>
    </row>
    <row r="6" spans="1:14" hidden="1" x14ac:dyDescent="0.25">
      <c r="A6" s="37">
        <v>2332363240</v>
      </c>
      <c r="B6" s="6" t="s">
        <v>259</v>
      </c>
      <c r="C6" s="249" t="s">
        <v>246</v>
      </c>
      <c r="D6" s="249"/>
      <c r="E6" s="249">
        <v>43575.296064814815</v>
      </c>
      <c r="F6" s="249">
        <v>43678</v>
      </c>
      <c r="G6" s="249">
        <v>43681</v>
      </c>
      <c r="H6" s="249" t="s">
        <v>669</v>
      </c>
      <c r="I6" s="274">
        <v>660</v>
      </c>
      <c r="J6" s="110">
        <f t="shared" si="0"/>
        <v>3</v>
      </c>
      <c r="K6" s="6">
        <f>SUMIF(Ago!$G$3:$G$110,A6,Ago!$J$3:$J$110)</f>
        <v>3</v>
      </c>
      <c r="L6" s="226">
        <f t="shared" ref="L6:L69" si="4">+I6/K6</f>
        <v>220</v>
      </c>
      <c r="M6" s="253">
        <f t="shared" ref="M6:M69" si="5">ROUND(I6/L6,0)</f>
        <v>3</v>
      </c>
      <c r="N6" s="323">
        <f t="shared" ref="N6:N69" si="6">+M6-K6</f>
        <v>0</v>
      </c>
    </row>
    <row r="7" spans="1:14" hidden="1" x14ac:dyDescent="0.25">
      <c r="A7" s="37">
        <v>2049529471</v>
      </c>
      <c r="B7" s="6" t="s">
        <v>260</v>
      </c>
      <c r="C7" s="249" t="s">
        <v>246</v>
      </c>
      <c r="D7" s="249"/>
      <c r="E7" s="249">
        <v>43540.955543981479</v>
      </c>
      <c r="F7" s="249">
        <v>43679</v>
      </c>
      <c r="G7" s="249">
        <v>43684</v>
      </c>
      <c r="H7" s="249" t="s">
        <v>663</v>
      </c>
      <c r="I7" s="274">
        <v>1100</v>
      </c>
      <c r="J7" s="110">
        <f t="shared" si="0"/>
        <v>5</v>
      </c>
      <c r="K7" s="6">
        <f>SUMIF(Ago!$G$3:$G$110,A7,Ago!$J$3:$J$110)</f>
        <v>5</v>
      </c>
      <c r="L7" s="226">
        <f t="shared" si="4"/>
        <v>220</v>
      </c>
      <c r="M7" s="253">
        <f t="shared" si="5"/>
        <v>5</v>
      </c>
      <c r="N7" s="323">
        <f t="shared" si="6"/>
        <v>0</v>
      </c>
    </row>
    <row r="8" spans="1:14" hidden="1" x14ac:dyDescent="0.25">
      <c r="A8" s="37">
        <v>2486046209</v>
      </c>
      <c r="B8" s="6" t="s">
        <v>259</v>
      </c>
      <c r="C8" s="249" t="s">
        <v>246</v>
      </c>
      <c r="D8" s="249"/>
      <c r="E8" s="249">
        <v>43652.651006944441</v>
      </c>
      <c r="F8" s="249">
        <v>43679</v>
      </c>
      <c r="G8" s="249">
        <v>43681</v>
      </c>
      <c r="H8" s="249" t="s">
        <v>671</v>
      </c>
      <c r="I8" s="274">
        <v>440</v>
      </c>
      <c r="J8" s="110">
        <f t="shared" si="0"/>
        <v>2</v>
      </c>
      <c r="K8" s="6">
        <f>SUMIF(Ago!$G$3:$G$110,A8,Ago!$J$3:$J$110)</f>
        <v>2</v>
      </c>
      <c r="L8" s="226">
        <f t="shared" si="4"/>
        <v>220</v>
      </c>
      <c r="M8" s="253">
        <f t="shared" si="5"/>
        <v>2</v>
      </c>
      <c r="N8" s="323">
        <f t="shared" si="6"/>
        <v>0</v>
      </c>
    </row>
    <row r="9" spans="1:14" hidden="1" x14ac:dyDescent="0.25">
      <c r="A9" s="37">
        <v>3570450660</v>
      </c>
      <c r="B9" s="6" t="s">
        <v>259</v>
      </c>
      <c r="C9" s="249" t="s">
        <v>246</v>
      </c>
      <c r="D9" s="249"/>
      <c r="E9" s="249">
        <v>43658.672337962962</v>
      </c>
      <c r="F9" s="249">
        <v>43680</v>
      </c>
      <c r="G9" s="249">
        <v>43681</v>
      </c>
      <c r="H9" s="249" t="s">
        <v>687</v>
      </c>
      <c r="I9" s="274">
        <v>195</v>
      </c>
      <c r="J9" s="110">
        <f t="shared" si="0"/>
        <v>1</v>
      </c>
      <c r="K9" s="6">
        <f>SUMIF(Ago!$G$3:$G$110,A9,Ago!$J$3:$J$110)</f>
        <v>1</v>
      </c>
      <c r="L9" s="226">
        <f t="shared" si="4"/>
        <v>195</v>
      </c>
      <c r="M9" s="253">
        <f t="shared" si="5"/>
        <v>1</v>
      </c>
      <c r="N9" s="323">
        <f t="shared" si="6"/>
        <v>0</v>
      </c>
    </row>
    <row r="10" spans="1:14" s="253" customFormat="1" hidden="1" x14ac:dyDescent="0.25">
      <c r="A10" s="37">
        <v>2866766234</v>
      </c>
      <c r="B10" s="6" t="s">
        <v>259</v>
      </c>
      <c r="C10" s="249" t="s">
        <v>246</v>
      </c>
      <c r="D10" s="249"/>
      <c r="E10" s="249">
        <v>43667.338159722225</v>
      </c>
      <c r="F10" s="249">
        <v>43682</v>
      </c>
      <c r="G10" s="249">
        <v>43685</v>
      </c>
      <c r="H10" s="249" t="s">
        <v>677</v>
      </c>
      <c r="I10" s="274">
        <v>585</v>
      </c>
      <c r="J10" s="110">
        <f t="shared" si="0"/>
        <v>3</v>
      </c>
      <c r="K10" s="6">
        <f>SUMIF(Ago!$G$3:$G$110,A10,Ago!$J$3:$J$110)</f>
        <v>3</v>
      </c>
      <c r="L10" s="226">
        <f t="shared" si="4"/>
        <v>195</v>
      </c>
      <c r="M10" s="253">
        <f t="shared" si="5"/>
        <v>3</v>
      </c>
      <c r="N10" s="323">
        <f t="shared" si="6"/>
        <v>0</v>
      </c>
    </row>
    <row r="11" spans="1:14" s="253" customFormat="1" hidden="1" x14ac:dyDescent="0.25">
      <c r="A11" s="37">
        <v>1786870662</v>
      </c>
      <c r="B11" s="6" t="s">
        <v>259</v>
      </c>
      <c r="C11" s="249" t="s">
        <v>246</v>
      </c>
      <c r="D11" s="249"/>
      <c r="E11" s="249">
        <v>43422.608240740738</v>
      </c>
      <c r="F11" s="249">
        <v>43683</v>
      </c>
      <c r="G11" s="249">
        <v>43685</v>
      </c>
      <c r="H11" s="249" t="s">
        <v>662</v>
      </c>
      <c r="I11" s="274">
        <v>410</v>
      </c>
      <c r="J11" s="110">
        <f t="shared" si="0"/>
        <v>2</v>
      </c>
      <c r="K11" s="6">
        <f>SUMIF(Ago!$G$3:$G$110,A11,Ago!$J$3:$J$110)</f>
        <v>2</v>
      </c>
      <c r="L11" s="226">
        <f t="shared" si="4"/>
        <v>205</v>
      </c>
      <c r="M11" s="253">
        <f t="shared" si="5"/>
        <v>2</v>
      </c>
      <c r="N11" s="323">
        <f t="shared" si="6"/>
        <v>0</v>
      </c>
    </row>
    <row r="12" spans="1:14" s="253" customFormat="1" hidden="1" x14ac:dyDescent="0.25">
      <c r="A12" s="37">
        <v>3597499300</v>
      </c>
      <c r="B12" s="6" t="s">
        <v>260</v>
      </c>
      <c r="C12" s="249" t="s">
        <v>246</v>
      </c>
      <c r="D12" s="249"/>
      <c r="E12" s="249">
        <v>43667.635555555556</v>
      </c>
      <c r="F12" s="249">
        <v>43683</v>
      </c>
      <c r="G12" s="249">
        <v>43687</v>
      </c>
      <c r="H12" s="249" t="s">
        <v>689</v>
      </c>
      <c r="I12" s="274">
        <v>780</v>
      </c>
      <c r="J12" s="110">
        <f t="shared" si="0"/>
        <v>4</v>
      </c>
      <c r="K12" s="6">
        <f>SUMIF(Ago!$G$3:$G$110,A12,Ago!$J$3:$J$110)</f>
        <v>4</v>
      </c>
      <c r="L12" s="226">
        <f t="shared" si="4"/>
        <v>195</v>
      </c>
      <c r="M12" s="253">
        <f t="shared" si="5"/>
        <v>4</v>
      </c>
      <c r="N12" s="323">
        <f t="shared" si="6"/>
        <v>0</v>
      </c>
    </row>
    <row r="13" spans="1:14" s="253" customFormat="1" hidden="1" x14ac:dyDescent="0.25">
      <c r="A13" s="37">
        <v>2305614267</v>
      </c>
      <c r="B13" s="6" t="s">
        <v>259</v>
      </c>
      <c r="C13" s="249" t="s">
        <v>246</v>
      </c>
      <c r="D13" s="249"/>
      <c r="E13" s="249">
        <v>43684.441400462965</v>
      </c>
      <c r="F13" s="249">
        <v>43684</v>
      </c>
      <c r="G13" s="249">
        <v>43686</v>
      </c>
      <c r="H13" s="249" t="s">
        <v>667</v>
      </c>
      <c r="I13" s="274">
        <v>780</v>
      </c>
      <c r="J13" s="110">
        <f t="shared" si="0"/>
        <v>2</v>
      </c>
      <c r="K13" s="6">
        <f>SUMIF(Ago!$G$3:$G$110,A13,Ago!$J$3:$J$110)</f>
        <v>4</v>
      </c>
      <c r="L13" s="226">
        <f t="shared" si="4"/>
        <v>195</v>
      </c>
      <c r="M13" s="253">
        <f t="shared" si="5"/>
        <v>4</v>
      </c>
      <c r="N13" s="323">
        <f t="shared" si="6"/>
        <v>0</v>
      </c>
    </row>
    <row r="14" spans="1:14" s="253" customFormat="1" hidden="1" x14ac:dyDescent="0.25">
      <c r="A14" s="37">
        <v>2831165969</v>
      </c>
      <c r="B14" s="6" t="s">
        <v>260</v>
      </c>
      <c r="C14" s="249" t="s">
        <v>246</v>
      </c>
      <c r="D14" s="249"/>
      <c r="E14" s="249">
        <v>43607.938240740739</v>
      </c>
      <c r="F14" s="249">
        <v>43685</v>
      </c>
      <c r="G14" s="249">
        <v>43688</v>
      </c>
      <c r="H14" s="249" t="s">
        <v>676</v>
      </c>
      <c r="I14" s="274">
        <v>660</v>
      </c>
      <c r="J14" s="110">
        <f t="shared" si="0"/>
        <v>3</v>
      </c>
      <c r="K14" s="6">
        <f>SUMIF(Ago!$G$3:$G$110,A14,Ago!$J$3:$J$110)</f>
        <v>3</v>
      </c>
      <c r="L14" s="226">
        <f t="shared" si="4"/>
        <v>220</v>
      </c>
      <c r="M14" s="253">
        <f t="shared" si="5"/>
        <v>3</v>
      </c>
      <c r="N14" s="323">
        <f t="shared" si="6"/>
        <v>0</v>
      </c>
    </row>
    <row r="15" spans="1:14" s="253" customFormat="1" hidden="1" x14ac:dyDescent="0.25">
      <c r="A15" s="37">
        <v>1008873184</v>
      </c>
      <c r="B15" s="6" t="s">
        <v>259</v>
      </c>
      <c r="C15" s="249" t="s">
        <v>246</v>
      </c>
      <c r="D15" s="249"/>
      <c r="E15" s="249">
        <v>43506.332233796296</v>
      </c>
      <c r="F15" s="249">
        <v>43686</v>
      </c>
      <c r="G15" s="249">
        <v>43690</v>
      </c>
      <c r="H15" s="249" t="s">
        <v>650</v>
      </c>
      <c r="I15" s="274">
        <v>820</v>
      </c>
      <c r="J15" s="110">
        <f t="shared" si="0"/>
        <v>4</v>
      </c>
      <c r="K15" s="6">
        <f>SUMIF(Ago!$G$3:$G$110,A15,Ago!$J$3:$J$110)</f>
        <v>4</v>
      </c>
      <c r="L15" s="226">
        <f t="shared" si="4"/>
        <v>205</v>
      </c>
      <c r="M15" s="253">
        <f t="shared" si="5"/>
        <v>4</v>
      </c>
      <c r="N15" s="323">
        <f t="shared" si="6"/>
        <v>0</v>
      </c>
    </row>
    <row r="16" spans="1:14" s="253" customFormat="1" hidden="1" x14ac:dyDescent="0.25">
      <c r="A16" s="37">
        <v>3065413635</v>
      </c>
      <c r="B16" s="6" t="s">
        <v>259</v>
      </c>
      <c r="C16" s="249" t="s">
        <v>246</v>
      </c>
      <c r="D16" s="249"/>
      <c r="E16" s="249">
        <v>43648.894293981481</v>
      </c>
      <c r="F16" s="249">
        <v>43686</v>
      </c>
      <c r="G16" s="249">
        <v>43687</v>
      </c>
      <c r="H16" s="249" t="s">
        <v>660</v>
      </c>
      <c r="I16" s="274">
        <v>220</v>
      </c>
      <c r="J16" s="110">
        <f t="shared" si="0"/>
        <v>1</v>
      </c>
      <c r="K16" s="6">
        <f>SUMIF(Ago!$G$3:$G$110,A16,Ago!$J$3:$J$110)</f>
        <v>1</v>
      </c>
      <c r="L16" s="226">
        <f t="shared" si="4"/>
        <v>220</v>
      </c>
      <c r="M16" s="253">
        <f t="shared" si="5"/>
        <v>1</v>
      </c>
      <c r="N16" s="323">
        <f t="shared" si="6"/>
        <v>0</v>
      </c>
    </row>
    <row r="17" spans="1:14" s="253" customFormat="1" hidden="1" x14ac:dyDescent="0.25">
      <c r="A17" s="37">
        <v>3572923396</v>
      </c>
      <c r="B17" s="6" t="s">
        <v>259</v>
      </c>
      <c r="C17" s="249" t="s">
        <v>246</v>
      </c>
      <c r="D17" s="249"/>
      <c r="E17" s="249">
        <v>43607.522638888891</v>
      </c>
      <c r="F17" s="249">
        <v>43686</v>
      </c>
      <c r="G17" s="249">
        <v>43689</v>
      </c>
      <c r="H17" s="249" t="s">
        <v>688</v>
      </c>
      <c r="I17" s="274">
        <v>660</v>
      </c>
      <c r="J17" s="110">
        <f t="shared" si="0"/>
        <v>3</v>
      </c>
      <c r="K17" s="6">
        <f>SUMIF(Ago!$G$3:$G$110,A17,Ago!$J$3:$J$110)</f>
        <v>3</v>
      </c>
      <c r="L17" s="226">
        <f t="shared" si="4"/>
        <v>220</v>
      </c>
      <c r="M17" s="253">
        <f t="shared" si="5"/>
        <v>3</v>
      </c>
      <c r="N17" s="323">
        <f t="shared" si="6"/>
        <v>0</v>
      </c>
    </row>
    <row r="18" spans="1:14" s="253" customFormat="1" hidden="1" x14ac:dyDescent="0.25">
      <c r="A18" s="37">
        <v>3502032801</v>
      </c>
      <c r="B18" s="6" t="s">
        <v>259</v>
      </c>
      <c r="C18" s="249" t="s">
        <v>246</v>
      </c>
      <c r="D18" s="249"/>
      <c r="E18" s="249">
        <v>43680.392812500002</v>
      </c>
      <c r="F18" s="249">
        <v>43688</v>
      </c>
      <c r="G18" s="249">
        <v>43692</v>
      </c>
      <c r="H18" s="249" t="s">
        <v>686</v>
      </c>
      <c r="I18" s="274">
        <v>1650</v>
      </c>
      <c r="J18" s="110">
        <f t="shared" si="0"/>
        <v>4</v>
      </c>
      <c r="K18" s="6">
        <f>SUMIF(Ago!$G$3:$G$110,A18,Ago!$J$3:$J$110)</f>
        <v>8</v>
      </c>
      <c r="L18" s="226">
        <f t="shared" si="4"/>
        <v>206.25</v>
      </c>
      <c r="M18" s="253">
        <f t="shared" si="5"/>
        <v>8</v>
      </c>
      <c r="N18" s="323">
        <f t="shared" si="6"/>
        <v>0</v>
      </c>
    </row>
    <row r="19" spans="1:14" s="253" customFormat="1" hidden="1" x14ac:dyDescent="0.25">
      <c r="A19" s="37">
        <v>1668137141</v>
      </c>
      <c r="B19" s="6" t="s">
        <v>259</v>
      </c>
      <c r="C19" s="249" t="s">
        <v>246</v>
      </c>
      <c r="D19" s="249"/>
      <c r="E19" s="249">
        <v>43485.5546875</v>
      </c>
      <c r="F19" s="249">
        <v>43689</v>
      </c>
      <c r="G19" s="249">
        <v>43691</v>
      </c>
      <c r="H19" s="249" t="s">
        <v>661</v>
      </c>
      <c r="I19" s="274">
        <v>410</v>
      </c>
      <c r="J19" s="110">
        <f t="shared" si="0"/>
        <v>2</v>
      </c>
      <c r="K19" s="6">
        <f>SUMIF(Ago!$G$3:$G$110,A19,Ago!$J$3:$J$110)</f>
        <v>2</v>
      </c>
      <c r="L19" s="226">
        <f t="shared" si="4"/>
        <v>205</v>
      </c>
      <c r="M19" s="253">
        <f t="shared" si="5"/>
        <v>2</v>
      </c>
      <c r="N19" s="323">
        <f t="shared" si="6"/>
        <v>0</v>
      </c>
    </row>
    <row r="20" spans="1:14" s="253" customFormat="1" hidden="1" x14ac:dyDescent="0.25">
      <c r="A20" s="37">
        <v>2959024502</v>
      </c>
      <c r="B20" s="6" t="s">
        <v>259</v>
      </c>
      <c r="C20" s="249" t="s">
        <v>246</v>
      </c>
      <c r="D20" s="249"/>
      <c r="E20" s="249">
        <v>43655.755844907406</v>
      </c>
      <c r="F20" s="249">
        <v>43690</v>
      </c>
      <c r="G20" s="249">
        <v>43695</v>
      </c>
      <c r="H20" s="249" t="s">
        <v>678</v>
      </c>
      <c r="I20" s="274">
        <v>1180</v>
      </c>
      <c r="J20" s="110">
        <f t="shared" si="0"/>
        <v>5</v>
      </c>
      <c r="K20" s="6">
        <f>SUMIF(Ago!$G$3:$G$110,A20,Ago!$J$3:$J$110)</f>
        <v>5</v>
      </c>
      <c r="L20" s="226">
        <f t="shared" si="4"/>
        <v>236</v>
      </c>
      <c r="M20" s="253">
        <f t="shared" si="5"/>
        <v>5</v>
      </c>
      <c r="N20" s="323">
        <f t="shared" si="6"/>
        <v>0</v>
      </c>
    </row>
    <row r="21" spans="1:14" s="253" customFormat="1" hidden="1" x14ac:dyDescent="0.25">
      <c r="A21" s="37">
        <v>3969934032</v>
      </c>
      <c r="B21" s="6" t="s">
        <v>260</v>
      </c>
      <c r="C21" s="249" t="s">
        <v>246</v>
      </c>
      <c r="D21" s="249"/>
      <c r="E21" s="249">
        <v>43664.782025462962</v>
      </c>
      <c r="F21" s="249">
        <v>43691</v>
      </c>
      <c r="G21" s="249">
        <v>43695</v>
      </c>
      <c r="H21" s="249" t="s">
        <v>695</v>
      </c>
      <c r="I21" s="274">
        <v>960</v>
      </c>
      <c r="J21" s="110">
        <f t="shared" si="0"/>
        <v>4</v>
      </c>
      <c r="K21" s="6">
        <f>SUMIF(Ago!$G$3:$G$110,A21,Ago!$J$3:$J$110)</f>
        <v>4</v>
      </c>
      <c r="L21" s="226">
        <f t="shared" si="4"/>
        <v>240</v>
      </c>
      <c r="M21" s="253">
        <f t="shared" si="5"/>
        <v>4</v>
      </c>
      <c r="N21" s="323">
        <f t="shared" si="6"/>
        <v>0</v>
      </c>
    </row>
    <row r="22" spans="1:14" s="253" customFormat="1" hidden="1" x14ac:dyDescent="0.25">
      <c r="A22" s="37">
        <v>2323270127</v>
      </c>
      <c r="B22" s="6" t="s">
        <v>259</v>
      </c>
      <c r="C22" s="249" t="s">
        <v>246</v>
      </c>
      <c r="D22" s="249"/>
      <c r="E22" s="249">
        <v>43659.818703703706</v>
      </c>
      <c r="F22" s="249">
        <v>43692</v>
      </c>
      <c r="G22" s="249">
        <v>43696</v>
      </c>
      <c r="H22" s="249" t="s">
        <v>668</v>
      </c>
      <c r="I22" s="274">
        <v>915</v>
      </c>
      <c r="J22" s="110">
        <f t="shared" si="0"/>
        <v>4</v>
      </c>
      <c r="K22" s="6">
        <f>SUMIF(Ago!$G$3:$G$110,A22,Ago!$J$3:$J$110)</f>
        <v>4</v>
      </c>
      <c r="L22" s="226">
        <f t="shared" si="4"/>
        <v>228.75</v>
      </c>
      <c r="M22" s="253">
        <f t="shared" si="5"/>
        <v>4</v>
      </c>
      <c r="N22" s="323">
        <f t="shared" si="6"/>
        <v>0</v>
      </c>
    </row>
    <row r="23" spans="1:14" s="253" customFormat="1" hidden="1" x14ac:dyDescent="0.25">
      <c r="A23" s="37">
        <v>2749948152</v>
      </c>
      <c r="B23" s="6" t="s">
        <v>259</v>
      </c>
      <c r="C23" s="249" t="s">
        <v>246</v>
      </c>
      <c r="D23" s="249"/>
      <c r="E23" s="249">
        <v>43645.998807870368</v>
      </c>
      <c r="F23" s="249">
        <v>43692</v>
      </c>
      <c r="G23" s="249">
        <v>43695</v>
      </c>
      <c r="H23" s="249" t="s">
        <v>675</v>
      </c>
      <c r="I23" s="274">
        <v>720</v>
      </c>
      <c r="J23" s="110">
        <f t="shared" si="0"/>
        <v>3</v>
      </c>
      <c r="K23" s="6">
        <f>SUMIF(Ago!$G$3:$G$110,A23,Ago!$J$3:$J$110)</f>
        <v>3</v>
      </c>
      <c r="L23" s="226">
        <f t="shared" si="4"/>
        <v>240</v>
      </c>
      <c r="M23" s="253">
        <f t="shared" si="5"/>
        <v>3</v>
      </c>
      <c r="N23" s="323">
        <f t="shared" si="6"/>
        <v>0</v>
      </c>
    </row>
    <row r="24" spans="1:14" s="253" customFormat="1" hidden="1" x14ac:dyDescent="0.25">
      <c r="A24" s="37">
        <v>2961000431</v>
      </c>
      <c r="B24" s="6" t="s">
        <v>259</v>
      </c>
      <c r="C24" s="249" t="s">
        <v>246</v>
      </c>
      <c r="D24" s="249"/>
      <c r="E24" s="249">
        <v>43665.522870370369</v>
      </c>
      <c r="F24" s="249">
        <v>43693</v>
      </c>
      <c r="G24" s="249">
        <v>43696</v>
      </c>
      <c r="H24" s="249" t="s">
        <v>679</v>
      </c>
      <c r="I24" s="274">
        <v>1350</v>
      </c>
      <c r="J24" s="110">
        <f t="shared" si="0"/>
        <v>3</v>
      </c>
      <c r="K24" s="6">
        <f>SUMIF(Ago!$G$3:$G$110,A24,Ago!$J$3:$J$110)</f>
        <v>6</v>
      </c>
      <c r="L24" s="226">
        <f t="shared" si="4"/>
        <v>225</v>
      </c>
      <c r="M24" s="253">
        <f t="shared" si="5"/>
        <v>6</v>
      </c>
      <c r="N24" s="323">
        <f t="shared" si="6"/>
        <v>0</v>
      </c>
    </row>
    <row r="25" spans="1:14" s="253" customFormat="1" hidden="1" x14ac:dyDescent="0.25">
      <c r="A25" s="37">
        <v>2748037349</v>
      </c>
      <c r="B25" s="6" t="s">
        <v>259</v>
      </c>
      <c r="C25" s="249" t="s">
        <v>246</v>
      </c>
      <c r="D25" s="249"/>
      <c r="E25" s="249">
        <v>43584.379895833335</v>
      </c>
      <c r="F25" s="249">
        <v>43694</v>
      </c>
      <c r="G25" s="249">
        <v>43699</v>
      </c>
      <c r="H25" s="249" t="s">
        <v>674</v>
      </c>
      <c r="I25" s="274">
        <v>1160</v>
      </c>
      <c r="J25" s="110">
        <f t="shared" si="0"/>
        <v>5</v>
      </c>
      <c r="K25" s="6">
        <f>SUMIF(Ago!$G$3:$G$110,A25,Ago!$J$3:$J$110)</f>
        <v>5</v>
      </c>
      <c r="L25" s="226">
        <f t="shared" si="4"/>
        <v>232</v>
      </c>
      <c r="M25" s="253">
        <f t="shared" si="5"/>
        <v>5</v>
      </c>
      <c r="N25" s="323">
        <f t="shared" si="6"/>
        <v>0</v>
      </c>
    </row>
    <row r="26" spans="1:14" s="253" customFormat="1" hidden="1" x14ac:dyDescent="0.25">
      <c r="A26" s="37">
        <v>3986235635</v>
      </c>
      <c r="B26" s="6" t="s">
        <v>259</v>
      </c>
      <c r="C26" s="249" t="s">
        <v>246</v>
      </c>
      <c r="D26" s="249"/>
      <c r="E26" s="249">
        <v>43671.761157407411</v>
      </c>
      <c r="F26" s="249">
        <v>43694</v>
      </c>
      <c r="G26" s="249">
        <v>43698</v>
      </c>
      <c r="H26" s="249" t="s">
        <v>696</v>
      </c>
      <c r="I26" s="274">
        <v>825</v>
      </c>
      <c r="J26" s="110">
        <f t="shared" si="0"/>
        <v>4</v>
      </c>
      <c r="K26" s="6">
        <f>SUMIF(Ago!$G$3:$G$110,A26,Ago!$J$3:$J$110)</f>
        <v>4</v>
      </c>
      <c r="L26" s="226">
        <f t="shared" si="4"/>
        <v>206.25</v>
      </c>
      <c r="M26" s="253">
        <f t="shared" si="5"/>
        <v>4</v>
      </c>
      <c r="N26" s="323">
        <f t="shared" si="6"/>
        <v>0</v>
      </c>
    </row>
    <row r="27" spans="1:14" s="253" customFormat="1" hidden="1" x14ac:dyDescent="0.25">
      <c r="A27" s="37">
        <v>3670381566</v>
      </c>
      <c r="B27" s="6" t="s">
        <v>259</v>
      </c>
      <c r="C27" s="249" t="s">
        <v>246</v>
      </c>
      <c r="D27" s="249"/>
      <c r="E27" s="249">
        <v>43661.60328703704</v>
      </c>
      <c r="F27" s="249">
        <v>43696</v>
      </c>
      <c r="G27" s="249">
        <v>43697</v>
      </c>
      <c r="H27" s="249" t="s">
        <v>690</v>
      </c>
      <c r="I27" s="274">
        <v>195</v>
      </c>
      <c r="J27" s="110">
        <f t="shared" si="0"/>
        <v>1</v>
      </c>
      <c r="K27" s="6">
        <f>SUMIF(Ago!$G$3:$G$110,A27,Ago!$J$3:$J$110)</f>
        <v>1</v>
      </c>
      <c r="L27" s="226">
        <f t="shared" si="4"/>
        <v>195</v>
      </c>
      <c r="M27" s="253">
        <f t="shared" si="5"/>
        <v>1</v>
      </c>
      <c r="N27" s="323">
        <f t="shared" si="6"/>
        <v>0</v>
      </c>
    </row>
    <row r="28" spans="1:14" s="253" customFormat="1" hidden="1" x14ac:dyDescent="0.25">
      <c r="A28" s="37">
        <v>3837019041</v>
      </c>
      <c r="B28" s="6" t="s">
        <v>259</v>
      </c>
      <c r="C28" s="249" t="s">
        <v>246</v>
      </c>
      <c r="D28" s="249"/>
      <c r="E28" s="249">
        <v>43686.927928240744</v>
      </c>
      <c r="F28" s="249">
        <v>43696</v>
      </c>
      <c r="G28" s="249">
        <v>43701</v>
      </c>
      <c r="H28" s="249" t="s">
        <v>692</v>
      </c>
      <c r="I28" s="274">
        <v>1000</v>
      </c>
      <c r="J28" s="110">
        <f t="shared" si="0"/>
        <v>5</v>
      </c>
      <c r="K28" s="6">
        <f>SUMIF(Ago!$G$3:$G$110,A28,Ago!$J$3:$J$110)</f>
        <v>5</v>
      </c>
      <c r="L28" s="226">
        <f t="shared" si="4"/>
        <v>200</v>
      </c>
      <c r="M28" s="253">
        <f t="shared" si="5"/>
        <v>5</v>
      </c>
      <c r="N28" s="323">
        <f t="shared" si="6"/>
        <v>0</v>
      </c>
    </row>
    <row r="29" spans="1:14" s="253" customFormat="1" hidden="1" x14ac:dyDescent="0.25">
      <c r="A29" s="37">
        <v>3084858693</v>
      </c>
      <c r="B29" s="6" t="s">
        <v>260</v>
      </c>
      <c r="C29" s="249" t="s">
        <v>246</v>
      </c>
      <c r="D29" s="249"/>
      <c r="E29" s="249">
        <v>43570.530324074076</v>
      </c>
      <c r="F29" s="249">
        <v>43697</v>
      </c>
      <c r="G29" s="249">
        <v>43703</v>
      </c>
      <c r="H29" s="249" t="s">
        <v>680</v>
      </c>
      <c r="I29" s="274">
        <v>1320</v>
      </c>
      <c r="J29" s="110">
        <f t="shared" si="0"/>
        <v>6</v>
      </c>
      <c r="K29" s="6">
        <f>SUMIF(Ago!$G$3:$G$110,A29,Ago!$J$3:$J$110)</f>
        <v>6</v>
      </c>
      <c r="L29" s="226">
        <f t="shared" si="4"/>
        <v>220</v>
      </c>
      <c r="M29" s="253">
        <f t="shared" si="5"/>
        <v>6</v>
      </c>
      <c r="N29" s="323">
        <f t="shared" si="6"/>
        <v>0</v>
      </c>
    </row>
    <row r="30" spans="1:14" s="253" customFormat="1" hidden="1" x14ac:dyDescent="0.25">
      <c r="A30" s="37">
        <v>3241935629</v>
      </c>
      <c r="B30" s="6" t="s">
        <v>259</v>
      </c>
      <c r="C30" s="249" t="s">
        <v>246</v>
      </c>
      <c r="D30" s="249"/>
      <c r="E30" s="249">
        <v>43665.722754629627</v>
      </c>
      <c r="F30" s="249">
        <v>43697</v>
      </c>
      <c r="G30" s="249">
        <v>43700</v>
      </c>
      <c r="H30" s="249" t="s">
        <v>683</v>
      </c>
      <c r="I30" s="274">
        <v>585</v>
      </c>
      <c r="J30" s="110">
        <f t="shared" si="0"/>
        <v>3</v>
      </c>
      <c r="K30" s="6">
        <f>SUMIF(Ago!$G$3:$G$110,A30,Ago!$J$3:$J$110)</f>
        <v>3</v>
      </c>
      <c r="L30" s="226">
        <f t="shared" si="4"/>
        <v>195</v>
      </c>
      <c r="M30" s="253">
        <f t="shared" si="5"/>
        <v>3</v>
      </c>
      <c r="N30" s="323">
        <f t="shared" si="6"/>
        <v>0</v>
      </c>
    </row>
    <row r="31" spans="1:14" s="253" customFormat="1" hidden="1" x14ac:dyDescent="0.25">
      <c r="A31" s="37">
        <v>3705067101</v>
      </c>
      <c r="B31" s="6" t="s">
        <v>259</v>
      </c>
      <c r="C31" s="249" t="s">
        <v>246</v>
      </c>
      <c r="D31" s="249"/>
      <c r="E31" s="249">
        <v>43677.977905092594</v>
      </c>
      <c r="F31" s="249">
        <v>43697</v>
      </c>
      <c r="G31" s="249">
        <v>43703</v>
      </c>
      <c r="H31" s="249" t="s">
        <v>691</v>
      </c>
      <c r="I31" s="274">
        <v>1245</v>
      </c>
      <c r="J31" s="110">
        <f t="shared" si="0"/>
        <v>6</v>
      </c>
      <c r="K31" s="6">
        <f>SUMIF(Ago!$G$3:$G$110,A31,Ago!$J$3:$J$110)</f>
        <v>6</v>
      </c>
      <c r="L31" s="226">
        <f t="shared" si="4"/>
        <v>207.5</v>
      </c>
      <c r="M31" s="253">
        <f t="shared" si="5"/>
        <v>6</v>
      </c>
      <c r="N31" s="323">
        <f t="shared" si="6"/>
        <v>0</v>
      </c>
    </row>
    <row r="32" spans="1:14" s="253" customFormat="1" hidden="1" x14ac:dyDescent="0.25">
      <c r="A32" s="37">
        <v>2203602082</v>
      </c>
      <c r="B32" s="6" t="s">
        <v>260</v>
      </c>
      <c r="C32" s="249" t="s">
        <v>246</v>
      </c>
      <c r="D32" s="249"/>
      <c r="E32" s="249">
        <v>43556.929606481484</v>
      </c>
      <c r="F32" s="249">
        <v>43698</v>
      </c>
      <c r="G32" s="249">
        <v>43704</v>
      </c>
      <c r="H32" s="249" t="s">
        <v>665</v>
      </c>
      <c r="I32" s="274">
        <v>1320</v>
      </c>
      <c r="J32" s="110">
        <f t="shared" si="0"/>
        <v>6</v>
      </c>
      <c r="K32" s="6">
        <f>SUMIF(Ago!$G$3:$G$110,A32,Ago!$J$3:$J$110)</f>
        <v>6</v>
      </c>
      <c r="L32" s="226">
        <f t="shared" si="4"/>
        <v>220</v>
      </c>
      <c r="M32" s="253">
        <f t="shared" si="5"/>
        <v>6</v>
      </c>
      <c r="N32" s="323">
        <f t="shared" si="6"/>
        <v>0</v>
      </c>
    </row>
    <row r="33" spans="1:14" s="253" customFormat="1" hidden="1" x14ac:dyDescent="0.25">
      <c r="A33" s="37">
        <v>2356718871</v>
      </c>
      <c r="B33" s="6" t="s">
        <v>259</v>
      </c>
      <c r="C33" s="249" t="s">
        <v>246</v>
      </c>
      <c r="D33" s="249"/>
      <c r="E33" s="249">
        <v>43677.510983796295</v>
      </c>
      <c r="F33" s="249">
        <v>43698</v>
      </c>
      <c r="G33" s="249">
        <v>43702</v>
      </c>
      <c r="H33" s="249" t="s">
        <v>670</v>
      </c>
      <c r="I33" s="274">
        <v>830</v>
      </c>
      <c r="J33" s="110">
        <f t="shared" si="0"/>
        <v>4</v>
      </c>
      <c r="K33" s="6">
        <f>SUMIF(Ago!$G$3:$G$110,A33,Ago!$J$3:$J$110)</f>
        <v>4</v>
      </c>
      <c r="L33" s="226">
        <f t="shared" si="4"/>
        <v>207.5</v>
      </c>
      <c r="M33" s="253">
        <f t="shared" si="5"/>
        <v>4</v>
      </c>
      <c r="N33" s="323">
        <f t="shared" si="6"/>
        <v>0</v>
      </c>
    </row>
    <row r="34" spans="1:14" s="253" customFormat="1" hidden="1" x14ac:dyDescent="0.25">
      <c r="A34" s="37">
        <v>3928197453</v>
      </c>
      <c r="B34" s="6" t="s">
        <v>259</v>
      </c>
      <c r="C34" s="249" t="s">
        <v>246</v>
      </c>
      <c r="D34" s="249"/>
      <c r="E34" s="249">
        <v>43653.906006944446</v>
      </c>
      <c r="F34" s="249">
        <v>43699</v>
      </c>
      <c r="G34" s="249">
        <v>43706</v>
      </c>
      <c r="H34" s="249" t="s">
        <v>694</v>
      </c>
      <c r="I34" s="274">
        <v>1540</v>
      </c>
      <c r="J34" s="110">
        <f t="shared" si="0"/>
        <v>7</v>
      </c>
      <c r="K34" s="6">
        <f>SUMIF(Ago!$G$3:$G$110,A34,Ago!$J$3:$J$110)</f>
        <v>7</v>
      </c>
      <c r="L34" s="226">
        <f t="shared" si="4"/>
        <v>220</v>
      </c>
      <c r="M34" s="253">
        <f t="shared" si="5"/>
        <v>7</v>
      </c>
      <c r="N34" s="323">
        <f t="shared" si="6"/>
        <v>0</v>
      </c>
    </row>
    <row r="35" spans="1:14" s="253" customFormat="1" hidden="1" x14ac:dyDescent="0.25">
      <c r="A35" s="37">
        <v>2741454534</v>
      </c>
      <c r="B35" s="6" t="s">
        <v>259</v>
      </c>
      <c r="C35" s="249" t="s">
        <v>246</v>
      </c>
      <c r="D35" s="249"/>
      <c r="E35" s="249">
        <v>43631.9996875</v>
      </c>
      <c r="F35" s="249">
        <v>43700</v>
      </c>
      <c r="G35" s="249">
        <v>43704</v>
      </c>
      <c r="H35" s="249" t="s">
        <v>673</v>
      </c>
      <c r="I35" s="274">
        <v>880</v>
      </c>
      <c r="J35" s="110">
        <f t="shared" si="0"/>
        <v>4</v>
      </c>
      <c r="K35" s="6">
        <f>SUMIF(Ago!$G$3:$G$110,A35,Ago!$J$3:$J$110)</f>
        <v>4</v>
      </c>
      <c r="L35" s="226">
        <f t="shared" si="4"/>
        <v>220</v>
      </c>
      <c r="M35" s="253">
        <f t="shared" si="5"/>
        <v>4</v>
      </c>
      <c r="N35" s="323">
        <f t="shared" si="6"/>
        <v>0</v>
      </c>
    </row>
    <row r="36" spans="1:14" s="253" customFormat="1" hidden="1" x14ac:dyDescent="0.25">
      <c r="A36" s="37">
        <v>3140957757</v>
      </c>
      <c r="B36" s="6" t="s">
        <v>259</v>
      </c>
      <c r="C36" s="249" t="s">
        <v>246</v>
      </c>
      <c r="D36" s="249"/>
      <c r="E36" s="249">
        <v>43679.504513888889</v>
      </c>
      <c r="F36" s="249">
        <v>43700</v>
      </c>
      <c r="G36" s="249">
        <v>43703</v>
      </c>
      <c r="H36" s="249" t="s">
        <v>681</v>
      </c>
      <c r="I36" s="274">
        <v>660</v>
      </c>
      <c r="J36" s="110">
        <f t="shared" si="0"/>
        <v>3</v>
      </c>
      <c r="K36" s="6">
        <f>SUMIF(Ago!$G$3:$G$110,A36,Ago!$J$3:$J$110)</f>
        <v>3</v>
      </c>
      <c r="L36" s="226">
        <f t="shared" si="4"/>
        <v>220</v>
      </c>
      <c r="M36" s="253">
        <f t="shared" si="5"/>
        <v>3</v>
      </c>
      <c r="N36" s="323">
        <f t="shared" si="6"/>
        <v>0</v>
      </c>
    </row>
    <row r="37" spans="1:14" s="253" customFormat="1" hidden="1" x14ac:dyDescent="0.25">
      <c r="A37" s="37">
        <v>1294840081</v>
      </c>
      <c r="B37" s="6" t="s">
        <v>259</v>
      </c>
      <c r="C37" s="249" t="s">
        <v>246</v>
      </c>
      <c r="D37" s="249"/>
      <c r="E37" s="249">
        <v>43542.774224537039</v>
      </c>
      <c r="F37" s="249">
        <v>43702</v>
      </c>
      <c r="G37" s="249">
        <v>43706</v>
      </c>
      <c r="H37" s="249" t="s">
        <v>657</v>
      </c>
      <c r="I37" s="274">
        <v>880</v>
      </c>
      <c r="J37" s="110">
        <f t="shared" ref="J37:J68" si="7">G37-F37</f>
        <v>4</v>
      </c>
      <c r="K37" s="6">
        <f>SUMIF(Ago!$G$3:$G$110,A37,Ago!$J$3:$J$110)</f>
        <v>4</v>
      </c>
      <c r="L37" s="226">
        <f t="shared" si="4"/>
        <v>220</v>
      </c>
      <c r="M37" s="253">
        <f t="shared" si="5"/>
        <v>4</v>
      </c>
      <c r="N37" s="323">
        <f t="shared" si="6"/>
        <v>0</v>
      </c>
    </row>
    <row r="38" spans="1:14" s="253" customFormat="1" hidden="1" x14ac:dyDescent="0.25">
      <c r="A38" s="37">
        <v>3285332578</v>
      </c>
      <c r="B38" s="6" t="s">
        <v>259</v>
      </c>
      <c r="C38" s="249" t="s">
        <v>246</v>
      </c>
      <c r="D38" s="249"/>
      <c r="E38" s="249">
        <v>43671.489050925928</v>
      </c>
      <c r="F38" s="249">
        <v>43702</v>
      </c>
      <c r="G38" s="249">
        <v>43705</v>
      </c>
      <c r="H38" s="249" t="s">
        <v>684</v>
      </c>
      <c r="I38" s="274">
        <v>660</v>
      </c>
      <c r="J38" s="110">
        <f t="shared" si="7"/>
        <v>3</v>
      </c>
      <c r="K38" s="6">
        <f>SUMIF(Ago!$G$3:$G$110,A38,Ago!$J$3:$J$110)</f>
        <v>3</v>
      </c>
      <c r="L38" s="226">
        <f t="shared" si="4"/>
        <v>220</v>
      </c>
      <c r="M38" s="253">
        <f t="shared" si="5"/>
        <v>3</v>
      </c>
      <c r="N38" s="323">
        <f t="shared" si="6"/>
        <v>0</v>
      </c>
    </row>
    <row r="39" spans="1:14" s="253" customFormat="1" hidden="1" x14ac:dyDescent="0.25">
      <c r="A39" s="37">
        <v>2625933785</v>
      </c>
      <c r="B39" s="6" t="s">
        <v>260</v>
      </c>
      <c r="C39" s="249" t="s">
        <v>246</v>
      </c>
      <c r="D39" s="249"/>
      <c r="E39" s="249">
        <v>43698.693148148152</v>
      </c>
      <c r="F39" s="249">
        <v>43703</v>
      </c>
      <c r="G39" s="249">
        <v>43704</v>
      </c>
      <c r="H39" s="249" t="s">
        <v>672</v>
      </c>
      <c r="I39" s="274">
        <v>195</v>
      </c>
      <c r="J39" s="110">
        <f t="shared" si="7"/>
        <v>1</v>
      </c>
      <c r="K39" s="6">
        <f>SUMIF(Ago!$G$3:$G$110,A39,Ago!$J$3:$J$110)</f>
        <v>1</v>
      </c>
      <c r="L39" s="226">
        <f t="shared" si="4"/>
        <v>195</v>
      </c>
      <c r="M39" s="253">
        <f t="shared" si="5"/>
        <v>1</v>
      </c>
      <c r="N39" s="323">
        <f t="shared" si="6"/>
        <v>0</v>
      </c>
    </row>
    <row r="40" spans="1:14" s="253" customFormat="1" hidden="1" x14ac:dyDescent="0.25">
      <c r="A40" s="37">
        <v>3229232800</v>
      </c>
      <c r="B40" s="6" t="s">
        <v>259</v>
      </c>
      <c r="C40" s="249" t="s">
        <v>246</v>
      </c>
      <c r="D40" s="249"/>
      <c r="E40" s="249">
        <v>43641.95039351852</v>
      </c>
      <c r="F40" s="249">
        <v>43706</v>
      </c>
      <c r="G40" s="249">
        <v>43709</v>
      </c>
      <c r="H40" s="249" t="s">
        <v>682</v>
      </c>
      <c r="I40" s="274">
        <v>660</v>
      </c>
      <c r="J40" s="110">
        <f t="shared" si="7"/>
        <v>3</v>
      </c>
      <c r="K40" s="6">
        <f>SUMIF(Ago!$G$3:$G$110,A40,Ago!$J$3:$J$110)</f>
        <v>3</v>
      </c>
      <c r="L40" s="226">
        <f t="shared" si="4"/>
        <v>220</v>
      </c>
      <c r="M40" s="253">
        <f t="shared" si="5"/>
        <v>3</v>
      </c>
      <c r="N40" s="323">
        <f t="shared" si="6"/>
        <v>0</v>
      </c>
    </row>
    <row r="41" spans="1:14" s="253" customFormat="1" hidden="1" x14ac:dyDescent="0.25">
      <c r="A41" s="37">
        <v>3410565173</v>
      </c>
      <c r="B41" s="6" t="s">
        <v>259</v>
      </c>
      <c r="C41" s="249" t="s">
        <v>246</v>
      </c>
      <c r="D41" s="249"/>
      <c r="E41" s="249">
        <v>43700.064768518518</v>
      </c>
      <c r="F41" s="249">
        <v>43707</v>
      </c>
      <c r="G41" s="249">
        <v>43709</v>
      </c>
      <c r="H41" s="249" t="s">
        <v>685</v>
      </c>
      <c r="I41" s="274">
        <v>390</v>
      </c>
      <c r="J41" s="110">
        <f t="shared" si="7"/>
        <v>2</v>
      </c>
      <c r="K41" s="6">
        <f>SUMIF(Ago!$G$3:$G$110,A41,Ago!$J$3:$J$110)</f>
        <v>2</v>
      </c>
      <c r="L41" s="226">
        <f t="shared" si="4"/>
        <v>195</v>
      </c>
      <c r="M41" s="253">
        <f t="shared" si="5"/>
        <v>2</v>
      </c>
      <c r="N41" s="323">
        <f t="shared" si="6"/>
        <v>0</v>
      </c>
    </row>
    <row r="42" spans="1:14" s="253" customFormat="1" hidden="1" x14ac:dyDescent="0.25">
      <c r="A42" s="37">
        <v>3842458605</v>
      </c>
      <c r="B42" s="6" t="s">
        <v>259</v>
      </c>
      <c r="C42" s="249" t="s">
        <v>246</v>
      </c>
      <c r="D42" s="249"/>
      <c r="E42" s="249">
        <v>43701.75608796296</v>
      </c>
      <c r="F42" s="249">
        <v>43707</v>
      </c>
      <c r="G42" s="249">
        <v>43709</v>
      </c>
      <c r="H42" s="249" t="s">
        <v>693</v>
      </c>
      <c r="I42" s="274">
        <v>390</v>
      </c>
      <c r="J42" s="110">
        <f t="shared" si="7"/>
        <v>2</v>
      </c>
      <c r="K42" s="6">
        <f>SUMIF(Ago!$G$3:$G$110,A42,Ago!$J$3:$J$110)</f>
        <v>2</v>
      </c>
      <c r="L42" s="226">
        <f t="shared" si="4"/>
        <v>195</v>
      </c>
      <c r="M42" s="253">
        <f t="shared" si="5"/>
        <v>2</v>
      </c>
      <c r="N42" s="323">
        <f t="shared" si="6"/>
        <v>0</v>
      </c>
    </row>
    <row r="43" spans="1:14" s="253" customFormat="1" hidden="1" x14ac:dyDescent="0.25">
      <c r="A43" s="37">
        <v>2230025021</v>
      </c>
      <c r="B43" s="6" t="s">
        <v>259</v>
      </c>
      <c r="C43" s="249" t="s">
        <v>246</v>
      </c>
      <c r="D43" s="249"/>
      <c r="E43" s="249">
        <v>43685.084432870368</v>
      </c>
      <c r="F43" s="249">
        <v>43708</v>
      </c>
      <c r="G43" s="249">
        <v>43711</v>
      </c>
      <c r="H43" s="249" t="s">
        <v>666</v>
      </c>
      <c r="I43" s="274">
        <v>585</v>
      </c>
      <c r="J43" s="110">
        <f t="shared" si="7"/>
        <v>3</v>
      </c>
      <c r="K43" s="6">
        <f>SUMIF(Ago!$G$3:$G$110,A43,Ago!$J$3:$J$110)</f>
        <v>3</v>
      </c>
      <c r="L43" s="226">
        <f t="shared" si="4"/>
        <v>195</v>
      </c>
      <c r="M43" s="253">
        <f t="shared" si="5"/>
        <v>3</v>
      </c>
      <c r="N43" s="323">
        <f t="shared" si="6"/>
        <v>0</v>
      </c>
    </row>
    <row r="44" spans="1:14" s="253" customFormat="1" hidden="1" x14ac:dyDescent="0.25">
      <c r="A44" s="37">
        <v>1907234763622</v>
      </c>
      <c r="B44" s="6" t="s">
        <v>259</v>
      </c>
      <c r="C44" s="249" t="s">
        <v>248</v>
      </c>
      <c r="D44" s="249" t="s">
        <v>306</v>
      </c>
      <c r="E44" s="249">
        <v>43669.52957175926</v>
      </c>
      <c r="F44" s="249">
        <v>43681</v>
      </c>
      <c r="G44" s="249">
        <v>43688</v>
      </c>
      <c r="H44" s="249" t="s">
        <v>700</v>
      </c>
      <c r="I44" s="274">
        <v>1296.75</v>
      </c>
      <c r="J44" s="110">
        <f t="shared" si="7"/>
        <v>7</v>
      </c>
      <c r="K44" s="6">
        <f>SUMIF(Ago!$G$3:$G$110,A44,Ago!$J$3:$J$110)</f>
        <v>7</v>
      </c>
      <c r="L44" s="226">
        <f t="shared" si="4"/>
        <v>185.25</v>
      </c>
      <c r="M44" s="253">
        <f t="shared" si="5"/>
        <v>7</v>
      </c>
      <c r="N44" s="323">
        <f t="shared" si="6"/>
        <v>0</v>
      </c>
    </row>
    <row r="45" spans="1:14" s="253" customFormat="1" hidden="1" x14ac:dyDescent="0.25">
      <c r="A45" s="37">
        <v>1905254561764</v>
      </c>
      <c r="B45" s="6" t="s">
        <v>259</v>
      </c>
      <c r="C45" s="249" t="s">
        <v>248</v>
      </c>
      <c r="D45" s="249" t="s">
        <v>306</v>
      </c>
      <c r="E45" s="249">
        <v>43610.470775462964</v>
      </c>
      <c r="F45" s="249">
        <v>43684</v>
      </c>
      <c r="G45" s="249">
        <v>43686</v>
      </c>
      <c r="H45" s="249" t="s">
        <v>699</v>
      </c>
      <c r="I45" s="274">
        <v>418</v>
      </c>
      <c r="J45" s="110">
        <f t="shared" si="7"/>
        <v>2</v>
      </c>
      <c r="K45" s="6">
        <f>SUMIF(Ago!$G$3:$G$110,A45,Ago!$J$3:$J$110)</f>
        <v>2</v>
      </c>
      <c r="L45" s="226">
        <f t="shared" si="4"/>
        <v>209</v>
      </c>
      <c r="M45" s="253">
        <f t="shared" si="5"/>
        <v>2</v>
      </c>
      <c r="N45" s="323">
        <f t="shared" si="6"/>
        <v>0</v>
      </c>
    </row>
    <row r="46" spans="1:14" s="253" customFormat="1" hidden="1" x14ac:dyDescent="0.25">
      <c r="A46" s="37">
        <v>1903094294461</v>
      </c>
      <c r="B46" s="6" t="s">
        <v>259</v>
      </c>
      <c r="C46" s="249" t="s">
        <v>248</v>
      </c>
      <c r="D46" s="249" t="s">
        <v>306</v>
      </c>
      <c r="E46" s="249">
        <v>43533.540486111109</v>
      </c>
      <c r="F46" s="249">
        <v>43687</v>
      </c>
      <c r="G46" s="249">
        <v>43690</v>
      </c>
      <c r="H46" s="249" t="s">
        <v>697</v>
      </c>
      <c r="I46" s="274">
        <v>1254</v>
      </c>
      <c r="J46" s="110">
        <f t="shared" si="7"/>
        <v>3</v>
      </c>
      <c r="K46" s="6">
        <f>SUMIF(Ago!$G$3:$G$110,A46,Ago!$J$3:$J$110)</f>
        <v>6</v>
      </c>
      <c r="L46" s="226">
        <f t="shared" si="4"/>
        <v>209</v>
      </c>
      <c r="M46" s="253">
        <f t="shared" si="5"/>
        <v>6</v>
      </c>
      <c r="N46" s="323">
        <f t="shared" si="6"/>
        <v>0</v>
      </c>
    </row>
    <row r="47" spans="1:14" s="253" customFormat="1" hidden="1" x14ac:dyDescent="0.25">
      <c r="A47" s="37">
        <v>1903184325773</v>
      </c>
      <c r="B47" s="6" t="s">
        <v>259</v>
      </c>
      <c r="C47" s="249" t="s">
        <v>248</v>
      </c>
      <c r="D47" s="249" t="s">
        <v>306</v>
      </c>
      <c r="E47" s="249">
        <v>43542.198425925926</v>
      </c>
      <c r="F47" s="249">
        <v>43687</v>
      </c>
      <c r="G47" s="249">
        <v>43690</v>
      </c>
      <c r="H47" s="249" t="s">
        <v>698</v>
      </c>
      <c r="I47" s="274">
        <v>627</v>
      </c>
      <c r="J47" s="110">
        <f t="shared" si="7"/>
        <v>3</v>
      </c>
      <c r="K47" s="6">
        <f>SUMIF(Ago!$G$3:$G$110,A47,Ago!$J$3:$J$110)</f>
        <v>3</v>
      </c>
      <c r="L47" s="226">
        <f t="shared" si="4"/>
        <v>209</v>
      </c>
      <c r="M47" s="253">
        <f t="shared" si="5"/>
        <v>3</v>
      </c>
      <c r="N47" s="323">
        <f t="shared" si="6"/>
        <v>0</v>
      </c>
    </row>
    <row r="48" spans="1:14" s="253" customFormat="1" hidden="1" x14ac:dyDescent="0.25">
      <c r="A48" s="37">
        <v>1908074814893</v>
      </c>
      <c r="B48" s="6" t="s">
        <v>259</v>
      </c>
      <c r="C48" s="249" t="s">
        <v>248</v>
      </c>
      <c r="D48" s="249" t="s">
        <v>306</v>
      </c>
      <c r="E48" s="249">
        <v>43684.350162037037</v>
      </c>
      <c r="F48" s="249">
        <v>43687</v>
      </c>
      <c r="G48" s="249">
        <v>43688</v>
      </c>
      <c r="H48" s="249" t="s">
        <v>701</v>
      </c>
      <c r="I48" s="274">
        <v>370.5</v>
      </c>
      <c r="J48" s="110">
        <f t="shared" si="7"/>
        <v>1</v>
      </c>
      <c r="K48" s="6">
        <f>SUMIF(Ago!$G$3:$G$110,A48,Ago!$J$3:$J$110)</f>
        <v>2</v>
      </c>
      <c r="L48" s="226">
        <f t="shared" si="4"/>
        <v>185.25</v>
      </c>
      <c r="M48" s="253">
        <f t="shared" si="5"/>
        <v>2</v>
      </c>
      <c r="N48" s="323">
        <f t="shared" si="6"/>
        <v>0</v>
      </c>
    </row>
    <row r="49" spans="1:14" s="253" customFormat="1" x14ac:dyDescent="0.25">
      <c r="A49" s="37">
        <v>1305097443</v>
      </c>
      <c r="B49" s="6" t="s">
        <v>259</v>
      </c>
      <c r="C49" s="249" t="s">
        <v>247</v>
      </c>
      <c r="D49" s="249" t="s">
        <v>307</v>
      </c>
      <c r="E49" s="249">
        <v>43667.833333333336</v>
      </c>
      <c r="F49" s="249">
        <v>43678</v>
      </c>
      <c r="G49" s="249">
        <v>43679</v>
      </c>
      <c r="H49" s="249" t="s">
        <v>659</v>
      </c>
      <c r="I49" s="274">
        <v>195</v>
      </c>
      <c r="J49" s="110">
        <f t="shared" si="7"/>
        <v>1</v>
      </c>
      <c r="K49" s="6">
        <f>SUMIF(Ago!$G$3:$G$110,A49,Ago!$J$3:$J$110)</f>
        <v>0</v>
      </c>
      <c r="L49" s="226" t="e">
        <f t="shared" si="4"/>
        <v>#DIV/0!</v>
      </c>
      <c r="M49" s="253" t="e">
        <f t="shared" si="5"/>
        <v>#DIV/0!</v>
      </c>
      <c r="N49" s="323" t="e">
        <f t="shared" si="6"/>
        <v>#DIV/0!</v>
      </c>
    </row>
    <row r="50" spans="1:14" s="253" customFormat="1" hidden="1" x14ac:dyDescent="0.25">
      <c r="A50" s="37">
        <v>1306498393</v>
      </c>
      <c r="B50" s="6" t="s">
        <v>259</v>
      </c>
      <c r="C50" s="249" t="s">
        <v>247</v>
      </c>
      <c r="D50" s="249" t="s">
        <v>307</v>
      </c>
      <c r="E50" s="249">
        <v>43669.661805555559</v>
      </c>
      <c r="F50" s="249">
        <v>43678</v>
      </c>
      <c r="G50" s="249">
        <v>43679</v>
      </c>
      <c r="H50" s="249" t="s">
        <v>659</v>
      </c>
      <c r="I50" s="274">
        <v>195</v>
      </c>
      <c r="J50" s="110">
        <f t="shared" si="7"/>
        <v>1</v>
      </c>
      <c r="K50" s="6">
        <f>SUMIF(Ago!$G$3:$G$110,A50,Ago!$J$3:$J$110)</f>
        <v>1</v>
      </c>
      <c r="L50" s="226">
        <f t="shared" si="4"/>
        <v>195</v>
      </c>
      <c r="M50" s="253">
        <f t="shared" si="5"/>
        <v>1</v>
      </c>
      <c r="N50" s="323">
        <f t="shared" si="6"/>
        <v>0</v>
      </c>
    </row>
    <row r="51" spans="1:14" s="253" customFormat="1" hidden="1" x14ac:dyDescent="0.25">
      <c r="A51" s="37">
        <v>1296878961</v>
      </c>
      <c r="B51" s="6" t="s">
        <v>259</v>
      </c>
      <c r="C51" s="249" t="s">
        <v>247</v>
      </c>
      <c r="D51" s="249" t="s">
        <v>305</v>
      </c>
      <c r="E51" s="249">
        <v>43656.580555555556</v>
      </c>
      <c r="F51" s="249">
        <v>43683</v>
      </c>
      <c r="G51" s="249">
        <v>43684</v>
      </c>
      <c r="H51" s="249" t="s">
        <v>658</v>
      </c>
      <c r="I51" s="274">
        <v>195</v>
      </c>
      <c r="J51" s="110">
        <f t="shared" si="7"/>
        <v>1</v>
      </c>
      <c r="K51" s="6">
        <f>SUMIF(Ago!$G$3:$G$110,A51,Ago!$J$3:$J$110)</f>
        <v>1</v>
      </c>
      <c r="L51" s="226">
        <f t="shared" si="4"/>
        <v>195</v>
      </c>
      <c r="M51" s="253">
        <f t="shared" si="5"/>
        <v>1</v>
      </c>
      <c r="N51" s="323">
        <f t="shared" si="6"/>
        <v>0</v>
      </c>
    </row>
    <row r="52" spans="1:14" s="253" customFormat="1" hidden="1" x14ac:dyDescent="0.25">
      <c r="A52" s="37">
        <v>1236698353</v>
      </c>
      <c r="B52" s="6" t="s">
        <v>259</v>
      </c>
      <c r="C52" s="249" t="s">
        <v>247</v>
      </c>
      <c r="D52" s="249" t="s">
        <v>305</v>
      </c>
      <c r="E52" s="249">
        <v>43567.776388888888</v>
      </c>
      <c r="F52" s="249">
        <v>43687</v>
      </c>
      <c r="G52" s="249">
        <v>43692</v>
      </c>
      <c r="H52" s="249" t="s">
        <v>654</v>
      </c>
      <c r="I52" s="274">
        <v>1120</v>
      </c>
      <c r="J52" s="110">
        <f t="shared" si="7"/>
        <v>5</v>
      </c>
      <c r="K52" s="6">
        <f>SUMIF(Ago!$G$3:$G$110,A52,Ago!$J$3:$J$110)</f>
        <v>5</v>
      </c>
      <c r="L52" s="226">
        <f t="shared" si="4"/>
        <v>224</v>
      </c>
      <c r="M52" s="253">
        <f t="shared" si="5"/>
        <v>5</v>
      </c>
      <c r="N52" s="323">
        <f t="shared" si="6"/>
        <v>0</v>
      </c>
    </row>
    <row r="53" spans="1:14" s="253" customFormat="1" hidden="1" x14ac:dyDescent="0.25">
      <c r="A53" s="37">
        <v>1317969443</v>
      </c>
      <c r="B53" s="6" t="s">
        <v>259</v>
      </c>
      <c r="C53" s="249" t="s">
        <v>247</v>
      </c>
      <c r="D53" s="249" t="s">
        <v>307</v>
      </c>
      <c r="E53" s="249">
        <v>43685.796527777777</v>
      </c>
      <c r="F53" s="249">
        <v>43689</v>
      </c>
      <c r="G53" s="249">
        <v>43690</v>
      </c>
      <c r="H53" s="249" t="s">
        <v>660</v>
      </c>
      <c r="I53" s="274">
        <v>195</v>
      </c>
      <c r="J53" s="110">
        <f t="shared" si="7"/>
        <v>1</v>
      </c>
      <c r="K53" s="6">
        <f>SUMIF(Ago!$G$3:$G$110,A53,Ago!$J$3:$J$110)</f>
        <v>1</v>
      </c>
      <c r="L53" s="226">
        <f t="shared" si="4"/>
        <v>195</v>
      </c>
      <c r="M53" s="253">
        <f t="shared" si="5"/>
        <v>1</v>
      </c>
      <c r="N53" s="323">
        <f t="shared" si="6"/>
        <v>0</v>
      </c>
    </row>
    <row r="54" spans="1:14" s="253" customFormat="1" hidden="1" x14ac:dyDescent="0.25">
      <c r="A54" s="37">
        <v>1223838264</v>
      </c>
      <c r="B54" s="6" t="s">
        <v>259</v>
      </c>
      <c r="C54" s="249" t="s">
        <v>247</v>
      </c>
      <c r="D54" s="249" t="s">
        <v>305</v>
      </c>
      <c r="E54" s="249">
        <v>43548.804861111108</v>
      </c>
      <c r="F54" s="249">
        <v>43690</v>
      </c>
      <c r="G54" s="249">
        <v>43693</v>
      </c>
      <c r="H54" s="249" t="s">
        <v>651</v>
      </c>
      <c r="I54" s="274">
        <v>700</v>
      </c>
      <c r="J54" s="110">
        <f t="shared" si="7"/>
        <v>3</v>
      </c>
      <c r="K54" s="6">
        <f>SUMIF(Ago!$G$3:$G$110,A54,Ago!$J$3:$J$110)</f>
        <v>3</v>
      </c>
      <c r="L54" s="226">
        <f t="shared" si="4"/>
        <v>233.33333333333334</v>
      </c>
      <c r="M54" s="253">
        <f t="shared" si="5"/>
        <v>3</v>
      </c>
      <c r="N54" s="323">
        <f t="shared" si="6"/>
        <v>0</v>
      </c>
    </row>
    <row r="55" spans="1:14" s="253" customFormat="1" hidden="1" x14ac:dyDescent="0.25">
      <c r="A55" s="37">
        <v>1223839108</v>
      </c>
      <c r="B55" s="6" t="s">
        <v>259</v>
      </c>
      <c r="C55" s="249" t="s">
        <v>247</v>
      </c>
      <c r="D55" s="249" t="s">
        <v>305</v>
      </c>
      <c r="E55" s="249">
        <v>43548.805555555555</v>
      </c>
      <c r="F55" s="249">
        <v>43690</v>
      </c>
      <c r="G55" s="249">
        <v>43693</v>
      </c>
      <c r="H55" s="249" t="s">
        <v>652</v>
      </c>
      <c r="I55" s="274">
        <v>700</v>
      </c>
      <c r="J55" s="110">
        <f t="shared" si="7"/>
        <v>3</v>
      </c>
      <c r="K55" s="6">
        <f>SUMIF(Ago!$G$3:$G$110,A55,Ago!$J$3:$J$110)</f>
        <v>3</v>
      </c>
      <c r="L55" s="226">
        <f t="shared" si="4"/>
        <v>233.33333333333334</v>
      </c>
      <c r="M55" s="253">
        <f t="shared" si="5"/>
        <v>3</v>
      </c>
      <c r="N55" s="323">
        <f t="shared" si="6"/>
        <v>0</v>
      </c>
    </row>
    <row r="56" spans="1:14" s="253" customFormat="1" hidden="1" x14ac:dyDescent="0.25">
      <c r="A56" s="37">
        <v>1270354542</v>
      </c>
      <c r="B56" s="6" t="s">
        <v>259</v>
      </c>
      <c r="C56" s="249" t="s">
        <v>247</v>
      </c>
      <c r="D56" s="249" t="s">
        <v>305</v>
      </c>
      <c r="E56" s="249">
        <v>43619.7</v>
      </c>
      <c r="F56" s="249">
        <v>43691</v>
      </c>
      <c r="G56" s="249">
        <v>43695</v>
      </c>
      <c r="H56" s="249" t="s">
        <v>655</v>
      </c>
      <c r="I56" s="274">
        <v>960</v>
      </c>
      <c r="J56" s="110">
        <f t="shared" si="7"/>
        <v>4</v>
      </c>
      <c r="K56" s="6">
        <f>SUMIF(Ago!$G$3:$G$110,A56,Ago!$J$3:$J$110)</f>
        <v>4</v>
      </c>
      <c r="L56" s="226">
        <f t="shared" si="4"/>
        <v>240</v>
      </c>
      <c r="M56" s="253">
        <f t="shared" si="5"/>
        <v>4</v>
      </c>
      <c r="N56" s="323">
        <f t="shared" si="6"/>
        <v>0</v>
      </c>
    </row>
    <row r="57" spans="1:14" s="253" customFormat="1" hidden="1" x14ac:dyDescent="0.25">
      <c r="A57" s="37">
        <v>1234586319</v>
      </c>
      <c r="B57" s="6" t="s">
        <v>259</v>
      </c>
      <c r="C57" s="249" t="s">
        <v>247</v>
      </c>
      <c r="D57" s="249" t="s">
        <v>307</v>
      </c>
      <c r="E57" s="249">
        <v>43564.75277777778</v>
      </c>
      <c r="F57" s="249">
        <v>43704</v>
      </c>
      <c r="G57" s="249">
        <v>43707</v>
      </c>
      <c r="H57" s="249" t="s">
        <v>653</v>
      </c>
      <c r="I57" s="274">
        <v>660</v>
      </c>
      <c r="J57" s="110">
        <f t="shared" si="7"/>
        <v>3</v>
      </c>
      <c r="K57" s="6">
        <f>SUMIF(Ago!$G$3:$G$110,A57,Ago!$J$3:$J$110)</f>
        <v>3</v>
      </c>
      <c r="L57" s="226">
        <f t="shared" si="4"/>
        <v>220</v>
      </c>
      <c r="M57" s="253">
        <f t="shared" si="5"/>
        <v>3</v>
      </c>
      <c r="N57" s="323">
        <f t="shared" si="6"/>
        <v>0</v>
      </c>
    </row>
    <row r="58" spans="1:14" s="253" customFormat="1" hidden="1" x14ac:dyDescent="0.25">
      <c r="A58" s="37">
        <v>1279844007</v>
      </c>
      <c r="B58" s="6" t="s">
        <v>259</v>
      </c>
      <c r="C58" s="249" t="s">
        <v>247</v>
      </c>
      <c r="D58" s="249" t="s">
        <v>359</v>
      </c>
      <c r="E58" s="249">
        <v>43633.456944444442</v>
      </c>
      <c r="F58" s="249">
        <v>43705</v>
      </c>
      <c r="G58" s="249">
        <v>43711</v>
      </c>
      <c r="H58" s="249" t="s">
        <v>656</v>
      </c>
      <c r="I58" s="274">
        <v>1320</v>
      </c>
      <c r="J58" s="110">
        <f t="shared" si="7"/>
        <v>6</v>
      </c>
      <c r="K58" s="6">
        <f>SUMIF(Ago!$G$3:$G$110,A58,Ago!$J$3:$J$110)</f>
        <v>6</v>
      </c>
      <c r="L58" s="226">
        <f t="shared" si="4"/>
        <v>220</v>
      </c>
      <c r="M58" s="253">
        <f t="shared" si="5"/>
        <v>6</v>
      </c>
      <c r="N58" s="323">
        <f t="shared" si="6"/>
        <v>0</v>
      </c>
    </row>
    <row r="59" spans="1:14" s="253" customFormat="1" hidden="1" x14ac:dyDescent="0.25">
      <c r="A59" s="37"/>
      <c r="B59" s="6"/>
      <c r="C59" s="249"/>
      <c r="D59" s="249"/>
      <c r="E59" s="249"/>
      <c r="F59" s="249"/>
      <c r="G59" s="249"/>
      <c r="H59" s="249"/>
      <c r="I59" s="274"/>
      <c r="J59" s="110">
        <f t="shared" si="7"/>
        <v>0</v>
      </c>
      <c r="K59" s="6">
        <f>SUMIF(Ago!$G$3:$G$110,A59,Ago!$J$3:$J$110)</f>
        <v>0</v>
      </c>
      <c r="L59" s="226" t="e">
        <f t="shared" si="4"/>
        <v>#DIV/0!</v>
      </c>
      <c r="M59" s="253" t="e">
        <f t="shared" si="5"/>
        <v>#DIV/0!</v>
      </c>
      <c r="N59" s="323" t="e">
        <f t="shared" si="6"/>
        <v>#DIV/0!</v>
      </c>
    </row>
    <row r="60" spans="1:14" s="253" customFormat="1" hidden="1" x14ac:dyDescent="0.25">
      <c r="A60" s="37"/>
      <c r="B60" s="6"/>
      <c r="C60" s="249"/>
      <c r="D60" s="249"/>
      <c r="E60" s="249"/>
      <c r="F60" s="249"/>
      <c r="G60" s="249"/>
      <c r="H60" s="249"/>
      <c r="I60" s="274"/>
      <c r="J60" s="110">
        <f t="shared" si="7"/>
        <v>0</v>
      </c>
      <c r="K60" s="6">
        <f>SUMIF(Ago!$G$3:$G$110,A60,Ago!$J$3:$J$110)</f>
        <v>0</v>
      </c>
      <c r="L60" s="226" t="e">
        <f t="shared" si="4"/>
        <v>#DIV/0!</v>
      </c>
      <c r="M60" s="253" t="e">
        <f t="shared" si="5"/>
        <v>#DIV/0!</v>
      </c>
      <c r="N60" s="323" t="e">
        <f t="shared" si="6"/>
        <v>#DIV/0!</v>
      </c>
    </row>
    <row r="61" spans="1:14" s="253" customFormat="1" hidden="1" x14ac:dyDescent="0.25">
      <c r="A61" s="37"/>
      <c r="B61" s="6"/>
      <c r="C61" s="249"/>
      <c r="D61" s="249"/>
      <c r="E61" s="249"/>
      <c r="F61" s="249"/>
      <c r="G61" s="249"/>
      <c r="H61" s="249"/>
      <c r="I61" s="274"/>
      <c r="J61" s="110">
        <f t="shared" si="7"/>
        <v>0</v>
      </c>
      <c r="K61" s="6">
        <f>SUMIF(Ago!$G$3:$G$110,A61,Ago!$J$3:$J$110)</f>
        <v>0</v>
      </c>
      <c r="L61" s="226" t="e">
        <f t="shared" si="4"/>
        <v>#DIV/0!</v>
      </c>
      <c r="M61" s="253" t="e">
        <f t="shared" si="5"/>
        <v>#DIV/0!</v>
      </c>
      <c r="N61" s="323" t="e">
        <f t="shared" si="6"/>
        <v>#DIV/0!</v>
      </c>
    </row>
    <row r="62" spans="1:14" s="253" customFormat="1" hidden="1" x14ac:dyDescent="0.25">
      <c r="A62" s="37"/>
      <c r="B62" s="6"/>
      <c r="C62" s="249"/>
      <c r="D62" s="249"/>
      <c r="E62" s="249"/>
      <c r="F62" s="249"/>
      <c r="G62" s="249"/>
      <c r="H62" s="249"/>
      <c r="I62" s="274"/>
      <c r="J62" s="110">
        <f t="shared" si="7"/>
        <v>0</v>
      </c>
      <c r="K62" s="6">
        <f>SUMIF(Ago!$G$3:$G$110,A62,Ago!$J$3:$J$110)</f>
        <v>0</v>
      </c>
      <c r="L62" s="226" t="e">
        <f t="shared" si="4"/>
        <v>#DIV/0!</v>
      </c>
      <c r="M62" s="253" t="e">
        <f t="shared" si="5"/>
        <v>#DIV/0!</v>
      </c>
      <c r="N62" s="323" t="e">
        <f t="shared" si="6"/>
        <v>#DIV/0!</v>
      </c>
    </row>
    <row r="63" spans="1:14" s="253" customFormat="1" hidden="1" x14ac:dyDescent="0.25">
      <c r="A63" s="37"/>
      <c r="B63" s="6"/>
      <c r="C63" s="249"/>
      <c r="D63" s="249"/>
      <c r="E63" s="249"/>
      <c r="F63" s="249"/>
      <c r="G63" s="249"/>
      <c r="H63" s="249"/>
      <c r="I63" s="274"/>
      <c r="J63" s="110">
        <f t="shared" si="7"/>
        <v>0</v>
      </c>
      <c r="K63" s="6">
        <f>SUMIF(Ago!$G$3:$G$110,A63,Ago!$J$3:$J$110)</f>
        <v>0</v>
      </c>
      <c r="L63" s="226" t="e">
        <f t="shared" si="4"/>
        <v>#DIV/0!</v>
      </c>
      <c r="M63" s="253" t="e">
        <f t="shared" si="5"/>
        <v>#DIV/0!</v>
      </c>
      <c r="N63" s="323" t="e">
        <f t="shared" si="6"/>
        <v>#DIV/0!</v>
      </c>
    </row>
    <row r="64" spans="1:14" s="253" customFormat="1" hidden="1" x14ac:dyDescent="0.25">
      <c r="A64" s="37"/>
      <c r="B64" s="6"/>
      <c r="C64" s="249"/>
      <c r="D64" s="249"/>
      <c r="E64" s="249"/>
      <c r="F64" s="249"/>
      <c r="G64" s="249"/>
      <c r="H64" s="249"/>
      <c r="I64" s="274"/>
      <c r="J64" s="110">
        <f t="shared" si="7"/>
        <v>0</v>
      </c>
      <c r="K64" s="6">
        <f>SUMIF(Ago!$G$3:$G$110,A64,Ago!$J$3:$J$110)</f>
        <v>0</v>
      </c>
      <c r="L64" s="226" t="e">
        <f t="shared" si="4"/>
        <v>#DIV/0!</v>
      </c>
      <c r="M64" s="253" t="e">
        <f t="shared" si="5"/>
        <v>#DIV/0!</v>
      </c>
      <c r="N64" s="323" t="e">
        <f t="shared" si="6"/>
        <v>#DIV/0!</v>
      </c>
    </row>
    <row r="65" spans="1:14" s="253" customFormat="1" hidden="1" x14ac:dyDescent="0.25">
      <c r="A65" s="37"/>
      <c r="B65" s="6"/>
      <c r="C65" s="249"/>
      <c r="D65" s="249"/>
      <c r="E65" s="249"/>
      <c r="F65" s="249"/>
      <c r="G65" s="249"/>
      <c r="H65" s="249"/>
      <c r="I65" s="274"/>
      <c r="J65" s="110">
        <f t="shared" si="7"/>
        <v>0</v>
      </c>
      <c r="K65" s="6">
        <f>SUMIF(Ago!$G$3:$G$110,A65,Ago!$J$3:$J$110)</f>
        <v>0</v>
      </c>
      <c r="L65" s="226" t="e">
        <f t="shared" si="4"/>
        <v>#DIV/0!</v>
      </c>
      <c r="M65" s="253" t="e">
        <f t="shared" si="5"/>
        <v>#DIV/0!</v>
      </c>
      <c r="N65" s="323" t="e">
        <f t="shared" si="6"/>
        <v>#DIV/0!</v>
      </c>
    </row>
    <row r="66" spans="1:14" s="253" customFormat="1" hidden="1" x14ac:dyDescent="0.25">
      <c r="A66" s="37"/>
      <c r="B66" s="6"/>
      <c r="C66" s="249"/>
      <c r="D66" s="249"/>
      <c r="E66" s="249"/>
      <c r="F66" s="249"/>
      <c r="G66" s="249"/>
      <c r="H66" s="249"/>
      <c r="I66" s="274"/>
      <c r="J66" s="110">
        <f t="shared" si="7"/>
        <v>0</v>
      </c>
      <c r="K66" s="6">
        <f>SUMIF(Ago!$G$3:$G$110,A66,Ago!$J$3:$J$110)</f>
        <v>0</v>
      </c>
      <c r="L66" s="226" t="e">
        <f t="shared" si="4"/>
        <v>#DIV/0!</v>
      </c>
      <c r="M66" s="253" t="e">
        <f t="shared" si="5"/>
        <v>#DIV/0!</v>
      </c>
      <c r="N66" s="323" t="e">
        <f t="shared" si="6"/>
        <v>#DIV/0!</v>
      </c>
    </row>
    <row r="67" spans="1:14" s="253" customFormat="1" hidden="1" x14ac:dyDescent="0.25">
      <c r="A67" s="37"/>
      <c r="B67" s="6"/>
      <c r="C67" s="249"/>
      <c r="D67" s="249"/>
      <c r="E67" s="249"/>
      <c r="F67" s="249"/>
      <c r="G67" s="249"/>
      <c r="H67" s="249"/>
      <c r="I67" s="274"/>
      <c r="J67" s="110">
        <f t="shared" si="7"/>
        <v>0</v>
      </c>
      <c r="K67" s="6">
        <f>SUMIF(Ago!$G$3:$G$110,A67,Ago!$J$3:$J$110)</f>
        <v>0</v>
      </c>
      <c r="L67" s="226" t="e">
        <f t="shared" si="4"/>
        <v>#DIV/0!</v>
      </c>
      <c r="M67" s="253" t="e">
        <f t="shared" si="5"/>
        <v>#DIV/0!</v>
      </c>
      <c r="N67" s="323" t="e">
        <f t="shared" si="6"/>
        <v>#DIV/0!</v>
      </c>
    </row>
    <row r="68" spans="1:14" s="253" customFormat="1" hidden="1" x14ac:dyDescent="0.25">
      <c r="A68" s="37"/>
      <c r="B68" s="6"/>
      <c r="C68" s="249"/>
      <c r="D68" s="249"/>
      <c r="E68" s="249"/>
      <c r="F68" s="249"/>
      <c r="G68" s="249"/>
      <c r="H68" s="249"/>
      <c r="I68" s="274"/>
      <c r="J68" s="110">
        <f t="shared" si="7"/>
        <v>0</v>
      </c>
      <c r="K68" s="6">
        <f>SUMIF(Ago!$G$3:$G$110,A68,Ago!$J$3:$J$110)</f>
        <v>0</v>
      </c>
      <c r="L68" s="226" t="e">
        <f t="shared" si="4"/>
        <v>#DIV/0!</v>
      </c>
      <c r="M68" s="253" t="e">
        <f t="shared" si="5"/>
        <v>#DIV/0!</v>
      </c>
      <c r="N68" s="323" t="e">
        <f t="shared" si="6"/>
        <v>#DIV/0!</v>
      </c>
    </row>
    <row r="69" spans="1:14" s="253" customFormat="1" hidden="1" x14ac:dyDescent="0.25">
      <c r="A69" s="37"/>
      <c r="B69" s="6"/>
      <c r="C69" s="249"/>
      <c r="D69" s="249"/>
      <c r="E69" s="249"/>
      <c r="F69" s="249"/>
      <c r="G69" s="249"/>
      <c r="H69" s="249"/>
      <c r="I69" s="274"/>
      <c r="J69" s="110">
        <f t="shared" ref="J69:J100" si="8">G69-F69</f>
        <v>0</v>
      </c>
      <c r="K69" s="6">
        <f>SUMIF(Ago!$G$3:$G$110,A69,Ago!$J$3:$J$110)</f>
        <v>0</v>
      </c>
      <c r="L69" s="226" t="e">
        <f t="shared" si="4"/>
        <v>#DIV/0!</v>
      </c>
      <c r="M69" s="253" t="e">
        <f t="shared" si="5"/>
        <v>#DIV/0!</v>
      </c>
      <c r="N69" s="323" t="e">
        <f t="shared" si="6"/>
        <v>#DIV/0!</v>
      </c>
    </row>
    <row r="70" spans="1:14" s="253" customFormat="1" hidden="1" x14ac:dyDescent="0.25">
      <c r="A70" s="37"/>
      <c r="B70" s="6"/>
      <c r="C70" s="249"/>
      <c r="D70" s="249"/>
      <c r="E70" s="249"/>
      <c r="F70" s="249"/>
      <c r="G70" s="249"/>
      <c r="H70" s="249"/>
      <c r="I70" s="274"/>
      <c r="J70" s="110">
        <f t="shared" si="8"/>
        <v>0</v>
      </c>
      <c r="K70" s="6">
        <f>SUMIF(Ago!$G$3:$G$110,A70,Ago!$J$3:$J$110)</f>
        <v>0</v>
      </c>
      <c r="L70" s="226" t="e">
        <f t="shared" ref="L70:L90" si="9">+I70/K70</f>
        <v>#DIV/0!</v>
      </c>
      <c r="M70" s="253" t="e">
        <f t="shared" ref="M70:M90" si="10">ROUND(I70/L70,0)</f>
        <v>#DIV/0!</v>
      </c>
      <c r="N70" s="323" t="e">
        <f t="shared" ref="N70:N90" si="11">+M70-K70</f>
        <v>#DIV/0!</v>
      </c>
    </row>
    <row r="71" spans="1:14" s="253" customFormat="1" hidden="1" x14ac:dyDescent="0.25">
      <c r="A71" s="37"/>
      <c r="B71" s="6"/>
      <c r="C71" s="249"/>
      <c r="D71" s="249"/>
      <c r="E71" s="249"/>
      <c r="F71" s="249"/>
      <c r="G71" s="249"/>
      <c r="H71" s="249"/>
      <c r="I71" s="274"/>
      <c r="J71" s="110">
        <f t="shared" si="8"/>
        <v>0</v>
      </c>
      <c r="K71" s="6">
        <f>SUMIF(Ago!$G$3:$G$110,A71,Ago!$J$3:$J$110)</f>
        <v>0</v>
      </c>
      <c r="L71" s="226" t="e">
        <f t="shared" si="9"/>
        <v>#DIV/0!</v>
      </c>
      <c r="M71" s="253" t="e">
        <f t="shared" si="10"/>
        <v>#DIV/0!</v>
      </c>
      <c r="N71" s="323" t="e">
        <f t="shared" si="11"/>
        <v>#DIV/0!</v>
      </c>
    </row>
    <row r="72" spans="1:14" s="253" customFormat="1" hidden="1" x14ac:dyDescent="0.25">
      <c r="A72" s="37"/>
      <c r="B72" s="6"/>
      <c r="C72" s="249"/>
      <c r="D72" s="249"/>
      <c r="E72" s="249"/>
      <c r="F72" s="249"/>
      <c r="G72" s="249"/>
      <c r="H72" s="249"/>
      <c r="I72" s="274"/>
      <c r="J72" s="110">
        <f t="shared" si="8"/>
        <v>0</v>
      </c>
      <c r="K72" s="6">
        <f>SUMIF(Ago!$G$3:$G$110,A72,Ago!$J$3:$J$110)</f>
        <v>0</v>
      </c>
      <c r="L72" s="226" t="e">
        <f t="shared" si="9"/>
        <v>#DIV/0!</v>
      </c>
      <c r="M72" s="253" t="e">
        <f t="shared" si="10"/>
        <v>#DIV/0!</v>
      </c>
      <c r="N72" s="323" t="e">
        <f t="shared" si="11"/>
        <v>#DIV/0!</v>
      </c>
    </row>
    <row r="73" spans="1:14" s="253" customFormat="1" hidden="1" x14ac:dyDescent="0.25">
      <c r="A73" s="37"/>
      <c r="B73" s="6"/>
      <c r="C73" s="249"/>
      <c r="D73" s="249"/>
      <c r="E73" s="249"/>
      <c r="F73" s="249"/>
      <c r="G73" s="249"/>
      <c r="H73" s="249"/>
      <c r="I73" s="274"/>
      <c r="J73" s="110">
        <f t="shared" si="8"/>
        <v>0</v>
      </c>
      <c r="K73" s="6">
        <f>SUMIF(Ago!$G$3:$G$110,A73,Ago!$J$3:$J$110)</f>
        <v>0</v>
      </c>
      <c r="L73" s="226" t="e">
        <f t="shared" si="9"/>
        <v>#DIV/0!</v>
      </c>
      <c r="M73" s="253" t="e">
        <f t="shared" si="10"/>
        <v>#DIV/0!</v>
      </c>
      <c r="N73" s="323" t="e">
        <f t="shared" si="11"/>
        <v>#DIV/0!</v>
      </c>
    </row>
    <row r="74" spans="1:14" s="253" customFormat="1" hidden="1" x14ac:dyDescent="0.25">
      <c r="A74" s="37"/>
      <c r="B74" s="6"/>
      <c r="C74" s="249"/>
      <c r="D74" s="249"/>
      <c r="E74" s="249"/>
      <c r="F74" s="249"/>
      <c r="G74" s="249"/>
      <c r="H74" s="249"/>
      <c r="I74" s="274"/>
      <c r="J74" s="110">
        <f t="shared" si="8"/>
        <v>0</v>
      </c>
      <c r="K74" s="6">
        <f>SUMIF(Ago!$G$3:$G$110,A74,Ago!$J$3:$J$110)</f>
        <v>0</v>
      </c>
      <c r="L74" s="226" t="e">
        <f t="shared" si="9"/>
        <v>#DIV/0!</v>
      </c>
      <c r="M74" s="253" t="e">
        <f t="shared" si="10"/>
        <v>#DIV/0!</v>
      </c>
      <c r="N74" s="323" t="e">
        <f t="shared" si="11"/>
        <v>#DIV/0!</v>
      </c>
    </row>
    <row r="75" spans="1:14" s="253" customFormat="1" hidden="1" x14ac:dyDescent="0.25">
      <c r="A75" s="37"/>
      <c r="B75" s="6"/>
      <c r="C75" s="249"/>
      <c r="D75" s="249"/>
      <c r="E75" s="249"/>
      <c r="F75" s="249"/>
      <c r="G75" s="249"/>
      <c r="H75" s="249"/>
      <c r="I75" s="274"/>
      <c r="J75" s="110">
        <f t="shared" si="8"/>
        <v>0</v>
      </c>
      <c r="K75" s="6">
        <f>SUMIF(Ago!$G$3:$G$110,A75,Ago!$J$3:$J$110)</f>
        <v>0</v>
      </c>
      <c r="L75" s="226" t="e">
        <f t="shared" si="9"/>
        <v>#DIV/0!</v>
      </c>
      <c r="M75" s="253" t="e">
        <f t="shared" si="10"/>
        <v>#DIV/0!</v>
      </c>
      <c r="N75" s="323" t="e">
        <f t="shared" si="11"/>
        <v>#DIV/0!</v>
      </c>
    </row>
    <row r="76" spans="1:14" s="253" customFormat="1" hidden="1" x14ac:dyDescent="0.25">
      <c r="A76" s="37"/>
      <c r="B76" s="6"/>
      <c r="C76" s="249"/>
      <c r="D76" s="249"/>
      <c r="E76" s="249"/>
      <c r="F76" s="249"/>
      <c r="G76" s="249"/>
      <c r="H76" s="249"/>
      <c r="I76" s="274"/>
      <c r="J76" s="110">
        <f t="shared" si="8"/>
        <v>0</v>
      </c>
      <c r="K76" s="6">
        <f>SUMIF(Ago!$G$3:$G$110,A76,Ago!$J$3:$J$110)</f>
        <v>0</v>
      </c>
      <c r="L76" s="226" t="e">
        <f t="shared" si="9"/>
        <v>#DIV/0!</v>
      </c>
      <c r="M76" s="253" t="e">
        <f t="shared" si="10"/>
        <v>#DIV/0!</v>
      </c>
      <c r="N76" s="323" t="e">
        <f t="shared" si="11"/>
        <v>#DIV/0!</v>
      </c>
    </row>
    <row r="77" spans="1:14" s="253" customFormat="1" hidden="1" x14ac:dyDescent="0.25">
      <c r="A77" s="37"/>
      <c r="B77" s="6"/>
      <c r="C77" s="249"/>
      <c r="D77" s="249"/>
      <c r="E77" s="249"/>
      <c r="F77" s="249"/>
      <c r="G77" s="249"/>
      <c r="H77" s="249"/>
      <c r="I77" s="274"/>
      <c r="J77" s="110">
        <f t="shared" si="8"/>
        <v>0</v>
      </c>
      <c r="K77" s="6">
        <f>SUMIF(Ago!$G$3:$G$110,A77,Ago!$J$3:$J$110)</f>
        <v>0</v>
      </c>
      <c r="L77" s="226" t="e">
        <f t="shared" si="9"/>
        <v>#DIV/0!</v>
      </c>
      <c r="M77" s="253" t="e">
        <f t="shared" si="10"/>
        <v>#DIV/0!</v>
      </c>
      <c r="N77" s="323" t="e">
        <f t="shared" si="11"/>
        <v>#DIV/0!</v>
      </c>
    </row>
    <row r="78" spans="1:14" s="253" customFormat="1" hidden="1" x14ac:dyDescent="0.25">
      <c r="A78" s="37"/>
      <c r="B78" s="6"/>
      <c r="C78" s="249"/>
      <c r="D78" s="249"/>
      <c r="E78" s="249"/>
      <c r="F78" s="249"/>
      <c r="G78" s="249"/>
      <c r="H78" s="249"/>
      <c r="I78" s="274"/>
      <c r="J78" s="110">
        <f t="shared" si="8"/>
        <v>0</v>
      </c>
      <c r="K78" s="6">
        <f>SUMIF(Ago!$G$3:$G$110,A78,Ago!$J$3:$J$110)</f>
        <v>0</v>
      </c>
      <c r="L78" s="226" t="e">
        <f t="shared" si="9"/>
        <v>#DIV/0!</v>
      </c>
      <c r="M78" s="253" t="e">
        <f t="shared" si="10"/>
        <v>#DIV/0!</v>
      </c>
      <c r="N78" s="323" t="e">
        <f t="shared" si="11"/>
        <v>#DIV/0!</v>
      </c>
    </row>
    <row r="79" spans="1:14" s="253" customFormat="1" hidden="1" x14ac:dyDescent="0.25">
      <c r="A79" s="37"/>
      <c r="B79" s="6"/>
      <c r="C79" s="249"/>
      <c r="D79" s="249"/>
      <c r="E79" s="249"/>
      <c r="F79" s="249"/>
      <c r="G79" s="249"/>
      <c r="H79" s="249"/>
      <c r="I79" s="274"/>
      <c r="J79" s="110">
        <f t="shared" si="8"/>
        <v>0</v>
      </c>
      <c r="K79" s="6">
        <f>SUMIF(Ago!$G$3:$G$110,A79,Ago!$J$3:$J$110)</f>
        <v>0</v>
      </c>
      <c r="L79" s="226" t="e">
        <f t="shared" si="9"/>
        <v>#DIV/0!</v>
      </c>
      <c r="M79" s="253" t="e">
        <f t="shared" si="10"/>
        <v>#DIV/0!</v>
      </c>
      <c r="N79" s="323" t="e">
        <f t="shared" si="11"/>
        <v>#DIV/0!</v>
      </c>
    </row>
    <row r="80" spans="1:14" s="253" customFormat="1" hidden="1" x14ac:dyDescent="0.25">
      <c r="A80" s="37"/>
      <c r="B80" s="6"/>
      <c r="C80" s="249"/>
      <c r="D80" s="249"/>
      <c r="E80" s="249"/>
      <c r="F80" s="249"/>
      <c r="G80" s="249"/>
      <c r="H80" s="249"/>
      <c r="I80" s="274"/>
      <c r="J80" s="110">
        <f t="shared" si="8"/>
        <v>0</v>
      </c>
      <c r="K80" s="6">
        <f>SUMIF(Ago!$G$3:$G$110,A80,Ago!$J$3:$J$110)</f>
        <v>0</v>
      </c>
      <c r="L80" s="226" t="e">
        <f t="shared" si="9"/>
        <v>#DIV/0!</v>
      </c>
      <c r="M80" s="253" t="e">
        <f t="shared" si="10"/>
        <v>#DIV/0!</v>
      </c>
      <c r="N80" s="323" t="e">
        <f t="shared" si="11"/>
        <v>#DIV/0!</v>
      </c>
    </row>
    <row r="81" spans="1:14" s="253" customFormat="1" hidden="1" x14ac:dyDescent="0.25">
      <c r="A81" s="37"/>
      <c r="B81" s="6"/>
      <c r="C81" s="249"/>
      <c r="D81" s="249"/>
      <c r="E81" s="249"/>
      <c r="F81" s="249"/>
      <c r="G81" s="249"/>
      <c r="H81" s="249"/>
      <c r="I81" s="274"/>
      <c r="J81" s="110">
        <f t="shared" si="8"/>
        <v>0</v>
      </c>
      <c r="K81" s="6">
        <f>SUMIF(Ago!$G$3:$G$110,A81,Ago!$J$3:$J$110)</f>
        <v>0</v>
      </c>
      <c r="L81" s="226" t="e">
        <f t="shared" si="9"/>
        <v>#DIV/0!</v>
      </c>
      <c r="M81" s="253" t="e">
        <f t="shared" si="10"/>
        <v>#DIV/0!</v>
      </c>
      <c r="N81" s="323" t="e">
        <f t="shared" si="11"/>
        <v>#DIV/0!</v>
      </c>
    </row>
    <row r="82" spans="1:14" s="253" customFormat="1" hidden="1" x14ac:dyDescent="0.25">
      <c r="A82" s="37"/>
      <c r="B82" s="6"/>
      <c r="C82" s="249"/>
      <c r="D82" s="249"/>
      <c r="E82" s="249"/>
      <c r="F82" s="249"/>
      <c r="G82" s="249"/>
      <c r="H82" s="249"/>
      <c r="I82" s="274"/>
      <c r="J82" s="110">
        <f t="shared" si="8"/>
        <v>0</v>
      </c>
      <c r="K82" s="6">
        <f>SUMIF(Ago!$G$3:$G$110,A82,Ago!$J$3:$J$110)</f>
        <v>0</v>
      </c>
      <c r="L82" s="226" t="e">
        <f t="shared" si="9"/>
        <v>#DIV/0!</v>
      </c>
      <c r="M82" s="253" t="e">
        <f t="shared" si="10"/>
        <v>#DIV/0!</v>
      </c>
      <c r="N82" s="323" t="e">
        <f t="shared" si="11"/>
        <v>#DIV/0!</v>
      </c>
    </row>
    <row r="83" spans="1:14" s="253" customFormat="1" hidden="1" x14ac:dyDescent="0.25">
      <c r="A83" s="37"/>
      <c r="B83" s="6"/>
      <c r="C83" s="249"/>
      <c r="D83" s="249"/>
      <c r="E83" s="249"/>
      <c r="F83" s="249"/>
      <c r="G83" s="249"/>
      <c r="H83" s="249"/>
      <c r="I83" s="274"/>
      <c r="J83" s="110">
        <f t="shared" si="8"/>
        <v>0</v>
      </c>
      <c r="K83" s="6">
        <f>SUMIF(Ago!$G$3:$G$110,A83,Ago!$J$3:$J$110)</f>
        <v>0</v>
      </c>
      <c r="L83" s="226" t="e">
        <f t="shared" si="9"/>
        <v>#DIV/0!</v>
      </c>
      <c r="M83" s="253" t="e">
        <f t="shared" si="10"/>
        <v>#DIV/0!</v>
      </c>
      <c r="N83" s="323" t="e">
        <f t="shared" si="11"/>
        <v>#DIV/0!</v>
      </c>
    </row>
    <row r="84" spans="1:14" s="253" customFormat="1" hidden="1" x14ac:dyDescent="0.25">
      <c r="A84" s="37"/>
      <c r="B84" s="6"/>
      <c r="C84" s="249"/>
      <c r="D84" s="249"/>
      <c r="E84" s="249"/>
      <c r="F84" s="249"/>
      <c r="G84" s="249"/>
      <c r="H84" s="249"/>
      <c r="I84" s="274"/>
      <c r="J84" s="110">
        <f t="shared" si="8"/>
        <v>0</v>
      </c>
      <c r="K84" s="6">
        <f>SUMIF(Ago!$G$3:$G$110,A84,Ago!$J$3:$J$110)</f>
        <v>0</v>
      </c>
      <c r="L84" s="226" t="e">
        <f t="shared" si="9"/>
        <v>#DIV/0!</v>
      </c>
      <c r="M84" s="253" t="e">
        <f t="shared" si="10"/>
        <v>#DIV/0!</v>
      </c>
      <c r="N84" s="323" t="e">
        <f t="shared" si="11"/>
        <v>#DIV/0!</v>
      </c>
    </row>
    <row r="85" spans="1:14" s="253" customFormat="1" hidden="1" x14ac:dyDescent="0.25">
      <c r="A85" s="37"/>
      <c r="B85" s="6"/>
      <c r="C85" s="249"/>
      <c r="D85" s="249"/>
      <c r="E85" s="249"/>
      <c r="F85" s="249"/>
      <c r="G85" s="249"/>
      <c r="H85" s="249"/>
      <c r="I85" s="274"/>
      <c r="J85" s="110">
        <f t="shared" si="8"/>
        <v>0</v>
      </c>
      <c r="K85" s="6">
        <f>SUMIF(Ago!$G$3:$G$110,A85,Ago!$J$3:$J$110)</f>
        <v>0</v>
      </c>
      <c r="L85" s="226" t="e">
        <f t="shared" si="9"/>
        <v>#DIV/0!</v>
      </c>
      <c r="M85" s="253" t="e">
        <f t="shared" si="10"/>
        <v>#DIV/0!</v>
      </c>
      <c r="N85" s="323" t="e">
        <f t="shared" si="11"/>
        <v>#DIV/0!</v>
      </c>
    </row>
    <row r="86" spans="1:14" s="253" customFormat="1" hidden="1" x14ac:dyDescent="0.25">
      <c r="A86" s="37"/>
      <c r="B86" s="6"/>
      <c r="C86" s="249"/>
      <c r="D86" s="249"/>
      <c r="E86" s="249"/>
      <c r="F86" s="249"/>
      <c r="G86" s="249"/>
      <c r="H86" s="249"/>
      <c r="I86" s="274"/>
      <c r="J86" s="110">
        <f t="shared" si="8"/>
        <v>0</v>
      </c>
      <c r="K86" s="6">
        <f>SUMIF(Ago!$G$3:$G$110,A86,Ago!$J$3:$J$110)</f>
        <v>0</v>
      </c>
      <c r="L86" s="226" t="e">
        <f t="shared" si="9"/>
        <v>#DIV/0!</v>
      </c>
      <c r="M86" s="253" t="e">
        <f t="shared" si="10"/>
        <v>#DIV/0!</v>
      </c>
      <c r="N86" s="323" t="e">
        <f t="shared" si="11"/>
        <v>#DIV/0!</v>
      </c>
    </row>
    <row r="87" spans="1:14" s="253" customFormat="1" hidden="1" x14ac:dyDescent="0.25">
      <c r="A87" s="37"/>
      <c r="B87" s="6"/>
      <c r="C87" s="249"/>
      <c r="D87" s="249"/>
      <c r="E87" s="249"/>
      <c r="F87" s="249"/>
      <c r="G87" s="249"/>
      <c r="H87" s="249"/>
      <c r="I87" s="274"/>
      <c r="J87" s="110">
        <f t="shared" si="8"/>
        <v>0</v>
      </c>
      <c r="K87" s="6">
        <f>SUMIF(Ago!$G$3:$G$110,A87,Ago!$J$3:$J$110)</f>
        <v>0</v>
      </c>
      <c r="L87" s="226" t="e">
        <f t="shared" si="9"/>
        <v>#DIV/0!</v>
      </c>
      <c r="M87" s="253" t="e">
        <f t="shared" si="10"/>
        <v>#DIV/0!</v>
      </c>
      <c r="N87" s="323" t="e">
        <f t="shared" si="11"/>
        <v>#DIV/0!</v>
      </c>
    </row>
    <row r="88" spans="1:14" s="253" customFormat="1" hidden="1" x14ac:dyDescent="0.25">
      <c r="A88" s="37"/>
      <c r="B88" s="6"/>
      <c r="C88" s="249"/>
      <c r="D88" s="249"/>
      <c r="E88" s="249"/>
      <c r="F88" s="249"/>
      <c r="G88" s="249"/>
      <c r="H88" s="249"/>
      <c r="I88" s="274"/>
      <c r="J88" s="110">
        <f t="shared" si="8"/>
        <v>0</v>
      </c>
      <c r="K88" s="6">
        <f>SUMIF(Ago!$G$3:$G$110,A88,Ago!$J$3:$J$110)</f>
        <v>0</v>
      </c>
      <c r="L88" s="226" t="e">
        <f t="shared" si="9"/>
        <v>#DIV/0!</v>
      </c>
      <c r="M88" s="253" t="e">
        <f t="shared" si="10"/>
        <v>#DIV/0!</v>
      </c>
      <c r="N88" s="323" t="e">
        <f t="shared" si="11"/>
        <v>#DIV/0!</v>
      </c>
    </row>
    <row r="89" spans="1:14" s="253" customFormat="1" hidden="1" x14ac:dyDescent="0.25">
      <c r="A89" s="37"/>
      <c r="B89" s="6"/>
      <c r="C89" s="249"/>
      <c r="D89" s="249"/>
      <c r="E89" s="249"/>
      <c r="F89" s="249"/>
      <c r="G89" s="249"/>
      <c r="H89" s="249"/>
      <c r="I89" s="274"/>
      <c r="J89" s="110">
        <f t="shared" si="8"/>
        <v>0</v>
      </c>
      <c r="K89" s="6">
        <f>SUMIF(Ago!$G$3:$G$110,A89,Ago!$J$3:$J$110)</f>
        <v>0</v>
      </c>
      <c r="L89" s="226" t="e">
        <f t="shared" si="9"/>
        <v>#DIV/0!</v>
      </c>
      <c r="M89" s="253" t="e">
        <f t="shared" si="10"/>
        <v>#DIV/0!</v>
      </c>
      <c r="N89" s="323" t="e">
        <f t="shared" si="11"/>
        <v>#DIV/0!</v>
      </c>
    </row>
    <row r="90" spans="1:14" s="253" customFormat="1" hidden="1" x14ac:dyDescent="0.25">
      <c r="A90" s="37"/>
      <c r="B90" s="6"/>
      <c r="C90" s="249"/>
      <c r="D90" s="249"/>
      <c r="E90" s="249"/>
      <c r="F90" s="249"/>
      <c r="G90" s="249"/>
      <c r="H90" s="249"/>
      <c r="I90" s="274"/>
      <c r="J90" s="110">
        <f t="shared" si="8"/>
        <v>0</v>
      </c>
      <c r="K90" s="6">
        <f>SUMIF(Ago!$G$3:$G$110,A90,Ago!$J$3:$J$110)</f>
        <v>0</v>
      </c>
      <c r="L90" s="226" t="e">
        <f t="shared" si="9"/>
        <v>#DIV/0!</v>
      </c>
      <c r="M90" s="253" t="e">
        <f t="shared" si="10"/>
        <v>#DIV/0!</v>
      </c>
      <c r="N90" s="323" t="e">
        <f t="shared" si="11"/>
        <v>#DIV/0!</v>
      </c>
    </row>
    <row r="91" spans="1:14" s="253" customFormat="1" hidden="1" x14ac:dyDescent="0.25">
      <c r="A91" s="37"/>
      <c r="B91" s="6"/>
      <c r="C91" s="249"/>
      <c r="D91" s="249"/>
      <c r="E91" s="249"/>
      <c r="F91" s="249"/>
      <c r="G91" s="249"/>
      <c r="H91" s="249"/>
      <c r="I91" s="274"/>
      <c r="J91" s="110">
        <f t="shared" si="8"/>
        <v>0</v>
      </c>
      <c r="K91" s="6">
        <f>SUMIF(Ago!$G$3:$G$110,A91,Ago!$J$3:$J$110)</f>
        <v>0</v>
      </c>
      <c r="L91" s="226"/>
      <c r="N91" s="323"/>
    </row>
    <row r="92" spans="1:14" s="253" customFormat="1" hidden="1" x14ac:dyDescent="0.25">
      <c r="A92" s="37"/>
      <c r="B92" s="6"/>
      <c r="C92" s="249"/>
      <c r="D92" s="249"/>
      <c r="E92" s="249"/>
      <c r="F92" s="249"/>
      <c r="G92" s="249"/>
      <c r="H92" s="249"/>
      <c r="I92" s="274"/>
      <c r="J92" s="110">
        <f t="shared" si="8"/>
        <v>0</v>
      </c>
      <c r="K92" s="6">
        <f>SUMIF(Ago!$G$3:$G$110,A92,Ago!$J$3:$J$110)</f>
        <v>0</v>
      </c>
      <c r="L92" s="226"/>
      <c r="N92" s="323"/>
    </row>
    <row r="93" spans="1:14" s="253" customFormat="1" hidden="1" x14ac:dyDescent="0.25">
      <c r="A93" s="37"/>
      <c r="B93" s="6"/>
      <c r="C93" s="249"/>
      <c r="D93" s="249"/>
      <c r="E93" s="249"/>
      <c r="F93" s="249"/>
      <c r="G93" s="249"/>
      <c r="H93" s="249"/>
      <c r="I93" s="274"/>
      <c r="J93" s="110">
        <f t="shared" si="8"/>
        <v>0</v>
      </c>
      <c r="K93" s="6">
        <f>SUMIF(Ago!$G$3:$G$110,A93,Ago!$J$3:$J$110)</f>
        <v>0</v>
      </c>
      <c r="L93" s="226"/>
      <c r="N93" s="323"/>
    </row>
    <row r="94" spans="1:14" s="253" customFormat="1" hidden="1" x14ac:dyDescent="0.25">
      <c r="A94" s="37"/>
      <c r="B94" s="6"/>
      <c r="C94" s="249"/>
      <c r="D94" s="249"/>
      <c r="E94" s="249"/>
      <c r="F94" s="249"/>
      <c r="G94" s="249"/>
      <c r="H94" s="249"/>
      <c r="I94" s="274"/>
      <c r="J94" s="110">
        <f t="shared" si="8"/>
        <v>0</v>
      </c>
      <c r="K94" s="6">
        <f>SUMIF(Ago!$G$3:$G$110,A94,Ago!$J$3:$J$110)</f>
        <v>0</v>
      </c>
      <c r="L94" s="226"/>
      <c r="N94" s="323"/>
    </row>
    <row r="95" spans="1:14" s="253" customFormat="1" hidden="1" x14ac:dyDescent="0.25">
      <c r="A95" s="37"/>
      <c r="B95" s="6"/>
      <c r="C95" s="249"/>
      <c r="D95" s="249"/>
      <c r="E95" s="249"/>
      <c r="F95" s="249"/>
      <c r="G95" s="249"/>
      <c r="H95" s="249"/>
      <c r="I95" s="274"/>
      <c r="J95" s="110">
        <f t="shared" si="8"/>
        <v>0</v>
      </c>
      <c r="K95" s="6">
        <f>SUMIF(Ago!$G$3:$G$110,A95,Ago!$J$3:$J$110)</f>
        <v>0</v>
      </c>
      <c r="L95" s="226"/>
      <c r="N95" s="323"/>
    </row>
    <row r="96" spans="1:14" hidden="1" x14ac:dyDescent="0.25">
      <c r="A96" s="37"/>
      <c r="B96" s="6"/>
      <c r="C96" s="249"/>
      <c r="D96" s="249"/>
      <c r="E96" s="249"/>
      <c r="F96" s="248"/>
      <c r="G96" s="248"/>
      <c r="H96" s="249"/>
      <c r="I96" s="274"/>
      <c r="J96" s="110">
        <f t="shared" si="8"/>
        <v>0</v>
      </c>
      <c r="K96" s="6">
        <f>SUMIF(Ago!$G$3:$G$110,A96,Ago!$J$3:$J$110)</f>
        <v>0</v>
      </c>
      <c r="L96" s="226"/>
      <c r="M96" s="253"/>
      <c r="N96" s="323"/>
    </row>
    <row r="97" spans="1:14" hidden="1" x14ac:dyDescent="0.25">
      <c r="A97" s="37"/>
      <c r="B97" s="6"/>
      <c r="C97" s="249"/>
      <c r="D97" s="249"/>
      <c r="E97" s="249"/>
      <c r="F97" s="6"/>
      <c r="G97" s="6"/>
      <c r="H97" s="249"/>
      <c r="I97" s="274"/>
      <c r="J97" s="110">
        <f t="shared" si="8"/>
        <v>0</v>
      </c>
      <c r="K97" s="6">
        <f>SUMIF(Ago!$G$3:$G$110,A97,Ago!$J$3:$J$110)</f>
        <v>0</v>
      </c>
      <c r="L97" s="226"/>
      <c r="M97" s="253"/>
      <c r="N97" s="323"/>
    </row>
    <row r="98" spans="1:14" hidden="1" x14ac:dyDescent="0.25">
      <c r="A98" s="37"/>
      <c r="B98" s="6"/>
      <c r="C98" s="249"/>
      <c r="D98" s="249"/>
      <c r="E98" s="249"/>
      <c r="F98" s="248"/>
      <c r="G98" s="248"/>
      <c r="H98" s="249"/>
      <c r="I98" s="274"/>
      <c r="J98" s="110">
        <f t="shared" si="8"/>
        <v>0</v>
      </c>
      <c r="K98" s="6">
        <f>SUMIF(Ago!$G$3:$G$110,A98,Ago!$J$3:$J$110)</f>
        <v>0</v>
      </c>
      <c r="L98" s="226"/>
      <c r="M98" s="253"/>
      <c r="N98" s="323"/>
    </row>
    <row r="99" spans="1:14" hidden="1" x14ac:dyDescent="0.25">
      <c r="A99" s="37"/>
      <c r="B99" s="6"/>
      <c r="C99" s="249"/>
      <c r="D99" s="249"/>
      <c r="E99" s="249"/>
      <c r="F99" s="249"/>
      <c r="G99" s="249"/>
      <c r="H99" s="249"/>
      <c r="I99" s="274"/>
      <c r="J99" s="110">
        <f t="shared" si="8"/>
        <v>0</v>
      </c>
      <c r="K99" s="6">
        <f>SUMIF(Ago!$G$3:$G$110,A99,Ago!$J$3:$J$110)</f>
        <v>0</v>
      </c>
      <c r="L99" s="226"/>
      <c r="M99" s="253"/>
      <c r="N99" s="323"/>
    </row>
    <row r="100" spans="1:14" hidden="1" x14ac:dyDescent="0.25">
      <c r="A100" s="37"/>
      <c r="B100" s="6"/>
      <c r="C100" s="249"/>
      <c r="D100" s="249"/>
      <c r="E100" s="249"/>
      <c r="F100" s="249"/>
      <c r="G100" s="249"/>
      <c r="H100" s="249"/>
      <c r="I100" s="274"/>
      <c r="J100" s="110">
        <f t="shared" si="8"/>
        <v>0</v>
      </c>
      <c r="K100" s="6">
        <f>SUMIF(Ago!$G$3:$G$110,A100,Ago!$J$3:$J$110)</f>
        <v>0</v>
      </c>
      <c r="L100" s="226"/>
      <c r="M100" s="253"/>
      <c r="N100" s="323"/>
    </row>
    <row r="101" spans="1:14" hidden="1" x14ac:dyDescent="0.25">
      <c r="A101" s="37"/>
      <c r="B101" s="6"/>
      <c r="C101" s="249"/>
      <c r="D101" s="249"/>
      <c r="E101" s="249"/>
      <c r="F101" s="6"/>
      <c r="G101" s="6"/>
      <c r="H101" s="249"/>
      <c r="I101" s="249"/>
      <c r="J101" s="110">
        <f t="shared" ref="J101:J110" si="12">G101-F101</f>
        <v>0</v>
      </c>
      <c r="K101" s="6">
        <f>SUMIF(Ago!$G$3:$G$110,A101,Ago!$J$3:$J$110)</f>
        <v>0</v>
      </c>
      <c r="L101" s="226"/>
      <c r="M101" s="253"/>
      <c r="N101" s="323"/>
    </row>
    <row r="102" spans="1:14" hidden="1" x14ac:dyDescent="0.25">
      <c r="A102" s="37"/>
      <c r="B102" s="6"/>
      <c r="C102" s="249"/>
      <c r="D102" s="249"/>
      <c r="E102" s="249"/>
      <c r="F102" s="6"/>
      <c r="G102" s="6"/>
      <c r="H102" s="249"/>
      <c r="I102" s="249"/>
      <c r="J102" s="110">
        <f t="shared" si="12"/>
        <v>0</v>
      </c>
      <c r="K102" s="6">
        <f>SUMIF(Ago!$G$3:$G$110,A102,Ago!$J$3:$J$110)</f>
        <v>0</v>
      </c>
      <c r="L102" s="226"/>
      <c r="M102" s="253"/>
      <c r="N102" s="323"/>
    </row>
    <row r="103" spans="1:14" hidden="1" x14ac:dyDescent="0.25">
      <c r="A103" s="37"/>
      <c r="B103" s="6"/>
      <c r="C103" s="249"/>
      <c r="D103" s="249"/>
      <c r="E103" s="249"/>
      <c r="F103" s="6"/>
      <c r="G103" s="6"/>
      <c r="H103" s="249"/>
      <c r="I103" s="249"/>
      <c r="J103" s="110">
        <f t="shared" si="12"/>
        <v>0</v>
      </c>
      <c r="K103" s="6">
        <f>SUMIF(Ago!$G$3:$G$110,A103,Ago!$J$3:$J$110)</f>
        <v>0</v>
      </c>
      <c r="L103" s="226"/>
      <c r="M103" s="253"/>
      <c r="N103" s="323"/>
    </row>
    <row r="104" spans="1:14" hidden="1" x14ac:dyDescent="0.25">
      <c r="A104" s="254"/>
      <c r="B104" s="255"/>
      <c r="C104" s="256"/>
      <c r="D104" s="256"/>
      <c r="E104" s="256"/>
      <c r="F104" s="255"/>
      <c r="G104" s="255"/>
      <c r="H104" s="256"/>
      <c r="I104" s="256"/>
      <c r="J104" s="110">
        <f t="shared" si="12"/>
        <v>0</v>
      </c>
      <c r="K104" s="6">
        <f>SUMIF(Ago!$G$3:$G$110,A104,Ago!$J$3:$J$110)</f>
        <v>0</v>
      </c>
      <c r="L104" s="226"/>
      <c r="M104" s="253"/>
      <c r="N104" s="323"/>
    </row>
    <row r="105" spans="1:14" hidden="1" x14ac:dyDescent="0.25">
      <c r="A105" s="37"/>
      <c r="B105" s="6"/>
      <c r="C105" s="249"/>
      <c r="D105" s="249"/>
      <c r="E105" s="249"/>
      <c r="F105" s="6"/>
      <c r="G105" s="6"/>
      <c r="H105" s="249"/>
      <c r="I105" s="249"/>
      <c r="J105" s="110">
        <f t="shared" si="12"/>
        <v>0</v>
      </c>
      <c r="K105" s="6">
        <f>SUMIF(Ago!$G$3:$G$110,A105,Ago!$J$3:$J$110)</f>
        <v>0</v>
      </c>
      <c r="L105" s="226"/>
      <c r="M105" s="253"/>
      <c r="N105" s="253"/>
    </row>
    <row r="106" spans="1:14" hidden="1" x14ac:dyDescent="0.25">
      <c r="A106" s="6"/>
      <c r="B106" s="6"/>
      <c r="C106" s="249"/>
      <c r="D106" s="249"/>
      <c r="E106" s="249"/>
      <c r="F106" s="6"/>
      <c r="G106" s="6"/>
      <c r="H106" s="249"/>
      <c r="I106" s="249"/>
      <c r="J106" s="110">
        <f t="shared" si="12"/>
        <v>0</v>
      </c>
      <c r="K106" s="6">
        <f>SUMIF(Ago!$G$3:$G$110,A106,Ago!$J$3:$J$110)</f>
        <v>0</v>
      </c>
      <c r="L106" s="226"/>
      <c r="M106" s="253"/>
      <c r="N106" s="253"/>
    </row>
    <row r="107" spans="1:14" hidden="1" x14ac:dyDescent="0.25">
      <c r="A107" s="6"/>
      <c r="B107" s="6"/>
      <c r="C107" s="249"/>
      <c r="D107" s="249"/>
      <c r="E107" s="249"/>
      <c r="F107" s="6"/>
      <c r="G107" s="6"/>
      <c r="H107" s="249"/>
      <c r="I107" s="249"/>
      <c r="J107" s="110">
        <f t="shared" si="12"/>
        <v>0</v>
      </c>
      <c r="K107" s="6">
        <f>SUMIF(Ago!$G$3:$G$110,A107,Ago!$J$3:$J$110)</f>
        <v>0</v>
      </c>
      <c r="L107" s="226"/>
      <c r="M107" s="253"/>
      <c r="N107" s="253"/>
    </row>
    <row r="108" spans="1:14" hidden="1" x14ac:dyDescent="0.25">
      <c r="A108" s="6"/>
      <c r="B108" s="6"/>
      <c r="C108" s="249"/>
      <c r="D108" s="249"/>
      <c r="E108" s="249"/>
      <c r="F108" s="6"/>
      <c r="G108" s="6"/>
      <c r="H108" s="249"/>
      <c r="I108" s="249"/>
      <c r="J108" s="110">
        <f t="shared" si="12"/>
        <v>0</v>
      </c>
      <c r="K108" s="6">
        <f>SUMIF(Ago!$G$3:$G$110,A108,Ago!$J$3:$J$110)</f>
        <v>0</v>
      </c>
      <c r="L108" s="226"/>
      <c r="M108" s="253"/>
      <c r="N108" s="253"/>
    </row>
    <row r="109" spans="1:14" hidden="1" x14ac:dyDescent="0.25">
      <c r="A109" s="6"/>
      <c r="B109" s="6"/>
      <c r="C109" s="249"/>
      <c r="D109" s="249"/>
      <c r="E109" s="249"/>
      <c r="F109" s="6"/>
      <c r="G109" s="6"/>
      <c r="H109" s="249"/>
      <c r="I109" s="249"/>
      <c r="J109" s="110">
        <f t="shared" si="12"/>
        <v>0</v>
      </c>
      <c r="K109" s="6">
        <f>SUMIF(Ago!$G$3:$G$110,A109,Ago!$J$3:$J$110)</f>
        <v>0</v>
      </c>
      <c r="L109" s="226"/>
      <c r="M109" s="253"/>
      <c r="N109" s="253"/>
    </row>
    <row r="110" spans="1:14" hidden="1" x14ac:dyDescent="0.25">
      <c r="A110" s="6"/>
      <c r="B110" s="6"/>
      <c r="C110" s="249"/>
      <c r="D110" s="249"/>
      <c r="E110" s="249"/>
      <c r="F110" s="6"/>
      <c r="G110" s="6"/>
      <c r="H110" s="249"/>
      <c r="I110" s="249"/>
      <c r="J110" s="110">
        <f t="shared" si="12"/>
        <v>0</v>
      </c>
      <c r="K110" s="6">
        <f>SUMIF(Ago!$G$3:$G$110,A110,Ago!$J$3:$J$110)</f>
        <v>0</v>
      </c>
      <c r="L110" s="226"/>
      <c r="M110" s="253"/>
      <c r="N110" s="253"/>
    </row>
    <row r="111" spans="1:14" hidden="1" x14ac:dyDescent="0.25">
      <c r="J111" s="110">
        <f>SUM(J5:J110)</f>
        <v>177</v>
      </c>
      <c r="K111" s="110">
        <f>SUM(K5:K110)</f>
        <v>189</v>
      </c>
      <c r="M111" s="194" t="e">
        <f>SUM(M5:M110)</f>
        <v>#DIV/0!</v>
      </c>
      <c r="N111" s="194" t="e">
        <f>+M111-J111</f>
        <v>#DIV/0!</v>
      </c>
    </row>
    <row r="121" spans="1:9" x14ac:dyDescent="0.25">
      <c r="A121" s="37"/>
      <c r="B121" s="6"/>
      <c r="C121" s="249"/>
      <c r="D121" s="249"/>
      <c r="E121" s="249"/>
      <c r="F121" s="249"/>
      <c r="G121" s="249"/>
      <c r="H121" s="249"/>
      <c r="I121" s="274"/>
    </row>
    <row r="122" spans="1:9" x14ac:dyDescent="0.25">
      <c r="A122" s="37"/>
      <c r="B122" s="6"/>
      <c r="C122" s="249"/>
      <c r="D122" s="249"/>
      <c r="E122" s="249"/>
      <c r="F122" s="249"/>
      <c r="G122" s="249"/>
      <c r="H122" s="249"/>
      <c r="I122" s="274"/>
    </row>
    <row r="123" spans="1:9" x14ac:dyDescent="0.25">
      <c r="A123" s="37"/>
      <c r="B123" s="6"/>
      <c r="C123" s="249"/>
      <c r="D123" s="249"/>
      <c r="E123" s="249"/>
      <c r="F123" s="249"/>
      <c r="G123" s="249"/>
      <c r="H123" s="249"/>
      <c r="I123" s="274"/>
    </row>
    <row r="129" spans="1:9" x14ac:dyDescent="0.25">
      <c r="A129" s="37">
        <v>1279844007</v>
      </c>
      <c r="B129" s="6" t="s">
        <v>259</v>
      </c>
      <c r="C129" s="249" t="s">
        <v>247</v>
      </c>
      <c r="D129" s="249" t="s">
        <v>359</v>
      </c>
      <c r="E129" s="249">
        <v>43633.456944444442</v>
      </c>
      <c r="F129" s="249">
        <v>43705</v>
      </c>
      <c r="G129" s="249">
        <v>43711</v>
      </c>
      <c r="H129" s="249" t="s">
        <v>656</v>
      </c>
      <c r="I129" s="274">
        <v>1320</v>
      </c>
    </row>
    <row r="130" spans="1:9" x14ac:dyDescent="0.25">
      <c r="A130" s="37">
        <v>1305097443</v>
      </c>
      <c r="B130" s="6" t="s">
        <v>259</v>
      </c>
      <c r="C130" s="249" t="s">
        <v>247</v>
      </c>
      <c r="D130" s="249" t="s">
        <v>307</v>
      </c>
      <c r="E130" s="249">
        <v>43667.833333333336</v>
      </c>
      <c r="F130" s="249">
        <v>43678</v>
      </c>
      <c r="G130" s="249">
        <v>43679</v>
      </c>
      <c r="H130" s="249" t="s">
        <v>659</v>
      </c>
      <c r="I130" s="274">
        <v>195</v>
      </c>
    </row>
    <row r="132" spans="1:9" x14ac:dyDescent="0.25">
      <c r="A132" s="194">
        <v>1905254561764</v>
      </c>
      <c r="B132" s="194" t="s">
        <v>259</v>
      </c>
      <c r="C132" s="194" t="s">
        <v>248</v>
      </c>
      <c r="D132" s="253" t="s">
        <v>306</v>
      </c>
      <c r="E132" s="194">
        <v>43610.470775462964</v>
      </c>
      <c r="F132" s="194">
        <v>43684</v>
      </c>
      <c r="G132" s="194">
        <v>43686</v>
      </c>
      <c r="H132" s="194" t="s">
        <v>699</v>
      </c>
      <c r="I132" s="194">
        <v>418</v>
      </c>
    </row>
    <row r="133" spans="1:9" x14ac:dyDescent="0.25">
      <c r="A133" s="194">
        <v>1908074814893</v>
      </c>
      <c r="B133" s="194" t="s">
        <v>259</v>
      </c>
      <c r="C133" s="194" t="s">
        <v>248</v>
      </c>
      <c r="D133" s="253" t="s">
        <v>306</v>
      </c>
      <c r="E133" s="194">
        <v>43684.350162037037</v>
      </c>
      <c r="F133" s="194">
        <v>43687</v>
      </c>
      <c r="G133" s="194">
        <v>43688</v>
      </c>
      <c r="H133" s="194" t="s">
        <v>701</v>
      </c>
      <c r="I133" s="194">
        <v>370.5</v>
      </c>
    </row>
  </sheetData>
  <autoFilter ref="A4:N111">
    <filterColumn colId="0">
      <filters>
        <filter val="1305097443"/>
      </filters>
    </filterColumn>
  </autoFilter>
  <sortState ref="A5:I58">
    <sortCondition ref="C5:C58"/>
    <sortCondition ref="F5:F5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20"/>
  <sheetViews>
    <sheetView zoomScale="70" zoomScaleNormal="70" workbookViewId="0">
      <selection activeCell="L78" sqref="L78"/>
    </sheetView>
  </sheetViews>
  <sheetFormatPr baseColWidth="10" defaultRowHeight="15" x14ac:dyDescent="0.25"/>
  <cols>
    <col min="1" max="1" width="15.28515625" style="53" customWidth="1"/>
    <col min="2" max="2" width="24.140625" style="53" customWidth="1"/>
    <col min="3" max="3" width="11.7109375" style="53" customWidth="1"/>
    <col min="4" max="4" width="9.28515625" style="53" customWidth="1"/>
    <col min="5" max="5" width="21.28515625" style="53" customWidth="1"/>
    <col min="6" max="6" width="9.85546875" style="53" customWidth="1"/>
    <col min="7" max="7" width="21.28515625" style="53" customWidth="1"/>
    <col min="8" max="8" width="13.28515625" style="53" customWidth="1"/>
    <col min="9" max="9" width="18.85546875" style="147" customWidth="1"/>
    <col min="10" max="10" width="15.28515625" style="147" customWidth="1"/>
    <col min="11" max="11" width="13.28515625" style="53" customWidth="1"/>
    <col min="12" max="12" width="21" style="147" customWidth="1"/>
    <col min="13" max="13" width="14.28515625" style="53" customWidth="1"/>
    <col min="14" max="14" width="14.7109375" style="53" customWidth="1"/>
    <col min="15" max="15" width="12.5703125" style="53" customWidth="1"/>
    <col min="16" max="16" width="9.28515625" style="53" customWidth="1"/>
    <col min="17" max="17" width="12.85546875" style="53" customWidth="1"/>
    <col min="18" max="18" width="14.7109375" style="53" customWidth="1"/>
    <col min="19" max="19" width="13.28515625" style="53" customWidth="1"/>
    <col min="20" max="20" width="7.28515625" style="53" customWidth="1"/>
    <col min="21" max="21" width="10.28515625" style="53" customWidth="1"/>
    <col min="22" max="22" width="11.85546875" style="53" customWidth="1"/>
    <col min="23" max="23" width="18.28515625" style="53" customWidth="1"/>
    <col min="24" max="35" width="7.28515625" style="53" customWidth="1"/>
    <col min="36" max="228" width="9.140625" style="53" customWidth="1"/>
    <col min="229" max="229" width="30.140625" style="53" customWidth="1"/>
    <col min="230" max="230" width="52.140625" style="53" customWidth="1"/>
    <col min="231" max="231" width="47.7109375" style="53" customWidth="1"/>
    <col min="232" max="232" width="13.28515625" style="53" customWidth="1"/>
    <col min="233" max="233" width="9.85546875" style="53" customWidth="1"/>
    <col min="234" max="234" width="17.140625" style="53" customWidth="1"/>
    <col min="235" max="235" width="9.140625" style="53" customWidth="1"/>
    <col min="236" max="236" width="10.85546875" style="53" customWidth="1"/>
    <col min="237" max="237" width="11.28515625" style="53" customWidth="1"/>
    <col min="238" max="238" width="16.28515625" style="53" customWidth="1"/>
    <col min="239" max="239" width="8.28515625" style="53" customWidth="1"/>
    <col min="240" max="240" width="10.28515625" style="53" customWidth="1"/>
    <col min="241" max="241" width="11.28515625" style="53" customWidth="1"/>
    <col min="242" max="242" width="9.7109375" style="53" customWidth="1"/>
    <col min="243" max="484" width="9.140625" style="53" customWidth="1"/>
    <col min="485" max="485" width="30.140625" style="53" customWidth="1"/>
    <col min="486" max="486" width="52.140625" style="53" customWidth="1"/>
    <col min="487" max="487" width="47.7109375" style="53" customWidth="1"/>
    <col min="488" max="488" width="13.28515625" style="53" customWidth="1"/>
    <col min="489" max="489" width="9.85546875" style="53" customWidth="1"/>
    <col min="490" max="490" width="17.140625" style="53" customWidth="1"/>
    <col min="491" max="491" width="9.140625" style="53" customWidth="1"/>
    <col min="492" max="492" width="10.85546875" style="53" customWidth="1"/>
    <col min="493" max="493" width="11.28515625" style="53" customWidth="1"/>
    <col min="494" max="494" width="16.28515625" style="53" customWidth="1"/>
    <col min="495" max="495" width="8.28515625" style="53" customWidth="1"/>
    <col min="496" max="496" width="10.28515625" style="53" customWidth="1"/>
    <col min="497" max="497" width="11.28515625" style="53" customWidth="1"/>
    <col min="498" max="498" width="9.7109375" style="53" customWidth="1"/>
    <col min="499" max="740" width="9.140625" style="53" customWidth="1"/>
    <col min="741" max="741" width="30.140625" style="53" customWidth="1"/>
    <col min="742" max="742" width="52.140625" style="53" customWidth="1"/>
    <col min="743" max="743" width="47.7109375" style="53" customWidth="1"/>
    <col min="744" max="744" width="13.28515625" style="53" customWidth="1"/>
    <col min="745" max="745" width="9.85546875" style="53" customWidth="1"/>
    <col min="746" max="746" width="17.140625" style="53" customWidth="1"/>
    <col min="747" max="747" width="9.140625" style="53" customWidth="1"/>
    <col min="748" max="748" width="10.85546875" style="53" customWidth="1"/>
    <col min="749" max="749" width="11.28515625" style="53" customWidth="1"/>
    <col min="750" max="750" width="16.28515625" style="53" customWidth="1"/>
    <col min="751" max="751" width="8.28515625" style="53" customWidth="1"/>
    <col min="752" max="752" width="10.28515625" style="53" customWidth="1"/>
    <col min="753" max="753" width="11.28515625" style="53" customWidth="1"/>
    <col min="754" max="754" width="9.7109375" style="53" customWidth="1"/>
    <col min="755" max="996" width="9.140625" style="53" customWidth="1"/>
    <col min="997" max="997" width="30.140625" style="53" customWidth="1"/>
    <col min="998" max="998" width="52.140625" style="53" customWidth="1"/>
    <col min="999" max="999" width="47.7109375" style="53" customWidth="1"/>
    <col min="1000" max="1000" width="13.28515625" style="53" customWidth="1"/>
    <col min="1001" max="1001" width="9.85546875" style="53" customWidth="1"/>
    <col min="1002" max="1002" width="17.140625" style="53" customWidth="1"/>
    <col min="1003" max="1003" width="9.140625" style="53" customWidth="1"/>
    <col min="1004" max="1004" width="10.85546875" style="53" customWidth="1"/>
    <col min="1005" max="1005" width="11.28515625" style="53" customWidth="1"/>
    <col min="1006" max="1006" width="16.28515625" style="53" customWidth="1"/>
    <col min="1007" max="1007" width="8.28515625" style="53" customWidth="1"/>
    <col min="1008" max="1008" width="10.28515625" style="53" customWidth="1"/>
    <col min="1009" max="1009" width="11.28515625" style="53" customWidth="1"/>
    <col min="1010" max="1010" width="9.7109375" style="53" customWidth="1"/>
    <col min="1011" max="1252" width="9.140625" style="53" customWidth="1"/>
    <col min="1253" max="1253" width="30.140625" style="53" customWidth="1"/>
    <col min="1254" max="1254" width="52.140625" style="53" customWidth="1"/>
    <col min="1255" max="1255" width="47.7109375" style="53" customWidth="1"/>
    <col min="1256" max="1256" width="13.28515625" style="53" customWidth="1"/>
    <col min="1257" max="1257" width="9.85546875" style="53" customWidth="1"/>
    <col min="1258" max="1258" width="17.140625" style="53" customWidth="1"/>
    <col min="1259" max="1259" width="9.140625" style="53" customWidth="1"/>
    <col min="1260" max="1260" width="10.85546875" style="53" customWidth="1"/>
    <col min="1261" max="1261" width="11.28515625" style="53" customWidth="1"/>
    <col min="1262" max="1262" width="16.28515625" style="53" customWidth="1"/>
    <col min="1263" max="1263" width="8.28515625" style="53" customWidth="1"/>
    <col min="1264" max="1264" width="10.28515625" style="53" customWidth="1"/>
    <col min="1265" max="1265" width="11.28515625" style="53" customWidth="1"/>
    <col min="1266" max="1266" width="9.7109375" style="53" customWidth="1"/>
    <col min="1267" max="1508" width="9.140625" style="53" customWidth="1"/>
    <col min="1509" max="1509" width="30.140625" style="53" customWidth="1"/>
    <col min="1510" max="1510" width="52.140625" style="53" customWidth="1"/>
    <col min="1511" max="1511" width="47.7109375" style="53" customWidth="1"/>
    <col min="1512" max="1512" width="13.28515625" style="53" customWidth="1"/>
    <col min="1513" max="1513" width="9.85546875" style="53" customWidth="1"/>
    <col min="1514" max="1514" width="17.140625" style="53" customWidth="1"/>
    <col min="1515" max="1515" width="9.140625" style="53" customWidth="1"/>
    <col min="1516" max="1516" width="10.85546875" style="53" customWidth="1"/>
    <col min="1517" max="1517" width="11.28515625" style="53" customWidth="1"/>
    <col min="1518" max="1518" width="16.28515625" style="53" customWidth="1"/>
    <col min="1519" max="1519" width="8.28515625" style="53" customWidth="1"/>
    <col min="1520" max="1520" width="10.28515625" style="53" customWidth="1"/>
    <col min="1521" max="1521" width="11.28515625" style="53" customWidth="1"/>
    <col min="1522" max="1522" width="9.7109375" style="53" customWidth="1"/>
    <col min="1523" max="1764" width="9.140625" style="53" customWidth="1"/>
    <col min="1765" max="1765" width="30.140625" style="53" customWidth="1"/>
    <col min="1766" max="1766" width="52.140625" style="53" customWidth="1"/>
    <col min="1767" max="1767" width="47.7109375" style="53" customWidth="1"/>
    <col min="1768" max="1768" width="13.28515625" style="53" customWidth="1"/>
    <col min="1769" max="1769" width="9.85546875" style="53" customWidth="1"/>
    <col min="1770" max="1770" width="17.140625" style="53" customWidth="1"/>
    <col min="1771" max="1771" width="9.140625" style="53" customWidth="1"/>
    <col min="1772" max="1772" width="10.85546875" style="53" customWidth="1"/>
    <col min="1773" max="1773" width="11.28515625" style="53" customWidth="1"/>
    <col min="1774" max="1774" width="16.28515625" style="53" customWidth="1"/>
    <col min="1775" max="1775" width="8.28515625" style="53" customWidth="1"/>
    <col min="1776" max="1776" width="10.28515625" style="53" customWidth="1"/>
    <col min="1777" max="1777" width="11.28515625" style="53" customWidth="1"/>
    <col min="1778" max="1778" width="9.7109375" style="53" customWidth="1"/>
    <col min="1779" max="2020" width="9.140625" style="53" customWidth="1"/>
    <col min="2021" max="2021" width="30.140625" style="53" customWidth="1"/>
    <col min="2022" max="2022" width="52.140625" style="53" customWidth="1"/>
    <col min="2023" max="2023" width="47.7109375" style="53" customWidth="1"/>
    <col min="2024" max="2024" width="13.28515625" style="53" customWidth="1"/>
    <col min="2025" max="2025" width="9.85546875" style="53" customWidth="1"/>
    <col min="2026" max="2026" width="17.140625" style="53" customWidth="1"/>
    <col min="2027" max="2027" width="9.140625" style="53" customWidth="1"/>
    <col min="2028" max="2028" width="10.85546875" style="53" customWidth="1"/>
    <col min="2029" max="2029" width="11.28515625" style="53" customWidth="1"/>
    <col min="2030" max="2030" width="16.28515625" style="53" customWidth="1"/>
    <col min="2031" max="2031" width="8.28515625" style="53" customWidth="1"/>
    <col min="2032" max="2032" width="10.28515625" style="53" customWidth="1"/>
    <col min="2033" max="2033" width="11.28515625" style="53" customWidth="1"/>
    <col min="2034" max="2034" width="9.7109375" style="53" customWidth="1"/>
    <col min="2035" max="2276" width="9.140625" style="53" customWidth="1"/>
    <col min="2277" max="2277" width="30.140625" style="53" customWidth="1"/>
    <col min="2278" max="2278" width="52.140625" style="53" customWidth="1"/>
    <col min="2279" max="2279" width="47.7109375" style="53" customWidth="1"/>
    <col min="2280" max="2280" width="13.28515625" style="53" customWidth="1"/>
    <col min="2281" max="2281" width="9.85546875" style="53" customWidth="1"/>
    <col min="2282" max="2282" width="17.140625" style="53" customWidth="1"/>
    <col min="2283" max="2283" width="9.140625" style="53" customWidth="1"/>
    <col min="2284" max="2284" width="10.85546875" style="53" customWidth="1"/>
    <col min="2285" max="2285" width="11.28515625" style="53" customWidth="1"/>
    <col min="2286" max="2286" width="16.28515625" style="53" customWidth="1"/>
    <col min="2287" max="2287" width="8.28515625" style="53" customWidth="1"/>
    <col min="2288" max="2288" width="10.28515625" style="53" customWidth="1"/>
    <col min="2289" max="2289" width="11.28515625" style="53" customWidth="1"/>
    <col min="2290" max="2290" width="9.7109375" style="53" customWidth="1"/>
    <col min="2291" max="2532" width="9.140625" style="53" customWidth="1"/>
    <col min="2533" max="2533" width="30.140625" style="53" customWidth="1"/>
    <col min="2534" max="2534" width="52.140625" style="53" customWidth="1"/>
    <col min="2535" max="2535" width="47.7109375" style="53" customWidth="1"/>
    <col min="2536" max="2536" width="13.28515625" style="53" customWidth="1"/>
    <col min="2537" max="2537" width="9.85546875" style="53" customWidth="1"/>
    <col min="2538" max="2538" width="17.140625" style="53" customWidth="1"/>
    <col min="2539" max="2539" width="9.140625" style="53" customWidth="1"/>
    <col min="2540" max="2540" width="10.85546875" style="53" customWidth="1"/>
    <col min="2541" max="2541" width="11.28515625" style="53" customWidth="1"/>
    <col min="2542" max="2542" width="16.28515625" style="53" customWidth="1"/>
    <col min="2543" max="2543" width="8.28515625" style="53" customWidth="1"/>
    <col min="2544" max="2544" width="10.28515625" style="53" customWidth="1"/>
    <col min="2545" max="2545" width="11.28515625" style="53" customWidth="1"/>
    <col min="2546" max="2546" width="9.7109375" style="53" customWidth="1"/>
    <col min="2547" max="2788" width="9.140625" style="53" customWidth="1"/>
    <col min="2789" max="2789" width="30.140625" style="53" customWidth="1"/>
    <col min="2790" max="2790" width="52.140625" style="53" customWidth="1"/>
    <col min="2791" max="2791" width="47.7109375" style="53" customWidth="1"/>
    <col min="2792" max="2792" width="13.28515625" style="53" customWidth="1"/>
    <col min="2793" max="2793" width="9.85546875" style="53" customWidth="1"/>
    <col min="2794" max="2794" width="17.140625" style="53" customWidth="1"/>
    <col min="2795" max="2795" width="9.140625" style="53" customWidth="1"/>
    <col min="2796" max="2796" width="10.85546875" style="53" customWidth="1"/>
    <col min="2797" max="2797" width="11.28515625" style="53" customWidth="1"/>
    <col min="2798" max="2798" width="16.28515625" style="53" customWidth="1"/>
    <col min="2799" max="2799" width="8.28515625" style="53" customWidth="1"/>
    <col min="2800" max="2800" width="10.28515625" style="53" customWidth="1"/>
    <col min="2801" max="2801" width="11.28515625" style="53" customWidth="1"/>
    <col min="2802" max="2802" width="9.7109375" style="53" customWidth="1"/>
    <col min="2803" max="3044" width="9.140625" style="53" customWidth="1"/>
    <col min="3045" max="3045" width="30.140625" style="53" customWidth="1"/>
    <col min="3046" max="3046" width="52.140625" style="53" customWidth="1"/>
    <col min="3047" max="3047" width="47.7109375" style="53" customWidth="1"/>
    <col min="3048" max="3048" width="13.28515625" style="53" customWidth="1"/>
    <col min="3049" max="3049" width="9.85546875" style="53" customWidth="1"/>
    <col min="3050" max="3050" width="17.140625" style="53" customWidth="1"/>
    <col min="3051" max="3051" width="9.140625" style="53" customWidth="1"/>
    <col min="3052" max="3052" width="10.85546875" style="53" customWidth="1"/>
    <col min="3053" max="3053" width="11.28515625" style="53" customWidth="1"/>
    <col min="3054" max="3054" width="16.28515625" style="53" customWidth="1"/>
    <col min="3055" max="3055" width="8.28515625" style="53" customWidth="1"/>
    <col min="3056" max="3056" width="10.28515625" style="53" customWidth="1"/>
    <col min="3057" max="3057" width="11.28515625" style="53" customWidth="1"/>
    <col min="3058" max="3058" width="9.7109375" style="53" customWidth="1"/>
    <col min="3059" max="3300" width="9.140625" style="53" customWidth="1"/>
    <col min="3301" max="3301" width="30.140625" style="53" customWidth="1"/>
    <col min="3302" max="3302" width="52.140625" style="53" customWidth="1"/>
    <col min="3303" max="3303" width="47.7109375" style="53" customWidth="1"/>
    <col min="3304" max="3304" width="13.28515625" style="53" customWidth="1"/>
    <col min="3305" max="3305" width="9.85546875" style="53" customWidth="1"/>
    <col min="3306" max="3306" width="17.140625" style="53" customWidth="1"/>
    <col min="3307" max="3307" width="9.140625" style="53" customWidth="1"/>
    <col min="3308" max="3308" width="10.85546875" style="53" customWidth="1"/>
    <col min="3309" max="3309" width="11.28515625" style="53" customWidth="1"/>
    <col min="3310" max="3310" width="16.28515625" style="53" customWidth="1"/>
    <col min="3311" max="3311" width="8.28515625" style="53" customWidth="1"/>
    <col min="3312" max="3312" width="10.28515625" style="53" customWidth="1"/>
    <col min="3313" max="3313" width="11.28515625" style="53" customWidth="1"/>
    <col min="3314" max="3314" width="9.7109375" style="53" customWidth="1"/>
    <col min="3315" max="3556" width="9.140625" style="53" customWidth="1"/>
    <col min="3557" max="3557" width="30.140625" style="53" customWidth="1"/>
    <col min="3558" max="3558" width="52.140625" style="53" customWidth="1"/>
    <col min="3559" max="3559" width="47.7109375" style="53" customWidth="1"/>
    <col min="3560" max="3560" width="13.28515625" style="53" customWidth="1"/>
    <col min="3561" max="3561" width="9.85546875" style="53" customWidth="1"/>
    <col min="3562" max="3562" width="17.140625" style="53" customWidth="1"/>
    <col min="3563" max="3563" width="9.140625" style="53" customWidth="1"/>
    <col min="3564" max="3564" width="10.85546875" style="53" customWidth="1"/>
    <col min="3565" max="3565" width="11.28515625" style="53" customWidth="1"/>
    <col min="3566" max="3566" width="16.28515625" style="53" customWidth="1"/>
    <col min="3567" max="3567" width="8.28515625" style="53" customWidth="1"/>
    <col min="3568" max="3568" width="10.28515625" style="53" customWidth="1"/>
    <col min="3569" max="3569" width="11.28515625" style="53" customWidth="1"/>
    <col min="3570" max="3570" width="9.7109375" style="53" customWidth="1"/>
    <col min="3571" max="3812" width="9.140625" style="53" customWidth="1"/>
    <col min="3813" max="3813" width="30.140625" style="53" customWidth="1"/>
    <col min="3814" max="3814" width="52.140625" style="53" customWidth="1"/>
    <col min="3815" max="3815" width="47.7109375" style="53" customWidth="1"/>
    <col min="3816" max="3816" width="13.28515625" style="53" customWidth="1"/>
    <col min="3817" max="3817" width="9.85546875" style="53" customWidth="1"/>
    <col min="3818" max="3818" width="17.140625" style="53" customWidth="1"/>
    <col min="3819" max="3819" width="9.140625" style="53" customWidth="1"/>
    <col min="3820" max="3820" width="10.85546875" style="53" customWidth="1"/>
    <col min="3821" max="3821" width="11.28515625" style="53" customWidth="1"/>
    <col min="3822" max="3822" width="16.28515625" style="53" customWidth="1"/>
    <col min="3823" max="3823" width="8.28515625" style="53" customWidth="1"/>
    <col min="3824" max="3824" width="10.28515625" style="53" customWidth="1"/>
    <col min="3825" max="3825" width="11.28515625" style="53" customWidth="1"/>
    <col min="3826" max="3826" width="9.7109375" style="53" customWidth="1"/>
    <col min="3827" max="4068" width="9.140625" style="53" customWidth="1"/>
    <col min="4069" max="4069" width="30.140625" style="53" customWidth="1"/>
    <col min="4070" max="4070" width="52.140625" style="53" customWidth="1"/>
    <col min="4071" max="4071" width="47.7109375" style="53" customWidth="1"/>
    <col min="4072" max="4072" width="13.28515625" style="53" customWidth="1"/>
    <col min="4073" max="4073" width="9.85546875" style="53" customWidth="1"/>
    <col min="4074" max="4074" width="17.140625" style="53" customWidth="1"/>
    <col min="4075" max="4075" width="9.140625" style="53" customWidth="1"/>
    <col min="4076" max="4076" width="10.85546875" style="53" customWidth="1"/>
    <col min="4077" max="4077" width="11.28515625" style="53" customWidth="1"/>
    <col min="4078" max="4078" width="16.28515625" style="53" customWidth="1"/>
    <col min="4079" max="4079" width="8.28515625" style="53" customWidth="1"/>
    <col min="4080" max="4080" width="10.28515625" style="53" customWidth="1"/>
    <col min="4081" max="4081" width="11.28515625" style="53" customWidth="1"/>
    <col min="4082" max="4082" width="9.7109375" style="53" customWidth="1"/>
    <col min="4083" max="4324" width="9.140625" style="53" customWidth="1"/>
    <col min="4325" max="4325" width="30.140625" style="53" customWidth="1"/>
    <col min="4326" max="4326" width="52.140625" style="53" customWidth="1"/>
    <col min="4327" max="4327" width="47.7109375" style="53" customWidth="1"/>
    <col min="4328" max="4328" width="13.28515625" style="53" customWidth="1"/>
    <col min="4329" max="4329" width="9.85546875" style="53" customWidth="1"/>
    <col min="4330" max="4330" width="17.140625" style="53" customWidth="1"/>
    <col min="4331" max="4331" width="9.140625" style="53" customWidth="1"/>
    <col min="4332" max="4332" width="10.85546875" style="53" customWidth="1"/>
    <col min="4333" max="4333" width="11.28515625" style="53" customWidth="1"/>
    <col min="4334" max="4334" width="16.28515625" style="53" customWidth="1"/>
    <col min="4335" max="4335" width="8.28515625" style="53" customWidth="1"/>
    <col min="4336" max="4336" width="10.28515625" style="53" customWidth="1"/>
    <col min="4337" max="4337" width="11.28515625" style="53" customWidth="1"/>
    <col min="4338" max="4338" width="9.7109375" style="53" customWidth="1"/>
    <col min="4339" max="4580" width="9.140625" style="53" customWidth="1"/>
    <col min="4581" max="4581" width="30.140625" style="53" customWidth="1"/>
    <col min="4582" max="4582" width="52.140625" style="53" customWidth="1"/>
    <col min="4583" max="4583" width="47.7109375" style="53" customWidth="1"/>
    <col min="4584" max="4584" width="13.28515625" style="53" customWidth="1"/>
    <col min="4585" max="4585" width="9.85546875" style="53" customWidth="1"/>
    <col min="4586" max="4586" width="17.140625" style="53" customWidth="1"/>
    <col min="4587" max="4587" width="9.140625" style="53" customWidth="1"/>
    <col min="4588" max="4588" width="10.85546875" style="53" customWidth="1"/>
    <col min="4589" max="4589" width="11.28515625" style="53" customWidth="1"/>
    <col min="4590" max="4590" width="16.28515625" style="53" customWidth="1"/>
    <col min="4591" max="4591" width="8.28515625" style="53" customWidth="1"/>
    <col min="4592" max="4592" width="10.28515625" style="53" customWidth="1"/>
    <col min="4593" max="4593" width="11.28515625" style="53" customWidth="1"/>
    <col min="4594" max="4594" width="9.7109375" style="53" customWidth="1"/>
    <col min="4595" max="4836" width="9.140625" style="53" customWidth="1"/>
    <col min="4837" max="4837" width="30.140625" style="53" customWidth="1"/>
    <col min="4838" max="4838" width="52.140625" style="53" customWidth="1"/>
    <col min="4839" max="4839" width="47.7109375" style="53" customWidth="1"/>
    <col min="4840" max="4840" width="13.28515625" style="53" customWidth="1"/>
    <col min="4841" max="4841" width="9.85546875" style="53" customWidth="1"/>
    <col min="4842" max="4842" width="17.140625" style="53" customWidth="1"/>
    <col min="4843" max="4843" width="9.140625" style="53" customWidth="1"/>
    <col min="4844" max="4844" width="10.85546875" style="53" customWidth="1"/>
    <col min="4845" max="4845" width="11.28515625" style="53" customWidth="1"/>
    <col min="4846" max="4846" width="16.28515625" style="53" customWidth="1"/>
    <col min="4847" max="4847" width="8.28515625" style="53" customWidth="1"/>
    <col min="4848" max="4848" width="10.28515625" style="53" customWidth="1"/>
    <col min="4849" max="4849" width="11.28515625" style="53" customWidth="1"/>
    <col min="4850" max="4850" width="9.7109375" style="53" customWidth="1"/>
    <col min="4851" max="5092" width="9.140625" style="53" customWidth="1"/>
    <col min="5093" max="5093" width="30.140625" style="53" customWidth="1"/>
    <col min="5094" max="5094" width="52.140625" style="53" customWidth="1"/>
    <col min="5095" max="5095" width="47.7109375" style="53" customWidth="1"/>
    <col min="5096" max="5096" width="13.28515625" style="53" customWidth="1"/>
    <col min="5097" max="5097" width="9.85546875" style="53" customWidth="1"/>
    <col min="5098" max="5098" width="17.140625" style="53" customWidth="1"/>
    <col min="5099" max="5099" width="9.140625" style="53" customWidth="1"/>
    <col min="5100" max="5100" width="10.85546875" style="53" customWidth="1"/>
    <col min="5101" max="5101" width="11.28515625" style="53" customWidth="1"/>
    <col min="5102" max="5102" width="16.28515625" style="53" customWidth="1"/>
    <col min="5103" max="5103" width="8.28515625" style="53" customWidth="1"/>
    <col min="5104" max="5104" width="10.28515625" style="53" customWidth="1"/>
    <col min="5105" max="5105" width="11.28515625" style="53" customWidth="1"/>
    <col min="5106" max="5106" width="9.7109375" style="53" customWidth="1"/>
    <col min="5107" max="5348" width="9.140625" style="53" customWidth="1"/>
    <col min="5349" max="5349" width="30.140625" style="53" customWidth="1"/>
    <col min="5350" max="5350" width="52.140625" style="53" customWidth="1"/>
    <col min="5351" max="5351" width="47.7109375" style="53" customWidth="1"/>
    <col min="5352" max="5352" width="13.28515625" style="53" customWidth="1"/>
    <col min="5353" max="5353" width="9.85546875" style="53" customWidth="1"/>
    <col min="5354" max="5354" width="17.140625" style="53" customWidth="1"/>
    <col min="5355" max="5355" width="9.140625" style="53" customWidth="1"/>
    <col min="5356" max="5356" width="10.85546875" style="53" customWidth="1"/>
    <col min="5357" max="5357" width="11.28515625" style="53" customWidth="1"/>
    <col min="5358" max="5358" width="16.28515625" style="53" customWidth="1"/>
    <col min="5359" max="5359" width="8.28515625" style="53" customWidth="1"/>
    <col min="5360" max="5360" width="10.28515625" style="53" customWidth="1"/>
    <col min="5361" max="5361" width="11.28515625" style="53" customWidth="1"/>
    <col min="5362" max="5362" width="9.7109375" style="53" customWidth="1"/>
    <col min="5363" max="5604" width="9.140625" style="53" customWidth="1"/>
    <col min="5605" max="5605" width="30.140625" style="53" customWidth="1"/>
    <col min="5606" max="5606" width="52.140625" style="53" customWidth="1"/>
    <col min="5607" max="5607" width="47.7109375" style="53" customWidth="1"/>
    <col min="5608" max="5608" width="13.28515625" style="53" customWidth="1"/>
    <col min="5609" max="5609" width="9.85546875" style="53" customWidth="1"/>
    <col min="5610" max="5610" width="17.140625" style="53" customWidth="1"/>
    <col min="5611" max="5611" width="9.140625" style="53" customWidth="1"/>
    <col min="5612" max="5612" width="10.85546875" style="53" customWidth="1"/>
    <col min="5613" max="5613" width="11.28515625" style="53" customWidth="1"/>
    <col min="5614" max="5614" width="16.28515625" style="53" customWidth="1"/>
    <col min="5615" max="5615" width="8.28515625" style="53" customWidth="1"/>
    <col min="5616" max="5616" width="10.28515625" style="53" customWidth="1"/>
    <col min="5617" max="5617" width="11.28515625" style="53" customWidth="1"/>
    <col min="5618" max="5618" width="9.7109375" style="53" customWidth="1"/>
    <col min="5619" max="5860" width="9.140625" style="53" customWidth="1"/>
    <col min="5861" max="5861" width="30.140625" style="53" customWidth="1"/>
    <col min="5862" max="5862" width="52.140625" style="53" customWidth="1"/>
    <col min="5863" max="5863" width="47.7109375" style="53" customWidth="1"/>
    <col min="5864" max="5864" width="13.28515625" style="53" customWidth="1"/>
    <col min="5865" max="5865" width="9.85546875" style="53" customWidth="1"/>
    <col min="5866" max="5866" width="17.140625" style="53" customWidth="1"/>
    <col min="5867" max="5867" width="9.140625" style="53" customWidth="1"/>
    <col min="5868" max="5868" width="10.85546875" style="53" customWidth="1"/>
    <col min="5869" max="5869" width="11.28515625" style="53" customWidth="1"/>
    <col min="5870" max="5870" width="16.28515625" style="53" customWidth="1"/>
    <col min="5871" max="5871" width="8.28515625" style="53" customWidth="1"/>
    <col min="5872" max="5872" width="10.28515625" style="53" customWidth="1"/>
    <col min="5873" max="5873" width="11.28515625" style="53" customWidth="1"/>
    <col min="5874" max="5874" width="9.7109375" style="53" customWidth="1"/>
    <col min="5875" max="6116" width="9.140625" style="53" customWidth="1"/>
    <col min="6117" max="6117" width="30.140625" style="53" customWidth="1"/>
    <col min="6118" max="6118" width="52.140625" style="53" customWidth="1"/>
    <col min="6119" max="6119" width="47.7109375" style="53" customWidth="1"/>
    <col min="6120" max="6120" width="13.28515625" style="53" customWidth="1"/>
    <col min="6121" max="6121" width="9.85546875" style="53" customWidth="1"/>
    <col min="6122" max="6122" width="17.140625" style="53" customWidth="1"/>
    <col min="6123" max="6123" width="9.140625" style="53" customWidth="1"/>
    <col min="6124" max="6124" width="10.85546875" style="53" customWidth="1"/>
    <col min="6125" max="6125" width="11.28515625" style="53" customWidth="1"/>
    <col min="6126" max="6126" width="16.28515625" style="53" customWidth="1"/>
    <col min="6127" max="6127" width="8.28515625" style="53" customWidth="1"/>
    <col min="6128" max="6128" width="10.28515625" style="53" customWidth="1"/>
    <col min="6129" max="6129" width="11.28515625" style="53" customWidth="1"/>
    <col min="6130" max="6130" width="9.7109375" style="53" customWidth="1"/>
    <col min="6131" max="6372" width="9.140625" style="53" customWidth="1"/>
    <col min="6373" max="6373" width="30.140625" style="53" customWidth="1"/>
    <col min="6374" max="6374" width="52.140625" style="53" customWidth="1"/>
    <col min="6375" max="6375" width="47.7109375" style="53" customWidth="1"/>
    <col min="6376" max="6376" width="13.28515625" style="53" customWidth="1"/>
    <col min="6377" max="6377" width="9.85546875" style="53" customWidth="1"/>
    <col min="6378" max="6378" width="17.140625" style="53" customWidth="1"/>
    <col min="6379" max="6379" width="9.140625" style="53" customWidth="1"/>
    <col min="6380" max="6380" width="10.85546875" style="53" customWidth="1"/>
    <col min="6381" max="6381" width="11.28515625" style="53" customWidth="1"/>
    <col min="6382" max="6382" width="16.28515625" style="53" customWidth="1"/>
    <col min="6383" max="6383" width="8.28515625" style="53" customWidth="1"/>
    <col min="6384" max="6384" width="10.28515625" style="53" customWidth="1"/>
    <col min="6385" max="6385" width="11.28515625" style="53" customWidth="1"/>
    <col min="6386" max="6386" width="9.7109375" style="53" customWidth="1"/>
    <col min="6387" max="6628" width="9.140625" style="53" customWidth="1"/>
    <col min="6629" max="6629" width="30.140625" style="53" customWidth="1"/>
    <col min="6630" max="6630" width="52.140625" style="53" customWidth="1"/>
    <col min="6631" max="6631" width="47.7109375" style="53" customWidth="1"/>
    <col min="6632" max="6632" width="13.28515625" style="53" customWidth="1"/>
    <col min="6633" max="6633" width="9.85546875" style="53" customWidth="1"/>
    <col min="6634" max="6634" width="17.140625" style="53" customWidth="1"/>
    <col min="6635" max="6635" width="9.140625" style="53" customWidth="1"/>
    <col min="6636" max="6636" width="10.85546875" style="53" customWidth="1"/>
    <col min="6637" max="6637" width="11.28515625" style="53" customWidth="1"/>
    <col min="6638" max="6638" width="16.28515625" style="53" customWidth="1"/>
    <col min="6639" max="6639" width="8.28515625" style="53" customWidth="1"/>
    <col min="6640" max="6640" width="10.28515625" style="53" customWidth="1"/>
    <col min="6641" max="6641" width="11.28515625" style="53" customWidth="1"/>
    <col min="6642" max="6642" width="9.7109375" style="53" customWidth="1"/>
    <col min="6643" max="6884" width="9.140625" style="53" customWidth="1"/>
    <col min="6885" max="6885" width="30.140625" style="53" customWidth="1"/>
    <col min="6886" max="6886" width="52.140625" style="53" customWidth="1"/>
    <col min="6887" max="6887" width="47.7109375" style="53" customWidth="1"/>
    <col min="6888" max="6888" width="13.28515625" style="53" customWidth="1"/>
    <col min="6889" max="6889" width="9.85546875" style="53" customWidth="1"/>
    <col min="6890" max="6890" width="17.140625" style="53" customWidth="1"/>
    <col min="6891" max="6891" width="9.140625" style="53" customWidth="1"/>
    <col min="6892" max="6892" width="10.85546875" style="53" customWidth="1"/>
    <col min="6893" max="6893" width="11.28515625" style="53" customWidth="1"/>
    <col min="6894" max="6894" width="16.28515625" style="53" customWidth="1"/>
    <col min="6895" max="6895" width="8.28515625" style="53" customWidth="1"/>
    <col min="6896" max="6896" width="10.28515625" style="53" customWidth="1"/>
    <col min="6897" max="6897" width="11.28515625" style="53" customWidth="1"/>
    <col min="6898" max="6898" width="9.7109375" style="53" customWidth="1"/>
    <col min="6899" max="7140" width="9.140625" style="53" customWidth="1"/>
    <col min="7141" max="7141" width="30.140625" style="53" customWidth="1"/>
    <col min="7142" max="7142" width="52.140625" style="53" customWidth="1"/>
    <col min="7143" max="7143" width="47.7109375" style="53" customWidth="1"/>
    <col min="7144" max="7144" width="13.28515625" style="53" customWidth="1"/>
    <col min="7145" max="7145" width="9.85546875" style="53" customWidth="1"/>
    <col min="7146" max="7146" width="17.140625" style="53" customWidth="1"/>
    <col min="7147" max="7147" width="9.140625" style="53" customWidth="1"/>
    <col min="7148" max="7148" width="10.85546875" style="53" customWidth="1"/>
    <col min="7149" max="7149" width="11.28515625" style="53" customWidth="1"/>
    <col min="7150" max="7150" width="16.28515625" style="53" customWidth="1"/>
    <col min="7151" max="7151" width="8.28515625" style="53" customWidth="1"/>
    <col min="7152" max="7152" width="10.28515625" style="53" customWidth="1"/>
    <col min="7153" max="7153" width="11.28515625" style="53" customWidth="1"/>
    <col min="7154" max="7154" width="9.7109375" style="53" customWidth="1"/>
    <col min="7155" max="7396" width="9.140625" style="53" customWidth="1"/>
    <col min="7397" max="7397" width="30.140625" style="53" customWidth="1"/>
    <col min="7398" max="7398" width="52.140625" style="53" customWidth="1"/>
    <col min="7399" max="7399" width="47.7109375" style="53" customWidth="1"/>
    <col min="7400" max="7400" width="13.28515625" style="53" customWidth="1"/>
    <col min="7401" max="7401" width="9.85546875" style="53" customWidth="1"/>
    <col min="7402" max="7402" width="17.140625" style="53" customWidth="1"/>
    <col min="7403" max="7403" width="9.140625" style="53" customWidth="1"/>
    <col min="7404" max="7404" width="10.85546875" style="53" customWidth="1"/>
    <col min="7405" max="7405" width="11.28515625" style="53" customWidth="1"/>
    <col min="7406" max="7406" width="16.28515625" style="53" customWidth="1"/>
    <col min="7407" max="7407" width="8.28515625" style="53" customWidth="1"/>
    <col min="7408" max="7408" width="10.28515625" style="53" customWidth="1"/>
    <col min="7409" max="7409" width="11.28515625" style="53" customWidth="1"/>
    <col min="7410" max="7410" width="9.7109375" style="53" customWidth="1"/>
    <col min="7411" max="7652" width="9.140625" style="53" customWidth="1"/>
    <col min="7653" max="7653" width="30.140625" style="53" customWidth="1"/>
    <col min="7654" max="7654" width="52.140625" style="53" customWidth="1"/>
    <col min="7655" max="7655" width="47.7109375" style="53" customWidth="1"/>
    <col min="7656" max="7656" width="13.28515625" style="53" customWidth="1"/>
    <col min="7657" max="7657" width="9.85546875" style="53" customWidth="1"/>
    <col min="7658" max="7658" width="17.140625" style="53" customWidth="1"/>
    <col min="7659" max="7659" width="9.140625" style="53" customWidth="1"/>
    <col min="7660" max="7660" width="10.85546875" style="53" customWidth="1"/>
    <col min="7661" max="7661" width="11.28515625" style="53" customWidth="1"/>
    <col min="7662" max="7662" width="16.28515625" style="53" customWidth="1"/>
    <col min="7663" max="7663" width="8.28515625" style="53" customWidth="1"/>
    <col min="7664" max="7664" width="10.28515625" style="53" customWidth="1"/>
    <col min="7665" max="7665" width="11.28515625" style="53" customWidth="1"/>
    <col min="7666" max="7666" width="9.7109375" style="53" customWidth="1"/>
    <col min="7667" max="7908" width="9.140625" style="53" customWidth="1"/>
    <col min="7909" max="7909" width="30.140625" style="53" customWidth="1"/>
    <col min="7910" max="7910" width="52.140625" style="53" customWidth="1"/>
    <col min="7911" max="7911" width="47.7109375" style="53" customWidth="1"/>
    <col min="7912" max="7912" width="13.28515625" style="53" customWidth="1"/>
    <col min="7913" max="7913" width="9.85546875" style="53" customWidth="1"/>
    <col min="7914" max="7914" width="17.140625" style="53" customWidth="1"/>
    <col min="7915" max="7915" width="9.140625" style="53" customWidth="1"/>
    <col min="7916" max="7916" width="10.85546875" style="53" customWidth="1"/>
    <col min="7917" max="7917" width="11.28515625" style="53" customWidth="1"/>
    <col min="7918" max="7918" width="16.28515625" style="53" customWidth="1"/>
    <col min="7919" max="7919" width="8.28515625" style="53" customWidth="1"/>
    <col min="7920" max="7920" width="10.28515625" style="53" customWidth="1"/>
    <col min="7921" max="7921" width="11.28515625" style="53" customWidth="1"/>
    <col min="7922" max="7922" width="9.7109375" style="53" customWidth="1"/>
    <col min="7923" max="8164" width="9.140625" style="53" customWidth="1"/>
    <col min="8165" max="8165" width="30.140625" style="53" customWidth="1"/>
    <col min="8166" max="8166" width="52.140625" style="53" customWidth="1"/>
    <col min="8167" max="8167" width="47.7109375" style="53" customWidth="1"/>
    <col min="8168" max="8168" width="13.28515625" style="53" customWidth="1"/>
    <col min="8169" max="8169" width="9.85546875" style="53" customWidth="1"/>
    <col min="8170" max="8170" width="17.140625" style="53" customWidth="1"/>
    <col min="8171" max="8171" width="9.140625" style="53" customWidth="1"/>
    <col min="8172" max="8172" width="10.85546875" style="53" customWidth="1"/>
    <col min="8173" max="8173" width="11.28515625" style="53" customWidth="1"/>
    <col min="8174" max="8174" width="16.28515625" style="53" customWidth="1"/>
    <col min="8175" max="8175" width="8.28515625" style="53" customWidth="1"/>
    <col min="8176" max="8176" width="10.28515625" style="53" customWidth="1"/>
    <col min="8177" max="8177" width="11.28515625" style="53" customWidth="1"/>
    <col min="8178" max="8178" width="9.7109375" style="53" customWidth="1"/>
    <col min="8179" max="8420" width="9.140625" style="53" customWidth="1"/>
    <col min="8421" max="8421" width="30.140625" style="53" customWidth="1"/>
    <col min="8422" max="8422" width="52.140625" style="53" customWidth="1"/>
    <col min="8423" max="8423" width="47.7109375" style="53" customWidth="1"/>
    <col min="8424" max="8424" width="13.28515625" style="53" customWidth="1"/>
    <col min="8425" max="8425" width="9.85546875" style="53" customWidth="1"/>
    <col min="8426" max="8426" width="17.140625" style="53" customWidth="1"/>
    <col min="8427" max="8427" width="9.140625" style="53" customWidth="1"/>
    <col min="8428" max="8428" width="10.85546875" style="53" customWidth="1"/>
    <col min="8429" max="8429" width="11.28515625" style="53" customWidth="1"/>
    <col min="8430" max="8430" width="16.28515625" style="53" customWidth="1"/>
    <col min="8431" max="8431" width="8.28515625" style="53" customWidth="1"/>
    <col min="8432" max="8432" width="10.28515625" style="53" customWidth="1"/>
    <col min="8433" max="8433" width="11.28515625" style="53" customWidth="1"/>
    <col min="8434" max="8434" width="9.7109375" style="53" customWidth="1"/>
    <col min="8435" max="8676" width="9.140625" style="53" customWidth="1"/>
    <col min="8677" max="8677" width="30.140625" style="53" customWidth="1"/>
    <col min="8678" max="8678" width="52.140625" style="53" customWidth="1"/>
    <col min="8679" max="8679" width="47.7109375" style="53" customWidth="1"/>
    <col min="8680" max="8680" width="13.28515625" style="53" customWidth="1"/>
    <col min="8681" max="8681" width="9.85546875" style="53" customWidth="1"/>
    <col min="8682" max="8682" width="17.140625" style="53" customWidth="1"/>
    <col min="8683" max="8683" width="9.140625" style="53" customWidth="1"/>
    <col min="8684" max="8684" width="10.85546875" style="53" customWidth="1"/>
    <col min="8685" max="8685" width="11.28515625" style="53" customWidth="1"/>
    <col min="8686" max="8686" width="16.28515625" style="53" customWidth="1"/>
    <col min="8687" max="8687" width="8.28515625" style="53" customWidth="1"/>
    <col min="8688" max="8688" width="10.28515625" style="53" customWidth="1"/>
    <col min="8689" max="8689" width="11.28515625" style="53" customWidth="1"/>
    <col min="8690" max="8690" width="9.7109375" style="53" customWidth="1"/>
    <col min="8691" max="8932" width="9.140625" style="53" customWidth="1"/>
    <col min="8933" max="8933" width="30.140625" style="53" customWidth="1"/>
    <col min="8934" max="8934" width="52.140625" style="53" customWidth="1"/>
    <col min="8935" max="8935" width="47.7109375" style="53" customWidth="1"/>
    <col min="8936" max="8936" width="13.28515625" style="53" customWidth="1"/>
    <col min="8937" max="8937" width="9.85546875" style="53" customWidth="1"/>
    <col min="8938" max="8938" width="17.140625" style="53" customWidth="1"/>
    <col min="8939" max="8939" width="9.140625" style="53" customWidth="1"/>
    <col min="8940" max="8940" width="10.85546875" style="53" customWidth="1"/>
    <col min="8941" max="8941" width="11.28515625" style="53" customWidth="1"/>
    <col min="8942" max="8942" width="16.28515625" style="53" customWidth="1"/>
    <col min="8943" max="8943" width="8.28515625" style="53" customWidth="1"/>
    <col min="8944" max="8944" width="10.28515625" style="53" customWidth="1"/>
    <col min="8945" max="8945" width="11.28515625" style="53" customWidth="1"/>
    <col min="8946" max="8946" width="9.7109375" style="53" customWidth="1"/>
    <col min="8947" max="9188" width="9.140625" style="53" customWidth="1"/>
    <col min="9189" max="9189" width="30.140625" style="53" customWidth="1"/>
    <col min="9190" max="9190" width="52.140625" style="53" customWidth="1"/>
    <col min="9191" max="9191" width="47.7109375" style="53" customWidth="1"/>
    <col min="9192" max="9192" width="13.28515625" style="53" customWidth="1"/>
    <col min="9193" max="9193" width="9.85546875" style="53" customWidth="1"/>
    <col min="9194" max="9194" width="17.140625" style="53" customWidth="1"/>
    <col min="9195" max="9195" width="9.140625" style="53" customWidth="1"/>
    <col min="9196" max="9196" width="10.85546875" style="53" customWidth="1"/>
    <col min="9197" max="9197" width="11.28515625" style="53" customWidth="1"/>
    <col min="9198" max="9198" width="16.28515625" style="53" customWidth="1"/>
    <col min="9199" max="9199" width="8.28515625" style="53" customWidth="1"/>
    <col min="9200" max="9200" width="10.28515625" style="53" customWidth="1"/>
    <col min="9201" max="9201" width="11.28515625" style="53" customWidth="1"/>
    <col min="9202" max="9202" width="9.7109375" style="53" customWidth="1"/>
    <col min="9203" max="9444" width="9.140625" style="53" customWidth="1"/>
    <col min="9445" max="9445" width="30.140625" style="53" customWidth="1"/>
    <col min="9446" max="9446" width="52.140625" style="53" customWidth="1"/>
    <col min="9447" max="9447" width="47.7109375" style="53" customWidth="1"/>
    <col min="9448" max="9448" width="13.28515625" style="53" customWidth="1"/>
    <col min="9449" max="9449" width="9.85546875" style="53" customWidth="1"/>
    <col min="9450" max="9450" width="17.140625" style="53" customWidth="1"/>
    <col min="9451" max="9451" width="9.140625" style="53" customWidth="1"/>
    <col min="9452" max="9452" width="10.85546875" style="53" customWidth="1"/>
    <col min="9453" max="9453" width="11.28515625" style="53" customWidth="1"/>
    <col min="9454" max="9454" width="16.28515625" style="53" customWidth="1"/>
    <col min="9455" max="9455" width="8.28515625" style="53" customWidth="1"/>
    <col min="9456" max="9456" width="10.28515625" style="53" customWidth="1"/>
    <col min="9457" max="9457" width="11.28515625" style="53" customWidth="1"/>
    <col min="9458" max="9458" width="9.7109375" style="53" customWidth="1"/>
    <col min="9459" max="9700" width="9.140625" style="53" customWidth="1"/>
    <col min="9701" max="9701" width="30.140625" style="53" customWidth="1"/>
    <col min="9702" max="9702" width="52.140625" style="53" customWidth="1"/>
    <col min="9703" max="9703" width="47.7109375" style="53" customWidth="1"/>
    <col min="9704" max="9704" width="13.28515625" style="53" customWidth="1"/>
    <col min="9705" max="9705" width="9.85546875" style="53" customWidth="1"/>
    <col min="9706" max="9706" width="17.140625" style="53" customWidth="1"/>
    <col min="9707" max="9707" width="9.140625" style="53" customWidth="1"/>
    <col min="9708" max="9708" width="10.85546875" style="53" customWidth="1"/>
    <col min="9709" max="9709" width="11.28515625" style="53" customWidth="1"/>
    <col min="9710" max="9710" width="16.28515625" style="53" customWidth="1"/>
    <col min="9711" max="9711" width="8.28515625" style="53" customWidth="1"/>
    <col min="9712" max="9712" width="10.28515625" style="53" customWidth="1"/>
    <col min="9713" max="9713" width="11.28515625" style="53" customWidth="1"/>
    <col min="9714" max="9714" width="9.7109375" style="53" customWidth="1"/>
    <col min="9715" max="9956" width="9.140625" style="53" customWidth="1"/>
    <col min="9957" max="9957" width="30.140625" style="53" customWidth="1"/>
    <col min="9958" max="9958" width="52.140625" style="53" customWidth="1"/>
    <col min="9959" max="9959" width="47.7109375" style="53" customWidth="1"/>
    <col min="9960" max="9960" width="13.28515625" style="53" customWidth="1"/>
    <col min="9961" max="9961" width="9.85546875" style="53" customWidth="1"/>
    <col min="9962" max="9962" width="17.140625" style="53" customWidth="1"/>
    <col min="9963" max="9963" width="9.140625" style="53" customWidth="1"/>
    <col min="9964" max="9964" width="10.85546875" style="53" customWidth="1"/>
    <col min="9965" max="9965" width="11.28515625" style="53" customWidth="1"/>
    <col min="9966" max="9966" width="16.28515625" style="53" customWidth="1"/>
    <col min="9967" max="9967" width="8.28515625" style="53" customWidth="1"/>
    <col min="9968" max="9968" width="10.28515625" style="53" customWidth="1"/>
    <col min="9969" max="9969" width="11.28515625" style="53" customWidth="1"/>
    <col min="9970" max="9970" width="9.7109375" style="53" customWidth="1"/>
    <col min="9971" max="10212" width="9.140625" style="53" customWidth="1"/>
    <col min="10213" max="10213" width="30.140625" style="53" customWidth="1"/>
    <col min="10214" max="10214" width="52.140625" style="53" customWidth="1"/>
    <col min="10215" max="10215" width="47.7109375" style="53" customWidth="1"/>
    <col min="10216" max="10216" width="13.28515625" style="53" customWidth="1"/>
    <col min="10217" max="10217" width="9.85546875" style="53" customWidth="1"/>
    <col min="10218" max="10218" width="17.140625" style="53" customWidth="1"/>
    <col min="10219" max="10219" width="9.140625" style="53" customWidth="1"/>
    <col min="10220" max="10220" width="10.85546875" style="53" customWidth="1"/>
    <col min="10221" max="10221" width="11.28515625" style="53" customWidth="1"/>
    <col min="10222" max="10222" width="16.28515625" style="53" customWidth="1"/>
    <col min="10223" max="10223" width="8.28515625" style="53" customWidth="1"/>
    <col min="10224" max="10224" width="10.28515625" style="53" customWidth="1"/>
    <col min="10225" max="10225" width="11.28515625" style="53" customWidth="1"/>
    <col min="10226" max="10226" width="9.7109375" style="53" customWidth="1"/>
    <col min="10227" max="10468" width="9.140625" style="53" customWidth="1"/>
    <col min="10469" max="10469" width="30.140625" style="53" customWidth="1"/>
    <col min="10470" max="10470" width="52.140625" style="53" customWidth="1"/>
    <col min="10471" max="10471" width="47.7109375" style="53" customWidth="1"/>
    <col min="10472" max="10472" width="13.28515625" style="53" customWidth="1"/>
    <col min="10473" max="10473" width="9.85546875" style="53" customWidth="1"/>
    <col min="10474" max="10474" width="17.140625" style="53" customWidth="1"/>
    <col min="10475" max="10475" width="9.140625" style="53" customWidth="1"/>
    <col min="10476" max="10476" width="10.85546875" style="53" customWidth="1"/>
    <col min="10477" max="10477" width="11.28515625" style="53" customWidth="1"/>
    <col min="10478" max="10478" width="16.28515625" style="53" customWidth="1"/>
    <col min="10479" max="10479" width="8.28515625" style="53" customWidth="1"/>
    <col min="10480" max="10480" width="10.28515625" style="53" customWidth="1"/>
    <col min="10481" max="10481" width="11.28515625" style="53" customWidth="1"/>
    <col min="10482" max="10482" width="9.7109375" style="53" customWidth="1"/>
    <col min="10483" max="10724" width="9.140625" style="53" customWidth="1"/>
    <col min="10725" max="10725" width="30.140625" style="53" customWidth="1"/>
    <col min="10726" max="10726" width="52.140625" style="53" customWidth="1"/>
    <col min="10727" max="10727" width="47.7109375" style="53" customWidth="1"/>
    <col min="10728" max="10728" width="13.28515625" style="53" customWidth="1"/>
    <col min="10729" max="10729" width="9.85546875" style="53" customWidth="1"/>
    <col min="10730" max="10730" width="17.140625" style="53" customWidth="1"/>
    <col min="10731" max="10731" width="9.140625" style="53" customWidth="1"/>
    <col min="10732" max="10732" width="10.85546875" style="53" customWidth="1"/>
    <col min="10733" max="10733" width="11.28515625" style="53" customWidth="1"/>
    <col min="10734" max="10734" width="16.28515625" style="53" customWidth="1"/>
    <col min="10735" max="10735" width="8.28515625" style="53" customWidth="1"/>
    <col min="10736" max="10736" width="10.28515625" style="53" customWidth="1"/>
    <col min="10737" max="10737" width="11.28515625" style="53" customWidth="1"/>
    <col min="10738" max="10738" width="9.7109375" style="53" customWidth="1"/>
    <col min="10739" max="10980" width="9.140625" style="53" customWidth="1"/>
    <col min="10981" max="10981" width="30.140625" style="53" customWidth="1"/>
    <col min="10982" max="10982" width="52.140625" style="53" customWidth="1"/>
    <col min="10983" max="10983" width="47.7109375" style="53" customWidth="1"/>
    <col min="10984" max="10984" width="13.28515625" style="53" customWidth="1"/>
    <col min="10985" max="10985" width="9.85546875" style="53" customWidth="1"/>
    <col min="10986" max="10986" width="17.140625" style="53" customWidth="1"/>
    <col min="10987" max="10987" width="9.140625" style="53" customWidth="1"/>
    <col min="10988" max="10988" width="10.85546875" style="53" customWidth="1"/>
    <col min="10989" max="10989" width="11.28515625" style="53" customWidth="1"/>
    <col min="10990" max="10990" width="16.28515625" style="53" customWidth="1"/>
    <col min="10991" max="10991" width="8.28515625" style="53" customWidth="1"/>
    <col min="10992" max="10992" width="10.28515625" style="53" customWidth="1"/>
    <col min="10993" max="10993" width="11.28515625" style="53" customWidth="1"/>
    <col min="10994" max="10994" width="9.7109375" style="53" customWidth="1"/>
    <col min="10995" max="11236" width="9.140625" style="53" customWidth="1"/>
    <col min="11237" max="11237" width="30.140625" style="53" customWidth="1"/>
    <col min="11238" max="11238" width="52.140625" style="53" customWidth="1"/>
    <col min="11239" max="11239" width="47.7109375" style="53" customWidth="1"/>
    <col min="11240" max="11240" width="13.28515625" style="53" customWidth="1"/>
    <col min="11241" max="11241" width="9.85546875" style="53" customWidth="1"/>
    <col min="11242" max="11242" width="17.140625" style="53" customWidth="1"/>
    <col min="11243" max="11243" width="9.140625" style="53" customWidth="1"/>
    <col min="11244" max="11244" width="10.85546875" style="53" customWidth="1"/>
    <col min="11245" max="11245" width="11.28515625" style="53" customWidth="1"/>
    <col min="11246" max="11246" width="16.28515625" style="53" customWidth="1"/>
    <col min="11247" max="11247" width="8.28515625" style="53" customWidth="1"/>
    <col min="11248" max="11248" width="10.28515625" style="53" customWidth="1"/>
    <col min="11249" max="11249" width="11.28515625" style="53" customWidth="1"/>
    <col min="11250" max="11250" width="9.7109375" style="53" customWidth="1"/>
    <col min="11251" max="11492" width="9.140625" style="53" customWidth="1"/>
    <col min="11493" max="11493" width="30.140625" style="53" customWidth="1"/>
    <col min="11494" max="11494" width="52.140625" style="53" customWidth="1"/>
    <col min="11495" max="11495" width="47.7109375" style="53" customWidth="1"/>
    <col min="11496" max="11496" width="13.28515625" style="53" customWidth="1"/>
    <col min="11497" max="11497" width="9.85546875" style="53" customWidth="1"/>
    <col min="11498" max="11498" width="17.140625" style="53" customWidth="1"/>
    <col min="11499" max="11499" width="9.140625" style="53" customWidth="1"/>
    <col min="11500" max="11500" width="10.85546875" style="53" customWidth="1"/>
    <col min="11501" max="11501" width="11.28515625" style="53" customWidth="1"/>
    <col min="11502" max="11502" width="16.28515625" style="53" customWidth="1"/>
    <col min="11503" max="11503" width="8.28515625" style="53" customWidth="1"/>
    <col min="11504" max="11504" width="10.28515625" style="53" customWidth="1"/>
    <col min="11505" max="11505" width="11.28515625" style="53" customWidth="1"/>
    <col min="11506" max="11506" width="9.7109375" style="53" customWidth="1"/>
    <col min="11507" max="11748" width="9.140625" style="53" customWidth="1"/>
    <col min="11749" max="11749" width="30.140625" style="53" customWidth="1"/>
    <col min="11750" max="11750" width="52.140625" style="53" customWidth="1"/>
    <col min="11751" max="11751" width="47.7109375" style="53" customWidth="1"/>
    <col min="11752" max="11752" width="13.28515625" style="53" customWidth="1"/>
    <col min="11753" max="11753" width="9.85546875" style="53" customWidth="1"/>
    <col min="11754" max="11754" width="17.140625" style="53" customWidth="1"/>
    <col min="11755" max="11755" width="9.140625" style="53" customWidth="1"/>
    <col min="11756" max="11756" width="10.85546875" style="53" customWidth="1"/>
    <col min="11757" max="11757" width="11.28515625" style="53" customWidth="1"/>
    <col min="11758" max="11758" width="16.28515625" style="53" customWidth="1"/>
    <col min="11759" max="11759" width="8.28515625" style="53" customWidth="1"/>
    <col min="11760" max="11760" width="10.28515625" style="53" customWidth="1"/>
    <col min="11761" max="11761" width="11.28515625" style="53" customWidth="1"/>
    <col min="11762" max="11762" width="9.7109375" style="53" customWidth="1"/>
    <col min="11763" max="12004" width="9.140625" style="53" customWidth="1"/>
    <col min="12005" max="12005" width="30.140625" style="53" customWidth="1"/>
    <col min="12006" max="12006" width="52.140625" style="53" customWidth="1"/>
    <col min="12007" max="12007" width="47.7109375" style="53" customWidth="1"/>
    <col min="12008" max="12008" width="13.28515625" style="53" customWidth="1"/>
    <col min="12009" max="12009" width="9.85546875" style="53" customWidth="1"/>
    <col min="12010" max="12010" width="17.140625" style="53" customWidth="1"/>
    <col min="12011" max="12011" width="9.140625" style="53" customWidth="1"/>
    <col min="12012" max="12012" width="10.85546875" style="53" customWidth="1"/>
    <col min="12013" max="12013" width="11.28515625" style="53" customWidth="1"/>
    <col min="12014" max="12014" width="16.28515625" style="53" customWidth="1"/>
    <col min="12015" max="12015" width="8.28515625" style="53" customWidth="1"/>
    <col min="12016" max="12016" width="10.28515625" style="53" customWidth="1"/>
    <col min="12017" max="12017" width="11.28515625" style="53" customWidth="1"/>
    <col min="12018" max="12018" width="9.7109375" style="53" customWidth="1"/>
    <col min="12019" max="12260" width="9.140625" style="53" customWidth="1"/>
    <col min="12261" max="12261" width="30.140625" style="53" customWidth="1"/>
    <col min="12262" max="12262" width="52.140625" style="53" customWidth="1"/>
    <col min="12263" max="12263" width="47.7109375" style="53" customWidth="1"/>
    <col min="12264" max="12264" width="13.28515625" style="53" customWidth="1"/>
    <col min="12265" max="12265" width="9.85546875" style="53" customWidth="1"/>
    <col min="12266" max="12266" width="17.140625" style="53" customWidth="1"/>
    <col min="12267" max="12267" width="9.140625" style="53" customWidth="1"/>
    <col min="12268" max="12268" width="10.85546875" style="53" customWidth="1"/>
    <col min="12269" max="12269" width="11.28515625" style="53" customWidth="1"/>
    <col min="12270" max="12270" width="16.28515625" style="53" customWidth="1"/>
    <col min="12271" max="12271" width="8.28515625" style="53" customWidth="1"/>
    <col min="12272" max="12272" width="10.28515625" style="53" customWidth="1"/>
    <col min="12273" max="12273" width="11.28515625" style="53" customWidth="1"/>
    <col min="12274" max="12274" width="9.7109375" style="53" customWidth="1"/>
    <col min="12275" max="12516" width="9.140625" style="53" customWidth="1"/>
    <col min="12517" max="12517" width="30.140625" style="53" customWidth="1"/>
    <col min="12518" max="12518" width="52.140625" style="53" customWidth="1"/>
    <col min="12519" max="12519" width="47.7109375" style="53" customWidth="1"/>
    <col min="12520" max="12520" width="13.28515625" style="53" customWidth="1"/>
    <col min="12521" max="12521" width="9.85546875" style="53" customWidth="1"/>
    <col min="12522" max="12522" width="17.140625" style="53" customWidth="1"/>
    <col min="12523" max="12523" width="9.140625" style="53" customWidth="1"/>
    <col min="12524" max="12524" width="10.85546875" style="53" customWidth="1"/>
    <col min="12525" max="12525" width="11.28515625" style="53" customWidth="1"/>
    <col min="12526" max="12526" width="16.28515625" style="53" customWidth="1"/>
    <col min="12527" max="12527" width="8.28515625" style="53" customWidth="1"/>
    <col min="12528" max="12528" width="10.28515625" style="53" customWidth="1"/>
    <col min="12529" max="12529" width="11.28515625" style="53" customWidth="1"/>
    <col min="12530" max="12530" width="9.7109375" style="53" customWidth="1"/>
    <col min="12531" max="12772" width="9.140625" style="53" customWidth="1"/>
    <col min="12773" max="12773" width="30.140625" style="53" customWidth="1"/>
    <col min="12774" max="12774" width="52.140625" style="53" customWidth="1"/>
    <col min="12775" max="12775" width="47.7109375" style="53" customWidth="1"/>
    <col min="12776" max="12776" width="13.28515625" style="53" customWidth="1"/>
    <col min="12777" max="12777" width="9.85546875" style="53" customWidth="1"/>
    <col min="12778" max="12778" width="17.140625" style="53" customWidth="1"/>
    <col min="12779" max="12779" width="9.140625" style="53" customWidth="1"/>
    <col min="12780" max="12780" width="10.85546875" style="53" customWidth="1"/>
    <col min="12781" max="12781" width="11.28515625" style="53" customWidth="1"/>
    <col min="12782" max="12782" width="16.28515625" style="53" customWidth="1"/>
    <col min="12783" max="12783" width="8.28515625" style="53" customWidth="1"/>
    <col min="12784" max="12784" width="10.28515625" style="53" customWidth="1"/>
    <col min="12785" max="12785" width="11.28515625" style="53" customWidth="1"/>
    <col min="12786" max="12786" width="9.7109375" style="53" customWidth="1"/>
    <col min="12787" max="13028" width="9.140625" style="53" customWidth="1"/>
    <col min="13029" max="13029" width="30.140625" style="53" customWidth="1"/>
    <col min="13030" max="13030" width="52.140625" style="53" customWidth="1"/>
    <col min="13031" max="13031" width="47.7109375" style="53" customWidth="1"/>
    <col min="13032" max="13032" width="13.28515625" style="53" customWidth="1"/>
    <col min="13033" max="13033" width="9.85546875" style="53" customWidth="1"/>
    <col min="13034" max="13034" width="17.140625" style="53" customWidth="1"/>
    <col min="13035" max="13035" width="9.140625" style="53" customWidth="1"/>
    <col min="13036" max="13036" width="10.85546875" style="53" customWidth="1"/>
    <col min="13037" max="13037" width="11.28515625" style="53" customWidth="1"/>
    <col min="13038" max="13038" width="16.28515625" style="53" customWidth="1"/>
    <col min="13039" max="13039" width="8.28515625" style="53" customWidth="1"/>
    <col min="13040" max="13040" width="10.28515625" style="53" customWidth="1"/>
    <col min="13041" max="13041" width="11.28515625" style="53" customWidth="1"/>
    <col min="13042" max="13042" width="9.7109375" style="53" customWidth="1"/>
    <col min="13043" max="13284" width="9.140625" style="53" customWidth="1"/>
    <col min="13285" max="13285" width="30.140625" style="53" customWidth="1"/>
    <col min="13286" max="13286" width="52.140625" style="53" customWidth="1"/>
    <col min="13287" max="13287" width="47.7109375" style="53" customWidth="1"/>
    <col min="13288" max="13288" width="13.28515625" style="53" customWidth="1"/>
    <col min="13289" max="13289" width="9.85546875" style="53" customWidth="1"/>
    <col min="13290" max="13290" width="17.140625" style="53" customWidth="1"/>
    <col min="13291" max="13291" width="9.140625" style="53" customWidth="1"/>
    <col min="13292" max="13292" width="10.85546875" style="53" customWidth="1"/>
    <col min="13293" max="13293" width="11.28515625" style="53" customWidth="1"/>
    <col min="13294" max="13294" width="16.28515625" style="53" customWidth="1"/>
    <col min="13295" max="13295" width="8.28515625" style="53" customWidth="1"/>
    <col min="13296" max="13296" width="10.28515625" style="53" customWidth="1"/>
    <col min="13297" max="13297" width="11.28515625" style="53" customWidth="1"/>
    <col min="13298" max="13298" width="9.7109375" style="53" customWidth="1"/>
    <col min="13299" max="13540" width="9.140625" style="53" customWidth="1"/>
    <col min="13541" max="13541" width="30.140625" style="53" customWidth="1"/>
    <col min="13542" max="13542" width="52.140625" style="53" customWidth="1"/>
    <col min="13543" max="13543" width="47.7109375" style="53" customWidth="1"/>
    <col min="13544" max="13544" width="13.28515625" style="53" customWidth="1"/>
    <col min="13545" max="13545" width="9.85546875" style="53" customWidth="1"/>
    <col min="13546" max="13546" width="17.140625" style="53" customWidth="1"/>
    <col min="13547" max="13547" width="9.140625" style="53" customWidth="1"/>
    <col min="13548" max="13548" width="10.85546875" style="53" customWidth="1"/>
    <col min="13549" max="13549" width="11.28515625" style="53" customWidth="1"/>
    <col min="13550" max="13550" width="16.28515625" style="53" customWidth="1"/>
    <col min="13551" max="13551" width="8.28515625" style="53" customWidth="1"/>
    <col min="13552" max="13552" width="10.28515625" style="53" customWidth="1"/>
    <col min="13553" max="13553" width="11.28515625" style="53" customWidth="1"/>
    <col min="13554" max="13554" width="9.7109375" style="53" customWidth="1"/>
    <col min="13555" max="13796" width="9.140625" style="53" customWidth="1"/>
    <col min="13797" max="13797" width="30.140625" style="53" customWidth="1"/>
    <col min="13798" max="13798" width="52.140625" style="53" customWidth="1"/>
    <col min="13799" max="13799" width="47.7109375" style="53" customWidth="1"/>
    <col min="13800" max="13800" width="13.28515625" style="53" customWidth="1"/>
    <col min="13801" max="13801" width="9.85546875" style="53" customWidth="1"/>
    <col min="13802" max="13802" width="17.140625" style="53" customWidth="1"/>
    <col min="13803" max="13803" width="9.140625" style="53" customWidth="1"/>
    <col min="13804" max="13804" width="10.85546875" style="53" customWidth="1"/>
    <col min="13805" max="13805" width="11.28515625" style="53" customWidth="1"/>
    <col min="13806" max="13806" width="16.28515625" style="53" customWidth="1"/>
    <col min="13807" max="13807" width="8.28515625" style="53" customWidth="1"/>
    <col min="13808" max="13808" width="10.28515625" style="53" customWidth="1"/>
    <col min="13809" max="13809" width="11.28515625" style="53" customWidth="1"/>
    <col min="13810" max="13810" width="9.7109375" style="53" customWidth="1"/>
    <col min="13811" max="14052" width="9.140625" style="53" customWidth="1"/>
    <col min="14053" max="14053" width="30.140625" style="53" customWidth="1"/>
    <col min="14054" max="14054" width="52.140625" style="53" customWidth="1"/>
    <col min="14055" max="14055" width="47.7109375" style="53" customWidth="1"/>
    <col min="14056" max="14056" width="13.28515625" style="53" customWidth="1"/>
    <col min="14057" max="14057" width="9.85546875" style="53" customWidth="1"/>
    <col min="14058" max="14058" width="17.140625" style="53" customWidth="1"/>
    <col min="14059" max="14059" width="9.140625" style="53" customWidth="1"/>
    <col min="14060" max="14060" width="10.85546875" style="53" customWidth="1"/>
    <col min="14061" max="14061" width="11.28515625" style="53" customWidth="1"/>
    <col min="14062" max="14062" width="16.28515625" style="53" customWidth="1"/>
    <col min="14063" max="14063" width="8.28515625" style="53" customWidth="1"/>
    <col min="14064" max="14064" width="10.28515625" style="53" customWidth="1"/>
    <col min="14065" max="14065" width="11.28515625" style="53" customWidth="1"/>
    <col min="14066" max="14066" width="9.7109375" style="53" customWidth="1"/>
    <col min="14067" max="14308" width="9.140625" style="53" customWidth="1"/>
    <col min="14309" max="14309" width="30.140625" style="53" customWidth="1"/>
    <col min="14310" max="14310" width="52.140625" style="53" customWidth="1"/>
    <col min="14311" max="14311" width="47.7109375" style="53" customWidth="1"/>
    <col min="14312" max="14312" width="13.28515625" style="53" customWidth="1"/>
    <col min="14313" max="14313" width="9.85546875" style="53" customWidth="1"/>
    <col min="14314" max="14314" width="17.140625" style="53" customWidth="1"/>
    <col min="14315" max="14315" width="9.140625" style="53" customWidth="1"/>
    <col min="14316" max="14316" width="10.85546875" style="53" customWidth="1"/>
    <col min="14317" max="14317" width="11.28515625" style="53" customWidth="1"/>
    <col min="14318" max="14318" width="16.28515625" style="53" customWidth="1"/>
    <col min="14319" max="14319" width="8.28515625" style="53" customWidth="1"/>
    <col min="14320" max="14320" width="10.28515625" style="53" customWidth="1"/>
    <col min="14321" max="14321" width="11.28515625" style="53" customWidth="1"/>
    <col min="14322" max="14322" width="9.7109375" style="53" customWidth="1"/>
    <col min="14323" max="14564" width="9.140625" style="53" customWidth="1"/>
    <col min="14565" max="14565" width="30.140625" style="53" customWidth="1"/>
    <col min="14566" max="14566" width="52.140625" style="53" customWidth="1"/>
    <col min="14567" max="14567" width="47.7109375" style="53" customWidth="1"/>
    <col min="14568" max="14568" width="13.28515625" style="53" customWidth="1"/>
    <col min="14569" max="14569" width="9.85546875" style="53" customWidth="1"/>
    <col min="14570" max="14570" width="17.140625" style="53" customWidth="1"/>
    <col min="14571" max="14571" width="9.140625" style="53" customWidth="1"/>
    <col min="14572" max="14572" width="10.85546875" style="53" customWidth="1"/>
    <col min="14573" max="14573" width="11.28515625" style="53" customWidth="1"/>
    <col min="14574" max="14574" width="16.28515625" style="53" customWidth="1"/>
    <col min="14575" max="14575" width="8.28515625" style="53" customWidth="1"/>
    <col min="14576" max="14576" width="10.28515625" style="53" customWidth="1"/>
    <col min="14577" max="14577" width="11.28515625" style="53" customWidth="1"/>
    <col min="14578" max="14578" width="9.7109375" style="53" customWidth="1"/>
    <col min="14579" max="14820" width="9.140625" style="53" customWidth="1"/>
    <col min="14821" max="14821" width="30.140625" style="53" customWidth="1"/>
    <col min="14822" max="14822" width="52.140625" style="53" customWidth="1"/>
    <col min="14823" max="14823" width="47.7109375" style="53" customWidth="1"/>
    <col min="14824" max="14824" width="13.28515625" style="53" customWidth="1"/>
    <col min="14825" max="14825" width="9.85546875" style="53" customWidth="1"/>
    <col min="14826" max="14826" width="17.140625" style="53" customWidth="1"/>
    <col min="14827" max="14827" width="9.140625" style="53" customWidth="1"/>
    <col min="14828" max="14828" width="10.85546875" style="53" customWidth="1"/>
    <col min="14829" max="14829" width="11.28515625" style="53" customWidth="1"/>
    <col min="14830" max="14830" width="16.28515625" style="53" customWidth="1"/>
    <col min="14831" max="14831" width="8.28515625" style="53" customWidth="1"/>
    <col min="14832" max="14832" width="10.28515625" style="53" customWidth="1"/>
    <col min="14833" max="14833" width="11.28515625" style="53" customWidth="1"/>
    <col min="14834" max="14834" width="9.7109375" style="53" customWidth="1"/>
    <col min="14835" max="15076" width="9.140625" style="53" customWidth="1"/>
    <col min="15077" max="15077" width="30.140625" style="53" customWidth="1"/>
    <col min="15078" max="15078" width="52.140625" style="53" customWidth="1"/>
    <col min="15079" max="15079" width="47.7109375" style="53" customWidth="1"/>
    <col min="15080" max="15080" width="13.28515625" style="53" customWidth="1"/>
    <col min="15081" max="15081" width="9.85546875" style="53" customWidth="1"/>
    <col min="15082" max="15082" width="17.140625" style="53" customWidth="1"/>
    <col min="15083" max="15083" width="9.140625" style="53" customWidth="1"/>
    <col min="15084" max="15084" width="10.85546875" style="53" customWidth="1"/>
    <col min="15085" max="15085" width="11.28515625" style="53" customWidth="1"/>
    <col min="15086" max="15086" width="16.28515625" style="53" customWidth="1"/>
    <col min="15087" max="15087" width="8.28515625" style="53" customWidth="1"/>
    <col min="15088" max="15088" width="10.28515625" style="53" customWidth="1"/>
    <col min="15089" max="15089" width="11.28515625" style="53" customWidth="1"/>
    <col min="15090" max="15090" width="9.7109375" style="53" customWidth="1"/>
    <col min="15091" max="15332" width="9.140625" style="53" customWidth="1"/>
    <col min="15333" max="15333" width="30.140625" style="53" customWidth="1"/>
    <col min="15334" max="15334" width="52.140625" style="53" customWidth="1"/>
    <col min="15335" max="15335" width="47.7109375" style="53" customWidth="1"/>
    <col min="15336" max="15336" width="13.28515625" style="53" customWidth="1"/>
    <col min="15337" max="15337" width="9.85546875" style="53" customWidth="1"/>
    <col min="15338" max="15338" width="17.140625" style="53" customWidth="1"/>
    <col min="15339" max="15339" width="9.140625" style="53" customWidth="1"/>
    <col min="15340" max="15340" width="10.85546875" style="53" customWidth="1"/>
    <col min="15341" max="15341" width="11.28515625" style="53" customWidth="1"/>
    <col min="15342" max="15342" width="16.28515625" style="53" customWidth="1"/>
    <col min="15343" max="15343" width="8.28515625" style="53" customWidth="1"/>
    <col min="15344" max="15344" width="10.28515625" style="53" customWidth="1"/>
    <col min="15345" max="15345" width="11.28515625" style="53" customWidth="1"/>
    <col min="15346" max="15346" width="9.7109375" style="53" customWidth="1"/>
    <col min="15347" max="15588" width="9.140625" style="53" customWidth="1"/>
    <col min="15589" max="15589" width="30.140625" style="53" customWidth="1"/>
    <col min="15590" max="15590" width="52.140625" style="53" customWidth="1"/>
    <col min="15591" max="15591" width="47.7109375" style="53" customWidth="1"/>
    <col min="15592" max="15592" width="13.28515625" style="53" customWidth="1"/>
    <col min="15593" max="15593" width="9.85546875" style="53" customWidth="1"/>
    <col min="15594" max="15594" width="17.140625" style="53" customWidth="1"/>
    <col min="15595" max="15595" width="9.140625" style="53" customWidth="1"/>
    <col min="15596" max="15596" width="10.85546875" style="53" customWidth="1"/>
    <col min="15597" max="15597" width="11.28515625" style="53" customWidth="1"/>
    <col min="15598" max="15598" width="16.28515625" style="53" customWidth="1"/>
    <col min="15599" max="15599" width="8.28515625" style="53" customWidth="1"/>
    <col min="15600" max="15600" width="10.28515625" style="53" customWidth="1"/>
    <col min="15601" max="15601" width="11.28515625" style="53" customWidth="1"/>
    <col min="15602" max="15602" width="9.7109375" style="53" customWidth="1"/>
    <col min="15603" max="15844" width="9.140625" style="53" customWidth="1"/>
    <col min="15845" max="15845" width="30.140625" style="53" customWidth="1"/>
    <col min="15846" max="15846" width="52.140625" style="53" customWidth="1"/>
    <col min="15847" max="15847" width="47.7109375" style="53" customWidth="1"/>
    <col min="15848" max="15848" width="13.28515625" style="53" customWidth="1"/>
    <col min="15849" max="15849" width="9.85546875" style="53" customWidth="1"/>
    <col min="15850" max="15850" width="17.140625" style="53" customWidth="1"/>
    <col min="15851" max="15851" width="9.140625" style="53" customWidth="1"/>
    <col min="15852" max="15852" width="10.85546875" style="53" customWidth="1"/>
    <col min="15853" max="15853" width="11.28515625" style="53" customWidth="1"/>
    <col min="15854" max="15854" width="16.28515625" style="53" customWidth="1"/>
    <col min="15855" max="15855" width="8.28515625" style="53" customWidth="1"/>
    <col min="15856" max="15856" width="10.28515625" style="53" customWidth="1"/>
    <col min="15857" max="15857" width="11.28515625" style="53" customWidth="1"/>
    <col min="15858" max="15858" width="9.7109375" style="53" customWidth="1"/>
    <col min="15859" max="16100" width="9.140625" style="53" customWidth="1"/>
    <col min="16101" max="16101" width="30.140625" style="53" customWidth="1"/>
    <col min="16102" max="16102" width="52.140625" style="53" customWidth="1"/>
    <col min="16103" max="16103" width="47.7109375" style="53" customWidth="1"/>
    <col min="16104" max="16104" width="13.28515625" style="53" customWidth="1"/>
    <col min="16105" max="16105" width="9.85546875" style="53" customWidth="1"/>
    <col min="16106" max="16106" width="17.140625" style="53" customWidth="1"/>
    <col min="16107" max="16107" width="9.140625" style="53" customWidth="1"/>
    <col min="16108" max="16108" width="10.85546875" style="53" customWidth="1"/>
    <col min="16109" max="16109" width="11.28515625" style="53" customWidth="1"/>
    <col min="16110" max="16110" width="16.28515625" style="53" customWidth="1"/>
    <col min="16111" max="16111" width="8.28515625" style="53" customWidth="1"/>
    <col min="16112" max="16112" width="10.28515625" style="53" customWidth="1"/>
    <col min="16113" max="16113" width="11.28515625" style="53" customWidth="1"/>
    <col min="16114" max="16114" width="9.7109375" style="53" customWidth="1"/>
    <col min="16115" max="16384" width="9.140625" style="53" customWidth="1"/>
  </cols>
  <sheetData>
    <row r="1" spans="1:16" x14ac:dyDescent="0.25">
      <c r="A1" s="133" t="s">
        <v>87</v>
      </c>
      <c r="B1" s="164" t="s">
        <v>88</v>
      </c>
      <c r="C1" s="133" t="s">
        <v>89</v>
      </c>
      <c r="D1" s="133" t="s">
        <v>90</v>
      </c>
      <c r="E1" s="133" t="s">
        <v>91</v>
      </c>
      <c r="F1" s="133" t="s">
        <v>92</v>
      </c>
      <c r="G1" s="133" t="s">
        <v>93</v>
      </c>
      <c r="H1" s="133" t="s">
        <v>94</v>
      </c>
      <c r="I1" s="135" t="s">
        <v>95</v>
      </c>
      <c r="J1" s="135" t="s">
        <v>96</v>
      </c>
      <c r="K1" s="133" t="s">
        <v>97</v>
      </c>
      <c r="L1" s="135" t="s">
        <v>74</v>
      </c>
      <c r="M1" s="165" t="s">
        <v>48</v>
      </c>
      <c r="N1" s="165" t="s">
        <v>74</v>
      </c>
      <c r="O1" s="165" t="s">
        <v>48</v>
      </c>
      <c r="P1" s="165" t="s">
        <v>74</v>
      </c>
    </row>
    <row r="2" spans="1:16" x14ac:dyDescent="0.25">
      <c r="A2" s="288">
        <v>1570</v>
      </c>
      <c r="B2" s="289" t="s">
        <v>743</v>
      </c>
      <c r="C2" s="290" t="s">
        <v>234</v>
      </c>
      <c r="D2" s="290" t="s">
        <v>111</v>
      </c>
      <c r="E2" s="290" t="s">
        <v>112</v>
      </c>
      <c r="F2" s="290" t="s">
        <v>117</v>
      </c>
      <c r="G2" s="290" t="s">
        <v>370</v>
      </c>
      <c r="H2" s="290" t="s">
        <v>114</v>
      </c>
      <c r="I2" s="291"/>
      <c r="J2" s="291">
        <v>440</v>
      </c>
      <c r="K2" s="290" t="s">
        <v>744</v>
      </c>
      <c r="L2" s="96">
        <f>I2+J2*EERR!$D$2</f>
        <v>313808</v>
      </c>
      <c r="M2" s="96">
        <f>L2/EERR!$D$2</f>
        <v>440</v>
      </c>
      <c r="N2" s="96">
        <f>SUMIF(Ago!$B$3:$B$116,A2,Ago!$V$3:$V$116)</f>
        <v>0</v>
      </c>
      <c r="O2" s="166"/>
    </row>
    <row r="3" spans="1:16" x14ac:dyDescent="0.25">
      <c r="A3" s="288">
        <v>1571</v>
      </c>
      <c r="B3" s="289" t="s">
        <v>745</v>
      </c>
      <c r="C3" s="290" t="s">
        <v>233</v>
      </c>
      <c r="D3" s="290" t="s">
        <v>111</v>
      </c>
      <c r="E3" s="290" t="s">
        <v>115</v>
      </c>
      <c r="F3" s="290" t="s">
        <v>117</v>
      </c>
      <c r="G3" s="290" t="s">
        <v>417</v>
      </c>
      <c r="H3" s="290" t="s">
        <v>115</v>
      </c>
      <c r="I3" s="291">
        <v>184538</v>
      </c>
      <c r="J3" s="291"/>
      <c r="K3" s="290" t="s">
        <v>746</v>
      </c>
      <c r="L3" s="96">
        <f>I3+J3*EERR!$D$2</f>
        <v>184538</v>
      </c>
      <c r="M3" s="96">
        <f>L3/EERR!$D$2</f>
        <v>258.74649467190125</v>
      </c>
      <c r="N3" s="96">
        <f>SUMIF(Ago!$B$3:$B$116,A3,Ago!$V$3:$V$116)</f>
        <v>0</v>
      </c>
      <c r="O3" s="166">
        <f>+A3-A2</f>
        <v>1</v>
      </c>
    </row>
    <row r="4" spans="1:16" x14ac:dyDescent="0.25">
      <c r="A4" s="288">
        <v>1572</v>
      </c>
      <c r="B4" s="289" t="s">
        <v>747</v>
      </c>
      <c r="C4" s="290" t="s">
        <v>234</v>
      </c>
      <c r="D4" s="290" t="s">
        <v>111</v>
      </c>
      <c r="E4" s="290" t="s">
        <v>112</v>
      </c>
      <c r="F4" s="290" t="s">
        <v>117</v>
      </c>
      <c r="G4" s="290" t="s">
        <v>388</v>
      </c>
      <c r="H4" s="290" t="s">
        <v>114</v>
      </c>
      <c r="I4" s="291"/>
      <c r="J4" s="291">
        <v>880</v>
      </c>
      <c r="K4" s="290" t="s">
        <v>748</v>
      </c>
      <c r="L4" s="96">
        <f>I4+J4*EERR!$D$2</f>
        <v>627616</v>
      </c>
      <c r="M4" s="96">
        <f>L4/EERR!$D$2</f>
        <v>880</v>
      </c>
      <c r="N4" s="96">
        <f>SUMIF(Ago!$B$3:$B$116,A4,Ago!$V$3:$V$116)</f>
        <v>0</v>
      </c>
      <c r="O4" s="166">
        <f t="shared" ref="O4:O67" si="0">+A4-A3</f>
        <v>1</v>
      </c>
    </row>
    <row r="5" spans="1:16" x14ac:dyDescent="0.25">
      <c r="A5" s="288">
        <v>1573</v>
      </c>
      <c r="B5" s="289" t="s">
        <v>749</v>
      </c>
      <c r="C5" s="290" t="s">
        <v>234</v>
      </c>
      <c r="D5" s="290" t="s">
        <v>111</v>
      </c>
      <c r="E5" s="290" t="s">
        <v>112</v>
      </c>
      <c r="F5" s="290" t="s">
        <v>117</v>
      </c>
      <c r="G5" s="290" t="s">
        <v>750</v>
      </c>
      <c r="H5" s="290" t="s">
        <v>114</v>
      </c>
      <c r="I5" s="291"/>
      <c r="J5" s="291">
        <v>195</v>
      </c>
      <c r="K5" s="290" t="s">
        <v>751</v>
      </c>
      <c r="L5" s="96">
        <f>I5+J5*EERR!$D$2</f>
        <v>139074</v>
      </c>
      <c r="M5" s="96">
        <f>L5/EERR!$D$2</f>
        <v>195</v>
      </c>
      <c r="N5" s="96">
        <f>SUMIF(Ago!$B$3:$B$116,A5,Ago!$V$3:$V$116)</f>
        <v>1176780</v>
      </c>
      <c r="O5" s="166">
        <f t="shared" si="0"/>
        <v>1</v>
      </c>
    </row>
    <row r="6" spans="1:16" x14ac:dyDescent="0.25">
      <c r="A6" s="288">
        <v>1574</v>
      </c>
      <c r="B6" s="289" t="s">
        <v>752</v>
      </c>
      <c r="C6" s="290" t="s">
        <v>234</v>
      </c>
      <c r="D6" s="290" t="s">
        <v>111</v>
      </c>
      <c r="E6" s="290" t="s">
        <v>112</v>
      </c>
      <c r="F6" s="290" t="s">
        <v>117</v>
      </c>
      <c r="G6" s="290" t="s">
        <v>753</v>
      </c>
      <c r="H6" s="290" t="s">
        <v>114</v>
      </c>
      <c r="I6" s="291"/>
      <c r="J6" s="291">
        <v>20</v>
      </c>
      <c r="K6" s="290" t="s">
        <v>754</v>
      </c>
      <c r="L6" s="96">
        <f>I6+J6*EERR!$D$2</f>
        <v>14264</v>
      </c>
      <c r="M6" s="96">
        <f>L6/EERR!$D$2</f>
        <v>20</v>
      </c>
      <c r="N6" s="96">
        <f>SUMIF(Ago!$B$3:$B$116,A6,Ago!$V$3:$V$116)</f>
        <v>0</v>
      </c>
      <c r="O6" s="166">
        <f t="shared" si="0"/>
        <v>1</v>
      </c>
    </row>
    <row r="7" spans="1:16" x14ac:dyDescent="0.25">
      <c r="A7" s="288">
        <v>1575</v>
      </c>
      <c r="B7" s="289" t="s">
        <v>752</v>
      </c>
      <c r="C7" s="290" t="s">
        <v>234</v>
      </c>
      <c r="D7" s="290" t="s">
        <v>111</v>
      </c>
      <c r="E7" s="290" t="s">
        <v>112</v>
      </c>
      <c r="F7" s="290" t="s">
        <v>117</v>
      </c>
      <c r="G7" s="290" t="s">
        <v>755</v>
      </c>
      <c r="H7" s="290" t="s">
        <v>114</v>
      </c>
      <c r="I7" s="291"/>
      <c r="J7" s="291">
        <v>20</v>
      </c>
      <c r="K7" s="290" t="s">
        <v>756</v>
      </c>
      <c r="L7" s="96">
        <f>I7+J7*EERR!$D$2</f>
        <v>14264</v>
      </c>
      <c r="M7" s="96">
        <f>L7/EERR!$D$2</f>
        <v>20</v>
      </c>
      <c r="N7" s="96">
        <f>SUMIF(Ago!$B$3:$B$116,A7,Ago!$V$3:$V$116)</f>
        <v>0</v>
      </c>
      <c r="O7" s="166">
        <f t="shared" si="0"/>
        <v>1</v>
      </c>
    </row>
    <row r="8" spans="1:16" x14ac:dyDescent="0.25">
      <c r="A8" s="288">
        <v>1576</v>
      </c>
      <c r="B8" s="289" t="s">
        <v>757</v>
      </c>
      <c r="C8" s="290" t="s">
        <v>233</v>
      </c>
      <c r="D8" s="290" t="s">
        <v>111</v>
      </c>
      <c r="E8" s="290" t="s">
        <v>115</v>
      </c>
      <c r="F8" s="290" t="s">
        <v>116</v>
      </c>
      <c r="G8" s="290" t="s">
        <v>758</v>
      </c>
      <c r="H8" s="290" t="s">
        <v>115</v>
      </c>
      <c r="I8" s="291">
        <v>184569</v>
      </c>
      <c r="J8" s="291"/>
      <c r="K8" s="290" t="s">
        <v>759</v>
      </c>
      <c r="L8" s="96">
        <f>I8+J8*EERR!$D$2</f>
        <v>184569</v>
      </c>
      <c r="M8" s="96">
        <f>L8/EERR!$D$2</f>
        <v>258.78996074032528</v>
      </c>
      <c r="N8" s="96">
        <f>SUMIF(Ago!$B$3:$B$116,A8,Ago!$V$3:$V$116)</f>
        <v>556325</v>
      </c>
      <c r="O8" s="166">
        <f t="shared" si="0"/>
        <v>1</v>
      </c>
    </row>
    <row r="9" spans="1:16" x14ac:dyDescent="0.25">
      <c r="A9" s="288">
        <v>1577</v>
      </c>
      <c r="B9" s="289" t="s">
        <v>760</v>
      </c>
      <c r="C9" s="290" t="s">
        <v>234</v>
      </c>
      <c r="D9" s="290" t="s">
        <v>111</v>
      </c>
      <c r="E9" s="290" t="s">
        <v>112</v>
      </c>
      <c r="F9" s="290" t="s">
        <v>116</v>
      </c>
      <c r="G9" s="290" t="s">
        <v>761</v>
      </c>
      <c r="H9" s="290" t="s">
        <v>114</v>
      </c>
      <c r="I9" s="291"/>
      <c r="J9" s="291">
        <v>195</v>
      </c>
      <c r="K9" s="290" t="s">
        <v>762</v>
      </c>
      <c r="L9" s="96">
        <f>I9+J9*EERR!$D$2</f>
        <v>139074</v>
      </c>
      <c r="M9" s="96">
        <f>L9/EERR!$D$2</f>
        <v>195</v>
      </c>
      <c r="N9" s="96">
        <f>SUMIF(Ago!$B$3:$B$116,A9,Ago!$V$3:$V$116)</f>
        <v>887934</v>
      </c>
      <c r="O9" s="166">
        <f t="shared" si="0"/>
        <v>1</v>
      </c>
    </row>
    <row r="10" spans="1:16" x14ac:dyDescent="0.25">
      <c r="A10" s="288">
        <v>1578</v>
      </c>
      <c r="B10" s="289" t="s">
        <v>763</v>
      </c>
      <c r="C10" s="290" t="s">
        <v>233</v>
      </c>
      <c r="D10" s="290" t="s">
        <v>111</v>
      </c>
      <c r="E10" s="290" t="s">
        <v>115</v>
      </c>
      <c r="F10" s="290" t="s">
        <v>117</v>
      </c>
      <c r="G10" s="290" t="s">
        <v>764</v>
      </c>
      <c r="H10" s="290" t="s">
        <v>115</v>
      </c>
      <c r="I10" s="291">
        <v>191280</v>
      </c>
      <c r="J10" s="291"/>
      <c r="K10" s="290" t="s">
        <v>765</v>
      </c>
      <c r="L10" s="96">
        <f>I10+J10*EERR!$D$2</f>
        <v>191280</v>
      </c>
      <c r="M10" s="96">
        <f>L10/EERR!$D$2</f>
        <v>268.19966348850249</v>
      </c>
      <c r="N10" s="96">
        <f>SUMIF(Ago!$B$3:$B$116,A10,Ago!$V$3:$V$116)</f>
        <v>0</v>
      </c>
      <c r="O10" s="166">
        <f t="shared" si="0"/>
        <v>1</v>
      </c>
    </row>
    <row r="11" spans="1:16" x14ac:dyDescent="0.25">
      <c r="A11" s="288">
        <v>1579</v>
      </c>
      <c r="B11" s="289" t="s">
        <v>766</v>
      </c>
      <c r="C11" s="290" t="s">
        <v>233</v>
      </c>
      <c r="D11" s="290" t="s">
        <v>111</v>
      </c>
      <c r="E11" s="290" t="s">
        <v>115</v>
      </c>
      <c r="F11" s="290" t="s">
        <v>117</v>
      </c>
      <c r="G11" s="290" t="s">
        <v>764</v>
      </c>
      <c r="H11" s="290" t="s">
        <v>115</v>
      </c>
      <c r="I11" s="291">
        <v>191280</v>
      </c>
      <c r="J11" s="291"/>
      <c r="K11" s="290" t="s">
        <v>767</v>
      </c>
      <c r="L11" s="96">
        <f>I11+J11*EERR!$D$2</f>
        <v>191280</v>
      </c>
      <c r="M11" s="96">
        <f>L11/EERR!$D$2</f>
        <v>268.19966348850249</v>
      </c>
      <c r="N11" s="96">
        <f>SUMIF(Ago!$B$3:$B$116,A11,Ago!$V$3:$V$116)</f>
        <v>0</v>
      </c>
      <c r="O11" s="166">
        <f t="shared" si="0"/>
        <v>1</v>
      </c>
    </row>
    <row r="12" spans="1:16" x14ac:dyDescent="0.25">
      <c r="A12" s="288">
        <v>1580</v>
      </c>
      <c r="B12" s="289" t="s">
        <v>768</v>
      </c>
      <c r="C12" s="290" t="s">
        <v>233</v>
      </c>
      <c r="D12" s="290" t="s">
        <v>111</v>
      </c>
      <c r="E12" s="290" t="s">
        <v>115</v>
      </c>
      <c r="F12" s="290" t="s">
        <v>578</v>
      </c>
      <c r="G12" s="290" t="s">
        <v>769</v>
      </c>
      <c r="H12" s="290" t="s">
        <v>580</v>
      </c>
      <c r="I12" s="291">
        <v>7000</v>
      </c>
      <c r="J12" s="291"/>
      <c r="K12" s="290" t="s">
        <v>770</v>
      </c>
      <c r="L12" s="96">
        <f>I12+J12*EERR!$D$2</f>
        <v>7000</v>
      </c>
      <c r="M12" s="96">
        <f>L12/EERR!$D$2</f>
        <v>9.8149186763881087</v>
      </c>
      <c r="N12" s="96">
        <f>SUMIF(Ago!$B$3:$B$116,A12,Ago!$V$3:$V$116)</f>
        <v>0</v>
      </c>
      <c r="O12" s="166">
        <f t="shared" si="0"/>
        <v>1</v>
      </c>
    </row>
    <row r="13" spans="1:16" x14ac:dyDescent="0.25">
      <c r="A13" s="288">
        <v>1581</v>
      </c>
      <c r="B13" s="289" t="s">
        <v>771</v>
      </c>
      <c r="C13" s="290" t="s">
        <v>234</v>
      </c>
      <c r="D13" s="290" t="s">
        <v>111</v>
      </c>
      <c r="E13" s="290" t="s">
        <v>112</v>
      </c>
      <c r="F13" s="290" t="s">
        <v>117</v>
      </c>
      <c r="G13" s="290" t="s">
        <v>563</v>
      </c>
      <c r="H13" s="290" t="s">
        <v>114</v>
      </c>
      <c r="I13" s="291"/>
      <c r="J13" s="291">
        <v>1111.5</v>
      </c>
      <c r="K13" s="290" t="s">
        <v>772</v>
      </c>
      <c r="L13" s="96">
        <f>I13+J13*EERR!$D$2</f>
        <v>792721.8</v>
      </c>
      <c r="M13" s="96">
        <f>L13/EERR!$D$2</f>
        <v>1111.5</v>
      </c>
      <c r="N13" s="96">
        <f>SUMIF(Ago!$B$3:$B$116,A13,Ago!$V$3:$V$116)</f>
        <v>0</v>
      </c>
      <c r="O13" s="166">
        <f t="shared" si="0"/>
        <v>1</v>
      </c>
    </row>
    <row r="14" spans="1:16" x14ac:dyDescent="0.25">
      <c r="A14" s="288">
        <v>1582</v>
      </c>
      <c r="B14" s="289" t="s">
        <v>773</v>
      </c>
      <c r="C14" s="290" t="s">
        <v>234</v>
      </c>
      <c r="D14" s="290" t="s">
        <v>111</v>
      </c>
      <c r="E14" s="290" t="s">
        <v>112</v>
      </c>
      <c r="F14" s="290" t="s">
        <v>117</v>
      </c>
      <c r="G14" s="290" t="s">
        <v>548</v>
      </c>
      <c r="H14" s="290" t="s">
        <v>114</v>
      </c>
      <c r="I14" s="291"/>
      <c r="J14" s="291">
        <v>390</v>
      </c>
      <c r="K14" s="290" t="s">
        <v>774</v>
      </c>
      <c r="L14" s="96">
        <f>I14+J14*EERR!$D$2</f>
        <v>278148</v>
      </c>
      <c r="M14" s="96">
        <f>L14/EERR!$D$2</f>
        <v>390</v>
      </c>
      <c r="N14" s="96">
        <f>SUMIF(Ago!$B$3:$B$116,A14,Ago!$V$3:$V$116)</f>
        <v>0</v>
      </c>
      <c r="O14" s="166">
        <f t="shared" si="0"/>
        <v>1</v>
      </c>
    </row>
    <row r="15" spans="1:16" x14ac:dyDescent="0.25">
      <c r="A15" s="288">
        <v>1583</v>
      </c>
      <c r="B15" s="289" t="s">
        <v>775</v>
      </c>
      <c r="C15" s="290" t="s">
        <v>234</v>
      </c>
      <c r="D15" s="290" t="s">
        <v>111</v>
      </c>
      <c r="E15" s="290" t="s">
        <v>112</v>
      </c>
      <c r="F15" s="290" t="s">
        <v>117</v>
      </c>
      <c r="G15" s="290" t="s">
        <v>783</v>
      </c>
      <c r="H15" s="290" t="s">
        <v>114</v>
      </c>
      <c r="I15" s="291"/>
      <c r="J15" s="291">
        <v>585</v>
      </c>
      <c r="K15" s="290" t="s">
        <v>784</v>
      </c>
      <c r="L15" s="96">
        <f>I15+J15*EERR!$D$2</f>
        <v>417222</v>
      </c>
      <c r="M15" s="96">
        <f>L15/EERR!$D$2</f>
        <v>585</v>
      </c>
      <c r="N15" s="96">
        <f>SUMIF(Ago!$B$3:$B$116,A15,Ago!$V$3:$V$116)</f>
        <v>0</v>
      </c>
      <c r="O15" s="166">
        <f t="shared" si="0"/>
        <v>1</v>
      </c>
    </row>
    <row r="16" spans="1:16" x14ac:dyDescent="0.25">
      <c r="A16" s="288">
        <v>1584</v>
      </c>
      <c r="B16" s="289" t="s">
        <v>775</v>
      </c>
      <c r="C16" s="290" t="s">
        <v>234</v>
      </c>
      <c r="D16" s="290" t="s">
        <v>111</v>
      </c>
      <c r="E16" s="290" t="s">
        <v>112</v>
      </c>
      <c r="F16" s="290" t="s">
        <v>116</v>
      </c>
      <c r="G16" s="290" t="s">
        <v>426</v>
      </c>
      <c r="H16" s="290" t="s">
        <v>114</v>
      </c>
      <c r="I16" s="291"/>
      <c r="J16" s="291">
        <v>205</v>
      </c>
      <c r="K16" s="290" t="s">
        <v>782</v>
      </c>
      <c r="L16" s="96">
        <f>I16+J16*EERR!$D$2</f>
        <v>146206</v>
      </c>
      <c r="M16" s="96">
        <f>L16/EERR!$D$2</f>
        <v>205</v>
      </c>
      <c r="N16" s="96">
        <f>SUMIF(Ago!$B$3:$B$116,A16,Ago!$V$3:$V$116)</f>
        <v>0</v>
      </c>
      <c r="O16" s="166">
        <f t="shared" si="0"/>
        <v>1</v>
      </c>
    </row>
    <row r="17" spans="1:15" x14ac:dyDescent="0.25">
      <c r="A17" s="288">
        <v>1585</v>
      </c>
      <c r="B17" s="289" t="s">
        <v>775</v>
      </c>
      <c r="C17" s="290" t="s">
        <v>234</v>
      </c>
      <c r="D17" s="290" t="s">
        <v>111</v>
      </c>
      <c r="E17" s="290" t="s">
        <v>112</v>
      </c>
      <c r="F17" s="290" t="s">
        <v>117</v>
      </c>
      <c r="G17" s="290" t="s">
        <v>780</v>
      </c>
      <c r="H17" s="290" t="s">
        <v>114</v>
      </c>
      <c r="I17" s="291"/>
      <c r="J17" s="291">
        <v>220</v>
      </c>
      <c r="K17" s="290" t="s">
        <v>781</v>
      </c>
      <c r="L17" s="96">
        <f>I17+J17*EERR!$D$2</f>
        <v>156904</v>
      </c>
      <c r="M17" s="96">
        <f>L17/EERR!$D$2</f>
        <v>220</v>
      </c>
      <c r="N17" s="96">
        <f>SUMIF(Ago!$B$3:$B$116,A17,Ago!$V$3:$V$116)</f>
        <v>0</v>
      </c>
      <c r="O17" s="166">
        <f t="shared" si="0"/>
        <v>1</v>
      </c>
    </row>
    <row r="18" spans="1:15" x14ac:dyDescent="0.25">
      <c r="A18" s="288">
        <v>1586</v>
      </c>
      <c r="B18" s="289" t="s">
        <v>775</v>
      </c>
      <c r="C18" s="290" t="s">
        <v>234</v>
      </c>
      <c r="D18" s="290" t="s">
        <v>111</v>
      </c>
      <c r="E18" s="290" t="s">
        <v>112</v>
      </c>
      <c r="F18" s="290" t="s">
        <v>116</v>
      </c>
      <c r="G18" s="290" t="s">
        <v>778</v>
      </c>
      <c r="H18" s="290" t="s">
        <v>114</v>
      </c>
      <c r="I18" s="291"/>
      <c r="J18" s="291">
        <v>220</v>
      </c>
      <c r="K18" s="290" t="s">
        <v>779</v>
      </c>
      <c r="L18" s="96">
        <f>I18+J18*EERR!$D$2</f>
        <v>156904</v>
      </c>
      <c r="M18" s="96">
        <f>L18/EERR!$D$2</f>
        <v>220</v>
      </c>
      <c r="N18" s="96">
        <f>SUMIF(Ago!$B$3:$B$116,A18,Ago!$V$3:$V$116)</f>
        <v>0</v>
      </c>
      <c r="O18" s="166">
        <f t="shared" si="0"/>
        <v>1</v>
      </c>
    </row>
    <row r="19" spans="1:15" x14ac:dyDescent="0.25">
      <c r="A19" s="288">
        <v>1587</v>
      </c>
      <c r="B19" s="289" t="s">
        <v>775</v>
      </c>
      <c r="C19" s="290" t="s">
        <v>234</v>
      </c>
      <c r="D19" s="290" t="s">
        <v>111</v>
      </c>
      <c r="E19" s="290" t="s">
        <v>112</v>
      </c>
      <c r="F19" s="290" t="s">
        <v>116</v>
      </c>
      <c r="G19" s="290" t="s">
        <v>776</v>
      </c>
      <c r="H19" s="290" t="s">
        <v>114</v>
      </c>
      <c r="I19" s="291"/>
      <c r="J19" s="291">
        <v>220</v>
      </c>
      <c r="K19" s="290" t="s">
        <v>777</v>
      </c>
      <c r="L19" s="96">
        <f>I19+J19*EERR!$D$2</f>
        <v>156904</v>
      </c>
      <c r="M19" s="96">
        <f>L19/EERR!$D$2</f>
        <v>220</v>
      </c>
      <c r="N19" s="96">
        <f>SUMIF(Ago!$B$3:$B$116,A19,Ago!$V$3:$V$116)</f>
        <v>0</v>
      </c>
      <c r="O19" s="166">
        <f t="shared" si="0"/>
        <v>1</v>
      </c>
    </row>
    <row r="20" spans="1:15" x14ac:dyDescent="0.25">
      <c r="A20" s="288">
        <v>1588</v>
      </c>
      <c r="B20" s="289" t="s">
        <v>785</v>
      </c>
      <c r="C20" s="290" t="s">
        <v>234</v>
      </c>
      <c r="D20" s="290" t="s">
        <v>111</v>
      </c>
      <c r="E20" s="290" t="s">
        <v>112</v>
      </c>
      <c r="F20" s="290" t="s">
        <v>116</v>
      </c>
      <c r="G20" s="290" t="s">
        <v>786</v>
      </c>
      <c r="H20" s="290" t="s">
        <v>114</v>
      </c>
      <c r="I20" s="291"/>
      <c r="J20" s="291">
        <v>780</v>
      </c>
      <c r="K20" s="290" t="s">
        <v>787</v>
      </c>
      <c r="L20" s="96">
        <f>I20+J20*EERR!$D$2</f>
        <v>556296</v>
      </c>
      <c r="M20" s="96">
        <f>L20/EERR!$D$2</f>
        <v>780</v>
      </c>
      <c r="N20" s="96">
        <f>SUMIF(Ago!$B$3:$B$116,A20,Ago!$V$3:$V$116)</f>
        <v>556296</v>
      </c>
      <c r="O20" s="166">
        <f t="shared" si="0"/>
        <v>1</v>
      </c>
    </row>
    <row r="21" spans="1:15" x14ac:dyDescent="0.25">
      <c r="A21" s="288">
        <v>1589</v>
      </c>
      <c r="B21" s="289" t="s">
        <v>785</v>
      </c>
      <c r="C21" s="290" t="s">
        <v>234</v>
      </c>
      <c r="D21" s="290" t="s">
        <v>111</v>
      </c>
      <c r="E21" s="290" t="s">
        <v>112</v>
      </c>
      <c r="F21" s="290" t="s">
        <v>116</v>
      </c>
      <c r="G21" s="290" t="s">
        <v>788</v>
      </c>
      <c r="H21" s="290" t="s">
        <v>114</v>
      </c>
      <c r="I21" s="291"/>
      <c r="J21" s="291">
        <v>209</v>
      </c>
      <c r="K21" s="290" t="s">
        <v>789</v>
      </c>
      <c r="L21" s="96">
        <f>I21+J21*EERR!$D$2</f>
        <v>149058.80000000002</v>
      </c>
      <c r="M21" s="96">
        <f>L21/EERR!$D$2</f>
        <v>209</v>
      </c>
      <c r="N21" s="96">
        <f>SUMIF(Ago!$B$3:$B$116,A21,Ago!$V$3:$V$116)</f>
        <v>0</v>
      </c>
      <c r="O21" s="166">
        <f t="shared" si="0"/>
        <v>1</v>
      </c>
    </row>
    <row r="22" spans="1:15" x14ac:dyDescent="0.25">
      <c r="A22" s="288">
        <v>1590</v>
      </c>
      <c r="B22" s="289" t="s">
        <v>790</v>
      </c>
      <c r="C22" s="290" t="s">
        <v>234</v>
      </c>
      <c r="D22" s="290" t="s">
        <v>111</v>
      </c>
      <c r="E22" s="290" t="s">
        <v>112</v>
      </c>
      <c r="F22" s="290" t="s">
        <v>117</v>
      </c>
      <c r="G22" s="290" t="s">
        <v>791</v>
      </c>
      <c r="H22" s="290" t="s">
        <v>114</v>
      </c>
      <c r="I22" s="291"/>
      <c r="J22" s="291">
        <v>220</v>
      </c>
      <c r="K22" s="290" t="s">
        <v>792</v>
      </c>
      <c r="L22" s="96">
        <f>I22+J22*EERR!$D$2</f>
        <v>156904</v>
      </c>
      <c r="M22" s="96">
        <f>L22/EERR!$D$2</f>
        <v>220</v>
      </c>
      <c r="N22" s="96">
        <f>SUMIF(Ago!$B$3:$B$116,A22,Ago!$V$3:$V$116)</f>
        <v>941424.00000000012</v>
      </c>
      <c r="O22" s="166">
        <f t="shared" si="0"/>
        <v>1</v>
      </c>
    </row>
    <row r="23" spans="1:15" x14ac:dyDescent="0.25">
      <c r="A23" s="288">
        <v>1591</v>
      </c>
      <c r="B23" s="289" t="s">
        <v>793</v>
      </c>
      <c r="C23" s="290" t="s">
        <v>234</v>
      </c>
      <c r="D23" s="290" t="s">
        <v>111</v>
      </c>
      <c r="E23" s="290" t="s">
        <v>112</v>
      </c>
      <c r="F23" s="290" t="s">
        <v>117</v>
      </c>
      <c r="G23" s="290" t="s">
        <v>794</v>
      </c>
      <c r="H23" s="290" t="s">
        <v>114</v>
      </c>
      <c r="I23" s="291"/>
      <c r="J23" s="291">
        <v>220</v>
      </c>
      <c r="K23" s="290" t="s">
        <v>795</v>
      </c>
      <c r="L23" s="96">
        <f>I23+J23*EERR!$D$2</f>
        <v>156904</v>
      </c>
      <c r="M23" s="96">
        <f>L23/EERR!$D$2</f>
        <v>220</v>
      </c>
      <c r="N23" s="96">
        <f>SUMIF(Ago!$B$3:$B$116,A23,Ago!$V$3:$V$116)</f>
        <v>0</v>
      </c>
      <c r="O23" s="166">
        <f t="shared" si="0"/>
        <v>1</v>
      </c>
    </row>
    <row r="24" spans="1:15" x14ac:dyDescent="0.25">
      <c r="A24" s="288">
        <v>1592</v>
      </c>
      <c r="B24" s="289" t="s">
        <v>796</v>
      </c>
      <c r="C24" s="290" t="s">
        <v>234</v>
      </c>
      <c r="D24" s="290" t="s">
        <v>111</v>
      </c>
      <c r="E24" s="290" t="s">
        <v>112</v>
      </c>
      <c r="F24" s="290" t="s">
        <v>117</v>
      </c>
      <c r="G24" s="290" t="s">
        <v>797</v>
      </c>
      <c r="H24" s="290" t="s">
        <v>114</v>
      </c>
      <c r="I24" s="291"/>
      <c r="J24" s="291">
        <v>195</v>
      </c>
      <c r="K24" s="290" t="s">
        <v>798</v>
      </c>
      <c r="L24" s="96">
        <f>I24+J24*EERR!$D$2</f>
        <v>139074</v>
      </c>
      <c r="M24" s="96">
        <f>L24/EERR!$D$2</f>
        <v>195</v>
      </c>
      <c r="N24" s="96">
        <f>SUMIF(Ago!$B$3:$B$116,A24,Ago!$V$3:$V$116)</f>
        <v>417222</v>
      </c>
      <c r="O24" s="166">
        <f t="shared" si="0"/>
        <v>1</v>
      </c>
    </row>
    <row r="25" spans="1:15" x14ac:dyDescent="0.25">
      <c r="A25" s="288">
        <v>1593</v>
      </c>
      <c r="B25" s="289" t="s">
        <v>799</v>
      </c>
      <c r="C25" s="290" t="s">
        <v>234</v>
      </c>
      <c r="D25" s="290" t="s">
        <v>111</v>
      </c>
      <c r="E25" s="290" t="s">
        <v>112</v>
      </c>
      <c r="F25" s="290" t="s">
        <v>117</v>
      </c>
      <c r="G25" s="290" t="s">
        <v>450</v>
      </c>
      <c r="H25" s="290" t="s">
        <v>114</v>
      </c>
      <c r="I25" s="291"/>
      <c r="J25" s="291">
        <v>615</v>
      </c>
      <c r="K25" s="290" t="s">
        <v>800</v>
      </c>
      <c r="L25" s="96">
        <f>I25+J25*EERR!$D$2</f>
        <v>438618</v>
      </c>
      <c r="M25" s="96">
        <f>L25/EERR!$D$2</f>
        <v>615</v>
      </c>
      <c r="N25" s="96">
        <f>SUMIF(Ago!$B$3:$B$116,A25,Ago!$V$3:$V$116)</f>
        <v>0</v>
      </c>
      <c r="O25" s="166">
        <f t="shared" si="0"/>
        <v>1</v>
      </c>
    </row>
    <row r="26" spans="1:15" x14ac:dyDescent="0.25">
      <c r="A26" s="288">
        <v>1594</v>
      </c>
      <c r="B26" s="289" t="s">
        <v>801</v>
      </c>
      <c r="C26" s="290" t="s">
        <v>233</v>
      </c>
      <c r="D26" s="290" t="s">
        <v>111</v>
      </c>
      <c r="E26" s="290" t="s">
        <v>115</v>
      </c>
      <c r="F26" s="290" t="s">
        <v>116</v>
      </c>
      <c r="G26" s="290" t="s">
        <v>445</v>
      </c>
      <c r="H26" s="290" t="s">
        <v>115</v>
      </c>
      <c r="I26" s="291">
        <v>375944</v>
      </c>
      <c r="J26" s="291"/>
      <c r="K26" s="290" t="s">
        <v>802</v>
      </c>
      <c r="L26" s="96">
        <f>I26+J26*EERR!$D$2</f>
        <v>375944</v>
      </c>
      <c r="M26" s="96">
        <f>L26/EERR!$D$2</f>
        <v>527.12282669657873</v>
      </c>
      <c r="N26" s="96">
        <f>SUMIF(Ago!$B$3:$B$116,A26,Ago!$V$3:$V$116)</f>
        <v>0</v>
      </c>
      <c r="O26" s="166">
        <f t="shared" si="0"/>
        <v>1</v>
      </c>
    </row>
    <row r="27" spans="1:15" x14ac:dyDescent="0.25">
      <c r="A27" s="288">
        <v>1595</v>
      </c>
      <c r="B27" s="289" t="s">
        <v>803</v>
      </c>
      <c r="C27" s="290" t="s">
        <v>234</v>
      </c>
      <c r="D27" s="290" t="s">
        <v>111</v>
      </c>
      <c r="E27" s="290" t="s">
        <v>112</v>
      </c>
      <c r="F27" s="290" t="s">
        <v>117</v>
      </c>
      <c r="G27" s="290" t="s">
        <v>455</v>
      </c>
      <c r="H27" s="290" t="s">
        <v>114</v>
      </c>
      <c r="I27" s="291"/>
      <c r="J27" s="291">
        <v>900</v>
      </c>
      <c r="K27" s="290" t="s">
        <v>804</v>
      </c>
      <c r="L27" s="96">
        <f>I27+J27*EERR!$D$2</f>
        <v>641880</v>
      </c>
      <c r="M27" s="96">
        <f>L27/EERR!$D$2</f>
        <v>899.99999999999989</v>
      </c>
      <c r="N27" s="96">
        <f>SUMIF(Ago!$B$3:$B$116,A27,Ago!$V$3:$V$116)</f>
        <v>0</v>
      </c>
      <c r="O27" s="166">
        <f t="shared" si="0"/>
        <v>1</v>
      </c>
    </row>
    <row r="28" spans="1:15" x14ac:dyDescent="0.25">
      <c r="A28" s="288">
        <v>1596</v>
      </c>
      <c r="B28" s="289" t="s">
        <v>805</v>
      </c>
      <c r="C28" s="290" t="s">
        <v>234</v>
      </c>
      <c r="D28" s="290" t="s">
        <v>111</v>
      </c>
      <c r="E28" s="290" t="s">
        <v>112</v>
      </c>
      <c r="F28" s="290" t="s">
        <v>117</v>
      </c>
      <c r="G28" s="290" t="s">
        <v>806</v>
      </c>
      <c r="H28" s="290" t="s">
        <v>114</v>
      </c>
      <c r="I28" s="291"/>
      <c r="J28" s="291">
        <v>370.5</v>
      </c>
      <c r="K28" s="290" t="s">
        <v>807</v>
      </c>
      <c r="L28" s="96">
        <f>I28+J28*EERR!$D$2</f>
        <v>264240.60000000003</v>
      </c>
      <c r="M28" s="96">
        <f>L28/EERR!$D$2</f>
        <v>370.5</v>
      </c>
      <c r="N28" s="96">
        <f>SUMIF(Ago!$B$3:$B$116,A28,Ago!$V$3:$V$116)</f>
        <v>264240.60000000003</v>
      </c>
      <c r="O28" s="166">
        <f t="shared" si="0"/>
        <v>1</v>
      </c>
    </row>
    <row r="29" spans="1:15" x14ac:dyDescent="0.25">
      <c r="A29" s="288">
        <v>1597</v>
      </c>
      <c r="B29" s="289" t="s">
        <v>808</v>
      </c>
      <c r="C29" s="290" t="s">
        <v>234</v>
      </c>
      <c r="D29" s="290" t="s">
        <v>111</v>
      </c>
      <c r="E29" s="290" t="s">
        <v>112</v>
      </c>
      <c r="F29" s="290" t="s">
        <v>113</v>
      </c>
      <c r="G29" s="290" t="s">
        <v>809</v>
      </c>
      <c r="H29" s="290" t="s">
        <v>114</v>
      </c>
      <c r="I29" s="291"/>
      <c r="J29" s="291">
        <v>195</v>
      </c>
      <c r="K29" s="290" t="s">
        <v>326</v>
      </c>
      <c r="L29" s="96">
        <f>I29+J29*EERR!$D$2</f>
        <v>139074</v>
      </c>
      <c r="M29" s="96">
        <f>L29/EERR!$D$2</f>
        <v>195</v>
      </c>
      <c r="N29" s="96">
        <f>SUMIF(Ago!$B$3:$B$116,A29,Ago!$V$3:$V$116)</f>
        <v>139074</v>
      </c>
      <c r="O29" s="166">
        <f t="shared" si="0"/>
        <v>1</v>
      </c>
    </row>
    <row r="30" spans="1:15" x14ac:dyDescent="0.25">
      <c r="A30" s="288">
        <v>1598</v>
      </c>
      <c r="B30" s="289" t="s">
        <v>810</v>
      </c>
      <c r="C30" s="290" t="s">
        <v>234</v>
      </c>
      <c r="D30" s="290" t="s">
        <v>111</v>
      </c>
      <c r="E30" s="290" t="s">
        <v>112</v>
      </c>
      <c r="F30" s="290" t="s">
        <v>116</v>
      </c>
      <c r="G30" s="290" t="s">
        <v>811</v>
      </c>
      <c r="H30" s="290" t="s">
        <v>114</v>
      </c>
      <c r="I30" s="291"/>
      <c r="J30" s="291">
        <v>220</v>
      </c>
      <c r="K30" s="290" t="s">
        <v>812</v>
      </c>
      <c r="L30" s="96">
        <f>I30+J30*EERR!$D$2</f>
        <v>156904</v>
      </c>
      <c r="M30" s="96">
        <f>L30/EERR!$D$2</f>
        <v>220</v>
      </c>
      <c r="N30" s="96">
        <f>SUMIF(Ago!$B$3:$B$116,A30,Ago!$V$3:$V$116)</f>
        <v>0</v>
      </c>
      <c r="O30" s="166">
        <f t="shared" si="0"/>
        <v>1</v>
      </c>
    </row>
    <row r="31" spans="1:15" x14ac:dyDescent="0.25">
      <c r="A31" s="288">
        <v>1599</v>
      </c>
      <c r="B31" s="289" t="s">
        <v>813</v>
      </c>
      <c r="C31" s="290" t="s">
        <v>234</v>
      </c>
      <c r="D31" s="290" t="s">
        <v>111</v>
      </c>
      <c r="E31" s="290" t="s">
        <v>112</v>
      </c>
      <c r="F31" s="290" t="s">
        <v>113</v>
      </c>
      <c r="G31" s="290" t="s">
        <v>814</v>
      </c>
      <c r="H31" s="290" t="s">
        <v>114</v>
      </c>
      <c r="I31" s="291"/>
      <c r="J31" s="291">
        <v>220</v>
      </c>
      <c r="K31" s="290" t="s">
        <v>815</v>
      </c>
      <c r="L31" s="96">
        <f>I31+J31*EERR!$D$2</f>
        <v>156904</v>
      </c>
      <c r="M31" s="96">
        <f>L31/EERR!$D$2</f>
        <v>220</v>
      </c>
      <c r="N31" s="96">
        <f>SUMIF(Ago!$B$3:$B$116,A31,Ago!$V$3:$V$116)</f>
        <v>0</v>
      </c>
      <c r="O31" s="166">
        <f t="shared" si="0"/>
        <v>1</v>
      </c>
    </row>
    <row r="32" spans="1:15" x14ac:dyDescent="0.25">
      <c r="A32" s="288">
        <v>1600</v>
      </c>
      <c r="B32" s="289" t="s">
        <v>816</v>
      </c>
      <c r="C32" s="290" t="s">
        <v>234</v>
      </c>
      <c r="D32" s="290" t="s">
        <v>111</v>
      </c>
      <c r="E32" s="290" t="s">
        <v>112</v>
      </c>
      <c r="F32" s="290" t="s">
        <v>117</v>
      </c>
      <c r="G32" s="290" t="s">
        <v>817</v>
      </c>
      <c r="H32" s="290" t="s">
        <v>114</v>
      </c>
      <c r="I32" s="291"/>
      <c r="J32" s="291">
        <v>200</v>
      </c>
      <c r="K32" s="290" t="s">
        <v>818</v>
      </c>
      <c r="L32" s="96">
        <f>I32+J32*EERR!$D$2</f>
        <v>142640</v>
      </c>
      <c r="M32" s="96">
        <f>L32/EERR!$D$2</f>
        <v>200</v>
      </c>
      <c r="N32" s="96">
        <f>SUMIF(Ago!$B$3:$B$116,A32,Ago!$V$3:$V$116)</f>
        <v>0</v>
      </c>
      <c r="O32" s="166">
        <f t="shared" si="0"/>
        <v>1</v>
      </c>
    </row>
    <row r="33" spans="1:15" x14ac:dyDescent="0.25">
      <c r="A33" s="288">
        <v>1601</v>
      </c>
      <c r="B33" s="289" t="s">
        <v>819</v>
      </c>
      <c r="C33" s="290" t="s">
        <v>234</v>
      </c>
      <c r="D33" s="290" t="s">
        <v>111</v>
      </c>
      <c r="E33" s="290" t="s">
        <v>112</v>
      </c>
      <c r="F33" s="290" t="s">
        <v>117</v>
      </c>
      <c r="G33" s="290" t="s">
        <v>458</v>
      </c>
      <c r="H33" s="290" t="s">
        <v>114</v>
      </c>
      <c r="I33" s="291"/>
      <c r="J33" s="291">
        <v>418</v>
      </c>
      <c r="K33" s="290" t="s">
        <v>820</v>
      </c>
      <c r="L33" s="96">
        <f>I33+J33*EERR!$D$2</f>
        <v>298117.60000000003</v>
      </c>
      <c r="M33" s="96">
        <f>L33/EERR!$D$2</f>
        <v>418</v>
      </c>
      <c r="N33" s="96">
        <f>SUMIF(Ago!$B$3:$B$116,A33,Ago!$V$3:$V$116)</f>
        <v>0</v>
      </c>
      <c r="O33" s="166">
        <f t="shared" si="0"/>
        <v>1</v>
      </c>
    </row>
    <row r="34" spans="1:15" x14ac:dyDescent="0.25">
      <c r="A34" s="288">
        <v>1602</v>
      </c>
      <c r="B34" s="289" t="s">
        <v>821</v>
      </c>
      <c r="C34" s="290" t="s">
        <v>234</v>
      </c>
      <c r="D34" s="290" t="s">
        <v>111</v>
      </c>
      <c r="E34" s="290" t="s">
        <v>112</v>
      </c>
      <c r="F34" s="290" t="s">
        <v>116</v>
      </c>
      <c r="G34" s="290" t="s">
        <v>461</v>
      </c>
      <c r="H34" s="290" t="s">
        <v>114</v>
      </c>
      <c r="I34" s="291"/>
      <c r="J34" s="291">
        <v>836</v>
      </c>
      <c r="K34" s="290" t="s">
        <v>822</v>
      </c>
      <c r="L34" s="96">
        <f>I34+J34*EERR!$D$2</f>
        <v>596235.20000000007</v>
      </c>
      <c r="M34" s="96">
        <f>L34/EERR!$D$2</f>
        <v>836</v>
      </c>
      <c r="N34" s="96">
        <f>SUMIF(Ago!$B$3:$B$116,A34,Ago!$V$3:$V$116)</f>
        <v>0</v>
      </c>
      <c r="O34" s="166">
        <f t="shared" si="0"/>
        <v>1</v>
      </c>
    </row>
    <row r="35" spans="1:15" x14ac:dyDescent="0.25">
      <c r="A35" s="288">
        <v>1603</v>
      </c>
      <c r="B35" s="289" t="s">
        <v>823</v>
      </c>
      <c r="C35" s="290" t="s">
        <v>233</v>
      </c>
      <c r="D35" s="290" t="s">
        <v>111</v>
      </c>
      <c r="E35" s="290" t="s">
        <v>115</v>
      </c>
      <c r="F35" s="290" t="s">
        <v>116</v>
      </c>
      <c r="G35" s="290" t="s">
        <v>442</v>
      </c>
      <c r="H35" s="290" t="s">
        <v>824</v>
      </c>
      <c r="I35" s="291">
        <v>374897</v>
      </c>
      <c r="J35" s="291"/>
      <c r="K35" s="290" t="s">
        <v>825</v>
      </c>
      <c r="L35" s="96">
        <f>I35+J35*EERR!$D$2</f>
        <v>374897</v>
      </c>
      <c r="M35" s="96">
        <f>L35/EERR!$D$2</f>
        <v>525.65479528883895</v>
      </c>
      <c r="N35" s="96">
        <f>SUMIF(Ago!$B$3:$B$116,A35,Ago!$V$3:$V$116)</f>
        <v>0</v>
      </c>
      <c r="O35" s="166">
        <f t="shared" si="0"/>
        <v>1</v>
      </c>
    </row>
    <row r="36" spans="1:15" x14ac:dyDescent="0.25">
      <c r="A36" s="288">
        <v>1604</v>
      </c>
      <c r="B36" s="289" t="s">
        <v>826</v>
      </c>
      <c r="C36" s="290" t="s">
        <v>234</v>
      </c>
      <c r="D36" s="290" t="s">
        <v>111</v>
      </c>
      <c r="E36" s="290" t="s">
        <v>112</v>
      </c>
      <c r="F36" s="290" t="s">
        <v>117</v>
      </c>
      <c r="G36" s="290" t="s">
        <v>827</v>
      </c>
      <c r="H36" s="290" t="s">
        <v>114</v>
      </c>
      <c r="I36" s="291"/>
      <c r="J36" s="291">
        <v>220</v>
      </c>
      <c r="K36" s="290" t="s">
        <v>828</v>
      </c>
      <c r="L36" s="96">
        <f>I36+J36*EERR!$D$2</f>
        <v>156904</v>
      </c>
      <c r="M36" s="96">
        <f>L36/EERR!$D$2</f>
        <v>220</v>
      </c>
      <c r="N36" s="96">
        <f>SUMIF(Ago!$B$3:$B$116,A36,Ago!$V$3:$V$116)</f>
        <v>0</v>
      </c>
      <c r="O36" s="166">
        <f t="shared" si="0"/>
        <v>1</v>
      </c>
    </row>
    <row r="37" spans="1:15" x14ac:dyDescent="0.25">
      <c r="A37" s="288">
        <v>1605</v>
      </c>
      <c r="B37" s="289" t="s">
        <v>829</v>
      </c>
      <c r="C37" s="290" t="s">
        <v>234</v>
      </c>
      <c r="D37" s="290" t="s">
        <v>111</v>
      </c>
      <c r="E37" s="290" t="s">
        <v>112</v>
      </c>
      <c r="F37" s="290" t="s">
        <v>117</v>
      </c>
      <c r="G37" s="290" t="s">
        <v>830</v>
      </c>
      <c r="H37" s="290" t="s">
        <v>114</v>
      </c>
      <c r="I37" s="291"/>
      <c r="J37" s="291">
        <v>220</v>
      </c>
      <c r="K37" s="290" t="s">
        <v>831</v>
      </c>
      <c r="L37" s="96">
        <f>I37+J37*EERR!$D$2</f>
        <v>156904</v>
      </c>
      <c r="M37" s="96">
        <f>L37/EERR!$D$2</f>
        <v>220</v>
      </c>
      <c r="N37" s="96">
        <f>SUMIF(Ago!$B$3:$B$116,A37,Ago!$V$3:$V$116)</f>
        <v>0</v>
      </c>
      <c r="O37" s="166">
        <f t="shared" si="0"/>
        <v>1</v>
      </c>
    </row>
    <row r="38" spans="1:15" x14ac:dyDescent="0.25">
      <c r="A38" s="288">
        <v>1606</v>
      </c>
      <c r="B38" s="289" t="s">
        <v>832</v>
      </c>
      <c r="C38" s="290" t="s">
        <v>234</v>
      </c>
      <c r="D38" s="290" t="s">
        <v>111</v>
      </c>
      <c r="E38" s="290" t="s">
        <v>112</v>
      </c>
      <c r="F38" s="290" t="s">
        <v>117</v>
      </c>
      <c r="G38" s="290" t="s">
        <v>833</v>
      </c>
      <c r="H38" s="290" t="s">
        <v>114</v>
      </c>
      <c r="I38" s="291"/>
      <c r="J38" s="291">
        <v>205</v>
      </c>
      <c r="K38" s="290" t="s">
        <v>834</v>
      </c>
      <c r="L38" s="96">
        <f>I38+J38*EERR!$D$2</f>
        <v>146206</v>
      </c>
      <c r="M38" s="96">
        <f>L38/EERR!$D$2</f>
        <v>205</v>
      </c>
      <c r="N38" s="96">
        <f>SUMIF(Ago!$B$3:$B$116,A38,Ago!$V$3:$V$116)</f>
        <v>0</v>
      </c>
      <c r="O38" s="166">
        <f t="shared" si="0"/>
        <v>1</v>
      </c>
    </row>
    <row r="39" spans="1:15" x14ac:dyDescent="0.25">
      <c r="A39" s="288">
        <v>1607</v>
      </c>
      <c r="B39" s="289" t="s">
        <v>835</v>
      </c>
      <c r="C39" s="290" t="s">
        <v>234</v>
      </c>
      <c r="D39" s="290" t="s">
        <v>111</v>
      </c>
      <c r="E39" s="290" t="s">
        <v>112</v>
      </c>
      <c r="F39" s="290" t="s">
        <v>116</v>
      </c>
      <c r="G39" s="290" t="s">
        <v>485</v>
      </c>
      <c r="H39" s="290" t="s">
        <v>114</v>
      </c>
      <c r="I39" s="291"/>
      <c r="J39" s="291">
        <v>960</v>
      </c>
      <c r="K39" s="290" t="s">
        <v>836</v>
      </c>
      <c r="L39" s="96">
        <f>I39+J39*EERR!$D$2</f>
        <v>684672</v>
      </c>
      <c r="M39" s="96">
        <f>L39/EERR!$D$2</f>
        <v>959.99999999999989</v>
      </c>
      <c r="N39" s="96">
        <f>SUMIF(Ago!$B$3:$B$116,A39,Ago!$V$3:$V$116)</f>
        <v>0</v>
      </c>
      <c r="O39" s="166">
        <f t="shared" si="0"/>
        <v>1</v>
      </c>
    </row>
    <row r="40" spans="1:15" x14ac:dyDescent="0.25">
      <c r="A40" s="288">
        <v>1608</v>
      </c>
      <c r="B40" s="289" t="s">
        <v>837</v>
      </c>
      <c r="C40" s="290" t="s">
        <v>234</v>
      </c>
      <c r="D40" s="290" t="s">
        <v>111</v>
      </c>
      <c r="E40" s="290" t="s">
        <v>112</v>
      </c>
      <c r="F40" s="290" t="s">
        <v>117</v>
      </c>
      <c r="G40" s="290" t="s">
        <v>838</v>
      </c>
      <c r="H40" s="290" t="s">
        <v>114</v>
      </c>
      <c r="I40" s="291"/>
      <c r="J40" s="291">
        <v>195</v>
      </c>
      <c r="K40" s="290" t="s">
        <v>839</v>
      </c>
      <c r="L40" s="96">
        <f>I40+J40*EERR!$D$2</f>
        <v>139074</v>
      </c>
      <c r="M40" s="96">
        <f>L40/EERR!$D$2</f>
        <v>195</v>
      </c>
      <c r="N40" s="96">
        <f>SUMIF(Ago!$B$3:$B$116,A40,Ago!$V$3:$V$116)</f>
        <v>0</v>
      </c>
      <c r="O40" s="166">
        <f t="shared" si="0"/>
        <v>1</v>
      </c>
    </row>
    <row r="41" spans="1:15" x14ac:dyDescent="0.25">
      <c r="A41" s="288">
        <v>1609</v>
      </c>
      <c r="B41" s="289" t="s">
        <v>840</v>
      </c>
      <c r="C41" s="290" t="s">
        <v>234</v>
      </c>
      <c r="D41" s="290" t="s">
        <v>111</v>
      </c>
      <c r="E41" s="290" t="s">
        <v>112</v>
      </c>
      <c r="F41" s="290" t="s">
        <v>117</v>
      </c>
      <c r="G41" s="290" t="s">
        <v>488</v>
      </c>
      <c r="H41" s="290" t="s">
        <v>114</v>
      </c>
      <c r="I41" s="291"/>
      <c r="J41" s="291">
        <v>480</v>
      </c>
      <c r="K41" s="290" t="s">
        <v>841</v>
      </c>
      <c r="L41" s="96">
        <f>I41+J41*EERR!$D$2</f>
        <v>342336</v>
      </c>
      <c r="M41" s="96">
        <f>L41/EERR!$D$2</f>
        <v>479.99999999999994</v>
      </c>
      <c r="N41" s="96">
        <f>SUMIF(Ago!$B$3:$B$116,A41,Ago!$V$3:$V$116)</f>
        <v>0</v>
      </c>
      <c r="O41" s="166">
        <f t="shared" si="0"/>
        <v>1</v>
      </c>
    </row>
    <row r="42" spans="1:15" x14ac:dyDescent="0.25">
      <c r="A42" s="288">
        <v>1610</v>
      </c>
      <c r="B42" s="289" t="s">
        <v>842</v>
      </c>
      <c r="C42" s="290" t="s">
        <v>234</v>
      </c>
      <c r="D42" s="290" t="s">
        <v>111</v>
      </c>
      <c r="E42" s="290" t="s">
        <v>112</v>
      </c>
      <c r="F42" s="290" t="s">
        <v>117</v>
      </c>
      <c r="G42" s="290" t="s">
        <v>488</v>
      </c>
      <c r="H42" s="290" t="s">
        <v>114</v>
      </c>
      <c r="I42" s="291"/>
      <c r="J42" s="291">
        <v>480</v>
      </c>
      <c r="K42" s="290" t="s">
        <v>843</v>
      </c>
      <c r="L42" s="96">
        <f>I42+J42*EERR!$D$2</f>
        <v>342336</v>
      </c>
      <c r="M42" s="96">
        <f>L42/EERR!$D$2</f>
        <v>479.99999999999994</v>
      </c>
      <c r="N42" s="96">
        <f>SUMIF(Ago!$B$3:$B$116,A42,Ago!$V$3:$V$116)</f>
        <v>0</v>
      </c>
      <c r="O42" s="166">
        <f t="shared" si="0"/>
        <v>1</v>
      </c>
    </row>
    <row r="43" spans="1:15" x14ac:dyDescent="0.25">
      <c r="A43" s="288">
        <v>1611</v>
      </c>
      <c r="B43" s="289" t="s">
        <v>844</v>
      </c>
      <c r="C43" s="290" t="s">
        <v>234</v>
      </c>
      <c r="D43" s="290" t="s">
        <v>111</v>
      </c>
      <c r="E43" s="290" t="s">
        <v>112</v>
      </c>
      <c r="F43" s="290" t="s">
        <v>113</v>
      </c>
      <c r="G43" s="290" t="s">
        <v>845</v>
      </c>
      <c r="H43" s="290" t="s">
        <v>114</v>
      </c>
      <c r="I43" s="291"/>
      <c r="J43" s="291">
        <v>195</v>
      </c>
      <c r="K43" s="290" t="s">
        <v>846</v>
      </c>
      <c r="L43" s="96">
        <f>I43+J43*EERR!$D$2</f>
        <v>139074</v>
      </c>
      <c r="M43" s="96">
        <f>L43/EERR!$D$2</f>
        <v>195</v>
      </c>
      <c r="N43" s="96">
        <f>SUMIF(Ago!$B$3:$B$116,A43,Ago!$V$3:$V$116)</f>
        <v>0</v>
      </c>
      <c r="O43" s="166">
        <f t="shared" si="0"/>
        <v>1</v>
      </c>
    </row>
    <row r="44" spans="1:15" x14ac:dyDescent="0.25">
      <c r="A44" s="288">
        <v>1612</v>
      </c>
      <c r="B44" s="289" t="s">
        <v>847</v>
      </c>
      <c r="C44" s="290" t="s">
        <v>234</v>
      </c>
      <c r="D44" s="290" t="s">
        <v>111</v>
      </c>
      <c r="E44" s="290" t="s">
        <v>112</v>
      </c>
      <c r="F44" s="290" t="s">
        <v>116</v>
      </c>
      <c r="G44" s="290" t="s">
        <v>499</v>
      </c>
      <c r="H44" s="290" t="s">
        <v>114</v>
      </c>
      <c r="I44" s="291"/>
      <c r="J44" s="291">
        <v>675</v>
      </c>
      <c r="K44" s="290" t="s">
        <v>848</v>
      </c>
      <c r="L44" s="96">
        <f>I44+J44*EERR!$D$2</f>
        <v>481410.00000000006</v>
      </c>
      <c r="M44" s="96">
        <f>L44/EERR!$D$2</f>
        <v>675</v>
      </c>
      <c r="N44" s="96">
        <f>SUMIF(Ago!$B$3:$B$116,A44,Ago!$V$3:$V$116)</f>
        <v>0</v>
      </c>
      <c r="O44" s="166">
        <f t="shared" si="0"/>
        <v>1</v>
      </c>
    </row>
    <row r="45" spans="1:15" x14ac:dyDescent="0.25">
      <c r="A45" s="288">
        <v>1613</v>
      </c>
      <c r="B45" s="289" t="s">
        <v>849</v>
      </c>
      <c r="C45" s="290" t="s">
        <v>233</v>
      </c>
      <c r="D45" s="290" t="s">
        <v>111</v>
      </c>
      <c r="E45" s="290" t="s">
        <v>115</v>
      </c>
      <c r="F45" s="290" t="s">
        <v>117</v>
      </c>
      <c r="G45" s="290" t="s">
        <v>850</v>
      </c>
      <c r="H45" s="290" t="s">
        <v>115</v>
      </c>
      <c r="I45" s="291">
        <v>300000</v>
      </c>
      <c r="J45" s="291"/>
      <c r="K45" s="290" t="s">
        <v>851</v>
      </c>
      <c r="L45" s="96">
        <f>I45+J45*EERR!$D$2</f>
        <v>300000</v>
      </c>
      <c r="M45" s="96">
        <f>L45/EERR!$D$2</f>
        <v>420.63937184520466</v>
      </c>
      <c r="N45" s="96">
        <f>SUMIF(Ago!$B$3:$B$116,A45,Ago!$V$3:$V$116)</f>
        <v>810818</v>
      </c>
      <c r="O45" s="166">
        <f t="shared" si="0"/>
        <v>1</v>
      </c>
    </row>
    <row r="46" spans="1:15" x14ac:dyDescent="0.25">
      <c r="A46" s="288">
        <v>1614</v>
      </c>
      <c r="B46" s="289" t="s">
        <v>852</v>
      </c>
      <c r="C46" s="290" t="s">
        <v>234</v>
      </c>
      <c r="D46" s="290" t="s">
        <v>111</v>
      </c>
      <c r="E46" s="290" t="s">
        <v>112</v>
      </c>
      <c r="F46" s="290" t="s">
        <v>117</v>
      </c>
      <c r="G46" s="290" t="s">
        <v>853</v>
      </c>
      <c r="H46" s="290" t="s">
        <v>114</v>
      </c>
      <c r="I46" s="291"/>
      <c r="J46" s="291">
        <v>195</v>
      </c>
      <c r="K46" s="290" t="s">
        <v>854</v>
      </c>
      <c r="L46" s="96">
        <f>I46+J46*EERR!$D$2</f>
        <v>139074</v>
      </c>
      <c r="M46" s="96">
        <f>L46/EERR!$D$2</f>
        <v>195</v>
      </c>
      <c r="N46" s="96">
        <f>SUMIF(Ago!$B$3:$B$116,A46,Ago!$V$3:$V$116)</f>
        <v>713200</v>
      </c>
      <c r="O46" s="166">
        <f t="shared" si="0"/>
        <v>1</v>
      </c>
    </row>
    <row r="47" spans="1:15" x14ac:dyDescent="0.25">
      <c r="A47" s="288">
        <v>1615</v>
      </c>
      <c r="B47" s="289" t="s">
        <v>855</v>
      </c>
      <c r="C47" s="290" t="s">
        <v>234</v>
      </c>
      <c r="D47" s="290" t="s">
        <v>111</v>
      </c>
      <c r="E47" s="290" t="s">
        <v>112</v>
      </c>
      <c r="F47" s="290" t="s">
        <v>116</v>
      </c>
      <c r="G47" s="290" t="s">
        <v>856</v>
      </c>
      <c r="H47" s="290" t="s">
        <v>114</v>
      </c>
      <c r="I47" s="291"/>
      <c r="J47" s="291">
        <v>200</v>
      </c>
      <c r="K47" s="290" t="s">
        <v>857</v>
      </c>
      <c r="L47" s="96">
        <f>I47+J47*EERR!$D$2</f>
        <v>142640</v>
      </c>
      <c r="M47" s="96">
        <f>L47/EERR!$D$2</f>
        <v>200</v>
      </c>
      <c r="N47" s="96">
        <f>SUMIF(Ago!$B$3:$B$116,A47,Ago!$V$3:$V$116)</f>
        <v>0</v>
      </c>
      <c r="O47" s="166">
        <f t="shared" si="0"/>
        <v>1</v>
      </c>
    </row>
    <row r="48" spans="1:15" x14ac:dyDescent="0.25">
      <c r="A48" s="288">
        <v>1616</v>
      </c>
      <c r="B48" s="289" t="s">
        <v>858</v>
      </c>
      <c r="C48" s="290" t="s">
        <v>234</v>
      </c>
      <c r="D48" s="290" t="s">
        <v>111</v>
      </c>
      <c r="E48" s="290" t="s">
        <v>112</v>
      </c>
      <c r="F48" s="290" t="s">
        <v>117</v>
      </c>
      <c r="G48" s="290" t="s">
        <v>859</v>
      </c>
      <c r="H48" s="290" t="s">
        <v>114</v>
      </c>
      <c r="I48" s="291"/>
      <c r="J48" s="291">
        <v>228</v>
      </c>
      <c r="K48" s="290" t="s">
        <v>860</v>
      </c>
      <c r="L48" s="96">
        <f>I48+J48*EERR!$D$2</f>
        <v>162609.60000000001</v>
      </c>
      <c r="M48" s="96">
        <f>L48/EERR!$D$2</f>
        <v>228</v>
      </c>
      <c r="N48" s="96">
        <f>SUMIF(Ago!$B$3:$B$116,A48,Ago!$V$3:$V$116)</f>
        <v>0</v>
      </c>
      <c r="O48" s="166">
        <f t="shared" si="0"/>
        <v>1</v>
      </c>
    </row>
    <row r="49" spans="1:15" x14ac:dyDescent="0.25">
      <c r="A49" s="288">
        <v>1617</v>
      </c>
      <c r="B49" s="289" t="s">
        <v>861</v>
      </c>
      <c r="C49" s="290" t="s">
        <v>234</v>
      </c>
      <c r="D49" s="290" t="s">
        <v>111</v>
      </c>
      <c r="E49" s="290" t="s">
        <v>112</v>
      </c>
      <c r="F49" s="290" t="s">
        <v>117</v>
      </c>
      <c r="G49" s="290" t="s">
        <v>862</v>
      </c>
      <c r="H49" s="290" t="s">
        <v>114</v>
      </c>
      <c r="I49" s="291"/>
      <c r="J49" s="291">
        <v>240</v>
      </c>
      <c r="K49" s="290" t="s">
        <v>863</v>
      </c>
      <c r="L49" s="96">
        <f>I49+J49*EERR!$D$2</f>
        <v>171168</v>
      </c>
      <c r="M49" s="96">
        <f>L49/EERR!$D$2</f>
        <v>239.99999999999997</v>
      </c>
      <c r="N49" s="96">
        <f>SUMIF(Ago!$B$3:$B$116,A49,Ago!$V$3:$V$116)</f>
        <v>0</v>
      </c>
      <c r="O49" s="166">
        <f t="shared" si="0"/>
        <v>1</v>
      </c>
    </row>
    <row r="50" spans="1:15" x14ac:dyDescent="0.25">
      <c r="A50" s="288">
        <v>1618</v>
      </c>
      <c r="B50" s="289" t="s">
        <v>864</v>
      </c>
      <c r="C50" s="290" t="s">
        <v>234</v>
      </c>
      <c r="D50" s="290" t="s">
        <v>111</v>
      </c>
      <c r="E50" s="290" t="s">
        <v>112</v>
      </c>
      <c r="F50" s="290" t="s">
        <v>117</v>
      </c>
      <c r="G50" s="290" t="s">
        <v>865</v>
      </c>
      <c r="H50" s="290" t="s">
        <v>114</v>
      </c>
      <c r="I50" s="291"/>
      <c r="J50" s="291">
        <v>240</v>
      </c>
      <c r="K50" s="290" t="s">
        <v>866</v>
      </c>
      <c r="L50" s="96">
        <f>I50+J50*EERR!$D$2</f>
        <v>171168</v>
      </c>
      <c r="M50" s="96">
        <f>L50/EERR!$D$2</f>
        <v>239.99999999999997</v>
      </c>
      <c r="N50" s="96">
        <f>SUMIF(Ago!$B$3:$B$116,A50,Ago!$V$3:$V$116)</f>
        <v>0</v>
      </c>
      <c r="O50" s="166">
        <f t="shared" si="0"/>
        <v>1</v>
      </c>
    </row>
    <row r="51" spans="1:15" x14ac:dyDescent="0.25">
      <c r="A51" s="288">
        <v>1619</v>
      </c>
      <c r="B51" s="289" t="s">
        <v>867</v>
      </c>
      <c r="C51" s="290" t="s">
        <v>234</v>
      </c>
      <c r="D51" s="290" t="s">
        <v>111</v>
      </c>
      <c r="E51" s="290" t="s">
        <v>112</v>
      </c>
      <c r="F51" s="290" t="s">
        <v>117</v>
      </c>
      <c r="G51" s="290" t="s">
        <v>868</v>
      </c>
      <c r="H51" s="290" t="s">
        <v>114</v>
      </c>
      <c r="I51" s="291"/>
      <c r="J51" s="291">
        <v>240</v>
      </c>
      <c r="K51" s="290" t="s">
        <v>869</v>
      </c>
      <c r="L51" s="96">
        <f>I51+J51*EERR!$D$2</f>
        <v>171168</v>
      </c>
      <c r="M51" s="96">
        <f>L51/EERR!$D$2</f>
        <v>239.99999999999997</v>
      </c>
      <c r="N51" s="96">
        <f>SUMIF(Ago!$B$3:$B$116,A51,Ago!$V$3:$V$116)</f>
        <v>0</v>
      </c>
      <c r="O51" s="166">
        <f t="shared" si="0"/>
        <v>1</v>
      </c>
    </row>
    <row r="52" spans="1:15" x14ac:dyDescent="0.25">
      <c r="A52" s="288">
        <v>1620</v>
      </c>
      <c r="B52" s="289" t="s">
        <v>870</v>
      </c>
      <c r="C52" s="290" t="s">
        <v>233</v>
      </c>
      <c r="D52" s="290" t="s">
        <v>111</v>
      </c>
      <c r="E52" s="290" t="s">
        <v>115</v>
      </c>
      <c r="F52" s="290" t="s">
        <v>116</v>
      </c>
      <c r="G52" s="290" t="s">
        <v>871</v>
      </c>
      <c r="H52" s="290" t="s">
        <v>115</v>
      </c>
      <c r="I52" s="291">
        <v>164756</v>
      </c>
      <c r="J52" s="291"/>
      <c r="K52" s="290" t="s">
        <v>872</v>
      </c>
      <c r="L52" s="96">
        <f>I52+J52*EERR!$D$2</f>
        <v>164756</v>
      </c>
      <c r="M52" s="96">
        <f>L52/EERR!$D$2</f>
        <v>231.00953449242849</v>
      </c>
      <c r="N52" s="96">
        <f>SUMIF(Ago!$B$3:$B$116,A52,Ago!$V$3:$V$116)</f>
        <v>0</v>
      </c>
      <c r="O52" s="166">
        <f t="shared" si="0"/>
        <v>1</v>
      </c>
    </row>
    <row r="53" spans="1:15" x14ac:dyDescent="0.25">
      <c r="A53" s="288">
        <v>1621</v>
      </c>
      <c r="B53" s="289" t="s">
        <v>873</v>
      </c>
      <c r="C53" s="290" t="s">
        <v>234</v>
      </c>
      <c r="D53" s="290" t="s">
        <v>111</v>
      </c>
      <c r="E53" s="290" t="s">
        <v>112</v>
      </c>
      <c r="F53" s="290" t="s">
        <v>117</v>
      </c>
      <c r="G53" s="290" t="s">
        <v>874</v>
      </c>
      <c r="H53" s="290" t="s">
        <v>114</v>
      </c>
      <c r="I53" s="291"/>
      <c r="J53" s="291">
        <v>185.25</v>
      </c>
      <c r="K53" s="290" t="s">
        <v>875</v>
      </c>
      <c r="L53" s="96">
        <f>I53+J53*EERR!$D$2</f>
        <v>132120.30000000002</v>
      </c>
      <c r="M53" s="96">
        <f>L53/EERR!$D$2</f>
        <v>185.25</v>
      </c>
      <c r="N53" s="96">
        <f>SUMIF(Ago!$B$3:$B$116,A53,Ago!$V$3:$V$116)</f>
        <v>0</v>
      </c>
      <c r="O53" s="166">
        <f t="shared" si="0"/>
        <v>1</v>
      </c>
    </row>
    <row r="54" spans="1:15" x14ac:dyDescent="0.25">
      <c r="A54" s="288">
        <v>1622</v>
      </c>
      <c r="B54" s="289" t="s">
        <v>876</v>
      </c>
      <c r="C54" s="290" t="s">
        <v>234</v>
      </c>
      <c r="D54" s="290" t="s">
        <v>111</v>
      </c>
      <c r="E54" s="290" t="s">
        <v>112</v>
      </c>
      <c r="F54" s="290" t="s">
        <v>117</v>
      </c>
      <c r="G54" s="290" t="s">
        <v>874</v>
      </c>
      <c r="H54" s="290" t="s">
        <v>114</v>
      </c>
      <c r="I54" s="291"/>
      <c r="J54" s="291">
        <v>185.25</v>
      </c>
      <c r="K54" s="290" t="s">
        <v>877</v>
      </c>
      <c r="L54" s="96">
        <f>I54+J54*EERR!$D$2</f>
        <v>132120.30000000002</v>
      </c>
      <c r="M54" s="96">
        <f>L54/EERR!$D$2</f>
        <v>185.25</v>
      </c>
      <c r="N54" s="96">
        <f>SUMIF(Ago!$B$3:$B$116,A54,Ago!$V$3:$V$116)</f>
        <v>0</v>
      </c>
      <c r="O54" s="166">
        <f t="shared" si="0"/>
        <v>1</v>
      </c>
    </row>
    <row r="55" spans="1:15" x14ac:dyDescent="0.25">
      <c r="A55" s="288">
        <v>1623</v>
      </c>
      <c r="B55" s="289" t="s">
        <v>878</v>
      </c>
      <c r="C55" s="290" t="s">
        <v>234</v>
      </c>
      <c r="D55" s="290" t="s">
        <v>111</v>
      </c>
      <c r="E55" s="290" t="s">
        <v>112</v>
      </c>
      <c r="F55" s="290" t="s">
        <v>113</v>
      </c>
      <c r="G55" s="290" t="s">
        <v>523</v>
      </c>
      <c r="H55" s="290" t="s">
        <v>114</v>
      </c>
      <c r="I55" s="291"/>
      <c r="J55" s="291">
        <v>920</v>
      </c>
      <c r="K55" s="290" t="s">
        <v>879</v>
      </c>
      <c r="L55" s="96">
        <f>I55+J55*EERR!$D$2</f>
        <v>656144</v>
      </c>
      <c r="M55" s="96">
        <f>L55/EERR!$D$2</f>
        <v>919.99999999999989</v>
      </c>
      <c r="N55" s="96">
        <f>SUMIF(Ago!$B$3:$B$116,A55,Ago!$V$3:$V$116)</f>
        <v>0</v>
      </c>
      <c r="O55" s="166">
        <f t="shared" si="0"/>
        <v>1</v>
      </c>
    </row>
    <row r="56" spans="1:15" x14ac:dyDescent="0.25">
      <c r="A56" s="288">
        <v>1624</v>
      </c>
      <c r="B56" s="289" t="s">
        <v>880</v>
      </c>
      <c r="C56" s="290" t="s">
        <v>234</v>
      </c>
      <c r="D56" s="290" t="s">
        <v>111</v>
      </c>
      <c r="E56" s="290" t="s">
        <v>112</v>
      </c>
      <c r="F56" s="290" t="s">
        <v>117</v>
      </c>
      <c r="G56" s="290" t="s">
        <v>586</v>
      </c>
      <c r="H56" s="290" t="s">
        <v>114</v>
      </c>
      <c r="I56" s="291"/>
      <c r="J56" s="291">
        <v>585</v>
      </c>
      <c r="K56" s="290" t="s">
        <v>881</v>
      </c>
      <c r="L56" s="96">
        <f>I56+J56*EERR!$D$2</f>
        <v>417222</v>
      </c>
      <c r="M56" s="96">
        <f>L56/EERR!$D$2</f>
        <v>585</v>
      </c>
      <c r="N56" s="96">
        <f>SUMIF(Ago!$B$3:$B$116,A56,Ago!$V$3:$V$116)</f>
        <v>0</v>
      </c>
      <c r="O56" s="166">
        <f t="shared" si="0"/>
        <v>1</v>
      </c>
    </row>
    <row r="57" spans="1:15" x14ac:dyDescent="0.25">
      <c r="A57" s="288">
        <v>1625</v>
      </c>
      <c r="B57" s="289" t="s">
        <v>882</v>
      </c>
      <c r="C57" s="290" t="s">
        <v>233</v>
      </c>
      <c r="D57" s="290" t="s">
        <v>111</v>
      </c>
      <c r="E57" s="290" t="s">
        <v>115</v>
      </c>
      <c r="F57" s="290" t="s">
        <v>117</v>
      </c>
      <c r="G57" s="290" t="s">
        <v>502</v>
      </c>
      <c r="H57" s="290" t="s">
        <v>115</v>
      </c>
      <c r="I57" s="291">
        <v>404409</v>
      </c>
      <c r="J57" s="291"/>
      <c r="K57" s="290" t="s">
        <v>883</v>
      </c>
      <c r="L57" s="96">
        <f>I57+J57*EERR!$D$2</f>
        <v>404409</v>
      </c>
      <c r="M57" s="96">
        <f>L57/EERR!$D$2</f>
        <v>567.03449242849126</v>
      </c>
      <c r="N57" s="96">
        <f>SUMIF(Ago!$B$3:$B$116,A57,Ago!$V$3:$V$116)</f>
        <v>0</v>
      </c>
      <c r="O57" s="166">
        <f t="shared" si="0"/>
        <v>1</v>
      </c>
    </row>
    <row r="58" spans="1:15" x14ac:dyDescent="0.25">
      <c r="A58" s="288">
        <v>1626</v>
      </c>
      <c r="B58" s="289" t="s">
        <v>884</v>
      </c>
      <c r="C58" s="290" t="s">
        <v>233</v>
      </c>
      <c r="D58" s="290" t="s">
        <v>111</v>
      </c>
      <c r="E58" s="290" t="s">
        <v>115</v>
      </c>
      <c r="F58" s="290" t="s">
        <v>117</v>
      </c>
      <c r="G58" s="290" t="s">
        <v>492</v>
      </c>
      <c r="H58" s="290" t="s">
        <v>115</v>
      </c>
      <c r="I58" s="291">
        <v>614326</v>
      </c>
      <c r="J58" s="291"/>
      <c r="K58" s="290" t="s">
        <v>885</v>
      </c>
      <c r="L58" s="96">
        <f>I58+J58*EERR!$D$2</f>
        <v>614326</v>
      </c>
      <c r="M58" s="96">
        <f>L58/EERR!$D$2</f>
        <v>861.36567582725741</v>
      </c>
      <c r="N58" s="96">
        <f>SUMIF(Ago!$B$3:$B$116,A58,Ago!$V$3:$V$116)</f>
        <v>0</v>
      </c>
      <c r="O58" s="166">
        <f t="shared" si="0"/>
        <v>1</v>
      </c>
    </row>
    <row r="59" spans="1:15" x14ac:dyDescent="0.25">
      <c r="A59" s="288">
        <v>1627</v>
      </c>
      <c r="B59" s="289" t="s">
        <v>886</v>
      </c>
      <c r="C59" s="290" t="s">
        <v>233</v>
      </c>
      <c r="D59" s="290" t="s">
        <v>111</v>
      </c>
      <c r="E59" s="290" t="s">
        <v>115</v>
      </c>
      <c r="F59" s="290" t="s">
        <v>116</v>
      </c>
      <c r="G59" s="290" t="s">
        <v>887</v>
      </c>
      <c r="H59" s="290" t="s">
        <v>115</v>
      </c>
      <c r="I59" s="291">
        <v>202776</v>
      </c>
      <c r="J59" s="291"/>
      <c r="K59" s="290" t="s">
        <v>888</v>
      </c>
      <c r="L59" s="96">
        <f>I59+J59*EERR!$D$2</f>
        <v>202776</v>
      </c>
      <c r="M59" s="96">
        <f>L59/EERR!$D$2</f>
        <v>284.31856421761074</v>
      </c>
      <c r="N59" s="96">
        <f>SUMIF(Ago!$B$3:$B$116,A59,Ago!$V$3:$V$116)</f>
        <v>0</v>
      </c>
      <c r="O59" s="166">
        <f t="shared" si="0"/>
        <v>1</v>
      </c>
    </row>
    <row r="60" spans="1:15" x14ac:dyDescent="0.25">
      <c r="A60" s="288">
        <v>1628</v>
      </c>
      <c r="B60" s="289" t="s">
        <v>889</v>
      </c>
      <c r="C60" s="290" t="s">
        <v>233</v>
      </c>
      <c r="D60" s="290" t="s">
        <v>111</v>
      </c>
      <c r="E60" s="290" t="s">
        <v>115</v>
      </c>
      <c r="F60" s="290" t="s">
        <v>117</v>
      </c>
      <c r="G60" s="290" t="s">
        <v>850</v>
      </c>
      <c r="H60" s="290" t="s">
        <v>115</v>
      </c>
      <c r="I60" s="291">
        <v>200000</v>
      </c>
      <c r="J60" s="291"/>
      <c r="K60" s="290" t="s">
        <v>890</v>
      </c>
      <c r="L60" s="96">
        <f>I60+J60*EERR!$D$2</f>
        <v>200000</v>
      </c>
      <c r="M60" s="96">
        <f>L60/EERR!$D$2</f>
        <v>280.42624789680315</v>
      </c>
      <c r="N60" s="96">
        <f>SUMIF(Ago!$B$3:$B$116,A60,Ago!$V$3:$V$116)</f>
        <v>0</v>
      </c>
      <c r="O60" s="166">
        <f t="shared" si="0"/>
        <v>1</v>
      </c>
    </row>
    <row r="61" spans="1:15" x14ac:dyDescent="0.25">
      <c r="A61" s="288">
        <v>1629</v>
      </c>
      <c r="B61" s="289" t="s">
        <v>891</v>
      </c>
      <c r="C61" s="290" t="s">
        <v>233</v>
      </c>
      <c r="D61" s="290" t="s">
        <v>111</v>
      </c>
      <c r="E61" s="290" t="s">
        <v>115</v>
      </c>
      <c r="F61" s="290" t="s">
        <v>116</v>
      </c>
      <c r="G61" s="290" t="s">
        <v>892</v>
      </c>
      <c r="H61" s="290" t="s">
        <v>115</v>
      </c>
      <c r="I61" s="291">
        <v>114325</v>
      </c>
      <c r="J61" s="291"/>
      <c r="K61" s="290" t="s">
        <v>893</v>
      </c>
      <c r="L61" s="96">
        <f>I61+J61*EERR!$D$2</f>
        <v>114325</v>
      </c>
      <c r="M61" s="96">
        <f>L61/EERR!$D$2</f>
        <v>160.29865395401009</v>
      </c>
      <c r="N61" s="96">
        <f>SUMIF(Ago!$B$3:$B$116,A61,Ago!$V$3:$V$116)</f>
        <v>0</v>
      </c>
      <c r="O61" s="166">
        <f t="shared" si="0"/>
        <v>1</v>
      </c>
    </row>
    <row r="62" spans="1:15" x14ac:dyDescent="0.25">
      <c r="A62" s="288">
        <v>1630</v>
      </c>
      <c r="B62" s="289" t="s">
        <v>894</v>
      </c>
      <c r="C62" s="290" t="s">
        <v>233</v>
      </c>
      <c r="D62" s="290" t="s">
        <v>111</v>
      </c>
      <c r="E62" s="290" t="s">
        <v>115</v>
      </c>
      <c r="F62" s="290" t="s">
        <v>578</v>
      </c>
      <c r="G62" s="290" t="s">
        <v>895</v>
      </c>
      <c r="H62" s="290" t="s">
        <v>580</v>
      </c>
      <c r="I62" s="291">
        <v>6000</v>
      </c>
      <c r="J62" s="291"/>
      <c r="K62" s="290" t="s">
        <v>896</v>
      </c>
      <c r="L62" s="96">
        <f>I62+J62*EERR!$D$2</f>
        <v>6000</v>
      </c>
      <c r="M62" s="96">
        <f>L62/EERR!$D$2</f>
        <v>8.4127874369040931</v>
      </c>
      <c r="N62" s="96">
        <f>SUMIF(Ago!$B$3:$B$116,A62,Ago!$V$3:$V$116)</f>
        <v>0</v>
      </c>
      <c r="O62" s="166">
        <f t="shared" si="0"/>
        <v>1</v>
      </c>
    </row>
    <row r="63" spans="1:15" x14ac:dyDescent="0.25">
      <c r="A63" s="288">
        <v>1631</v>
      </c>
      <c r="B63" s="289" t="s">
        <v>897</v>
      </c>
      <c r="C63" s="290" t="s">
        <v>233</v>
      </c>
      <c r="D63" s="290" t="s">
        <v>111</v>
      </c>
      <c r="E63" s="290" t="s">
        <v>115</v>
      </c>
      <c r="F63" s="290" t="s">
        <v>117</v>
      </c>
      <c r="G63" s="290" t="s">
        <v>898</v>
      </c>
      <c r="H63" s="290" t="s">
        <v>115</v>
      </c>
      <c r="I63" s="291">
        <v>6000</v>
      </c>
      <c r="J63" s="291"/>
      <c r="K63" s="290" t="s">
        <v>899</v>
      </c>
      <c r="L63" s="96">
        <f>I63+J63*EERR!$D$2</f>
        <v>6000</v>
      </c>
      <c r="M63" s="96">
        <f>L63/EERR!$D$2</f>
        <v>8.4127874369040931</v>
      </c>
      <c r="N63" s="96">
        <f>SUMIF(Ago!$B$3:$B$116,A63,Ago!$V$3:$V$116)</f>
        <v>0</v>
      </c>
      <c r="O63" s="166">
        <f t="shared" si="0"/>
        <v>1</v>
      </c>
    </row>
    <row r="64" spans="1:15" x14ac:dyDescent="0.25">
      <c r="A64" s="288">
        <v>1632</v>
      </c>
      <c r="B64" s="289" t="s">
        <v>900</v>
      </c>
      <c r="C64" s="290" t="s">
        <v>234</v>
      </c>
      <c r="D64" s="290" t="s">
        <v>111</v>
      </c>
      <c r="E64" s="290" t="s">
        <v>112</v>
      </c>
      <c r="F64" s="290" t="s">
        <v>116</v>
      </c>
      <c r="G64" s="290" t="s">
        <v>901</v>
      </c>
      <c r="H64" s="290" t="s">
        <v>114</v>
      </c>
      <c r="I64" s="291"/>
      <c r="J64" s="291">
        <v>480</v>
      </c>
      <c r="K64" s="290" t="s">
        <v>902</v>
      </c>
      <c r="L64" s="96">
        <f>I64+J64*EERR!$D$2</f>
        <v>342336</v>
      </c>
      <c r="M64" s="96">
        <f>L64/EERR!$D$2</f>
        <v>479.99999999999994</v>
      </c>
      <c r="N64" s="96">
        <f>SUMIF(Ago!$B$3:$B$116,A64,Ago!$V$3:$V$116)</f>
        <v>0</v>
      </c>
      <c r="O64" s="166">
        <f t="shared" si="0"/>
        <v>1</v>
      </c>
    </row>
    <row r="65" spans="1:15" x14ac:dyDescent="0.25">
      <c r="A65" s="288">
        <v>1633</v>
      </c>
      <c r="B65" s="289" t="s">
        <v>903</v>
      </c>
      <c r="C65" s="290" t="s">
        <v>234</v>
      </c>
      <c r="D65" s="290" t="s">
        <v>111</v>
      </c>
      <c r="E65" s="290" t="s">
        <v>112</v>
      </c>
      <c r="F65" s="290" t="s">
        <v>117</v>
      </c>
      <c r="G65" s="290" t="s">
        <v>904</v>
      </c>
      <c r="H65" s="290" t="s">
        <v>114</v>
      </c>
      <c r="I65" s="291"/>
      <c r="J65" s="291">
        <v>870</v>
      </c>
      <c r="K65" s="290" t="s">
        <v>905</v>
      </c>
      <c r="L65" s="96">
        <f>I65+J65*EERR!$D$2</f>
        <v>620484</v>
      </c>
      <c r="M65" s="96">
        <f>L65/EERR!$D$2</f>
        <v>870</v>
      </c>
      <c r="N65" s="96">
        <f>SUMIF(Ago!$B$3:$B$116,A65,Ago!$V$3:$V$116)</f>
        <v>0</v>
      </c>
      <c r="O65" s="166">
        <f t="shared" si="0"/>
        <v>1</v>
      </c>
    </row>
    <row r="66" spans="1:15" x14ac:dyDescent="0.25">
      <c r="A66" s="288">
        <v>1634</v>
      </c>
      <c r="B66" s="289" t="s">
        <v>906</v>
      </c>
      <c r="C66" s="290" t="s">
        <v>234</v>
      </c>
      <c r="D66" s="290" t="s">
        <v>111</v>
      </c>
      <c r="E66" s="290" t="s">
        <v>112</v>
      </c>
      <c r="F66" s="290" t="s">
        <v>117</v>
      </c>
      <c r="G66" s="290" t="s">
        <v>853</v>
      </c>
      <c r="H66" s="290" t="s">
        <v>114</v>
      </c>
      <c r="I66" s="291"/>
      <c r="J66" s="291">
        <v>805</v>
      </c>
      <c r="K66" s="290" t="s">
        <v>907</v>
      </c>
      <c r="L66" s="96">
        <f>I66+J66*EERR!$D$2</f>
        <v>574126</v>
      </c>
      <c r="M66" s="96">
        <f>L66/EERR!$D$2</f>
        <v>805</v>
      </c>
      <c r="N66" s="96">
        <f>SUMIF(Ago!$B$3:$B$116,A66,Ago!$V$3:$V$116)</f>
        <v>0</v>
      </c>
      <c r="O66" s="166">
        <f t="shared" si="0"/>
        <v>1</v>
      </c>
    </row>
    <row r="67" spans="1:15" x14ac:dyDescent="0.25">
      <c r="A67" s="288">
        <v>1635</v>
      </c>
      <c r="B67" s="289" t="s">
        <v>908</v>
      </c>
      <c r="C67" s="290" t="s">
        <v>233</v>
      </c>
      <c r="D67" s="290" t="s">
        <v>111</v>
      </c>
      <c r="E67" s="290" t="s">
        <v>115</v>
      </c>
      <c r="F67" s="290" t="s">
        <v>117</v>
      </c>
      <c r="G67" s="290" t="s">
        <v>909</v>
      </c>
      <c r="H67" s="290" t="s">
        <v>115</v>
      </c>
      <c r="I67" s="291">
        <v>203347</v>
      </c>
      <c r="J67" s="291"/>
      <c r="K67" s="290" t="s">
        <v>910</v>
      </c>
      <c r="L67" s="96">
        <f>I67+J67*EERR!$D$2</f>
        <v>203347</v>
      </c>
      <c r="M67" s="96">
        <f>L67/EERR!$D$2</f>
        <v>285.1191811553561</v>
      </c>
      <c r="N67" s="96">
        <f>SUMIF(Ago!$B$3:$B$116,A67,Ago!$V$3:$V$116)</f>
        <v>0</v>
      </c>
      <c r="O67" s="166">
        <f t="shared" si="0"/>
        <v>1</v>
      </c>
    </row>
    <row r="68" spans="1:15" x14ac:dyDescent="0.25">
      <c r="A68" s="288">
        <v>1636</v>
      </c>
      <c r="B68" s="289" t="s">
        <v>911</v>
      </c>
      <c r="C68" s="290" t="s">
        <v>233</v>
      </c>
      <c r="D68" s="290" t="s">
        <v>111</v>
      </c>
      <c r="E68" s="290" t="s">
        <v>115</v>
      </c>
      <c r="F68" s="290" t="s">
        <v>117</v>
      </c>
      <c r="G68" s="290" t="s">
        <v>912</v>
      </c>
      <c r="H68" s="290" t="s">
        <v>115</v>
      </c>
      <c r="I68" s="291">
        <v>148282</v>
      </c>
      <c r="J68" s="291"/>
      <c r="K68" s="290" t="s">
        <v>913</v>
      </c>
      <c r="L68" s="96">
        <f>I68+J68*EERR!$D$2</f>
        <v>148282</v>
      </c>
      <c r="M68" s="96">
        <f>L68/EERR!$D$2</f>
        <v>207.9108244531688</v>
      </c>
      <c r="N68" s="96">
        <f>SUMIF(Ago!$B$3:$B$116,A68,Ago!$V$3:$V$116)</f>
        <v>0</v>
      </c>
      <c r="O68" s="166">
        <f t="shared" ref="O68:O113" si="1">+A68-A67</f>
        <v>1</v>
      </c>
    </row>
    <row r="69" spans="1:15" x14ac:dyDescent="0.25">
      <c r="A69" s="288">
        <v>1637</v>
      </c>
      <c r="B69" s="289" t="s">
        <v>914</v>
      </c>
      <c r="C69" s="290" t="s">
        <v>234</v>
      </c>
      <c r="D69" s="290" t="s">
        <v>111</v>
      </c>
      <c r="E69" s="290" t="s">
        <v>112</v>
      </c>
      <c r="F69" s="290" t="s">
        <v>117</v>
      </c>
      <c r="G69" s="290" t="s">
        <v>915</v>
      </c>
      <c r="H69" s="290" t="s">
        <v>114</v>
      </c>
      <c r="I69" s="291"/>
      <c r="J69" s="291">
        <v>180.5</v>
      </c>
      <c r="K69" s="290" t="s">
        <v>916</v>
      </c>
      <c r="L69" s="96">
        <f>I69+J69*EERR!$D$2</f>
        <v>128732.6</v>
      </c>
      <c r="M69" s="96">
        <f>L69/EERR!$D$2</f>
        <v>180.5</v>
      </c>
      <c r="N69" s="96">
        <f>SUMIF(Ago!$B$3:$B$116,A69,Ago!$V$3:$V$116)</f>
        <v>0</v>
      </c>
      <c r="O69" s="166">
        <f t="shared" si="1"/>
        <v>1</v>
      </c>
    </row>
    <row r="70" spans="1:15" x14ac:dyDescent="0.25">
      <c r="A70" s="288">
        <v>1638</v>
      </c>
      <c r="B70" s="289" t="s">
        <v>917</v>
      </c>
      <c r="C70" s="290" t="s">
        <v>234</v>
      </c>
      <c r="D70" s="290" t="s">
        <v>111</v>
      </c>
      <c r="E70" s="290" t="s">
        <v>112</v>
      </c>
      <c r="F70" s="290" t="s">
        <v>117</v>
      </c>
      <c r="G70" s="290" t="s">
        <v>529</v>
      </c>
      <c r="H70" s="290" t="s">
        <v>114</v>
      </c>
      <c r="I70" s="291"/>
      <c r="J70" s="291">
        <v>195</v>
      </c>
      <c r="K70" s="290" t="s">
        <v>918</v>
      </c>
      <c r="L70" s="96">
        <f>I70+J70*EERR!$D$2</f>
        <v>139074</v>
      </c>
      <c r="M70" s="96">
        <f>L70/EERR!$D$2</f>
        <v>195</v>
      </c>
      <c r="N70" s="96">
        <f>SUMIF(Ago!$B$3:$B$116,A70,Ago!$V$3:$V$116)</f>
        <v>0</v>
      </c>
      <c r="O70" s="166">
        <f t="shared" si="1"/>
        <v>1</v>
      </c>
    </row>
    <row r="71" spans="1:15" x14ac:dyDescent="0.25">
      <c r="A71" s="288">
        <v>1639</v>
      </c>
      <c r="B71" s="289" t="s">
        <v>919</v>
      </c>
      <c r="C71" s="290" t="s">
        <v>234</v>
      </c>
      <c r="D71" s="290" t="s">
        <v>111</v>
      </c>
      <c r="E71" s="290" t="s">
        <v>112</v>
      </c>
      <c r="F71" s="290" t="s">
        <v>116</v>
      </c>
      <c r="G71" s="290" t="s">
        <v>761</v>
      </c>
      <c r="H71" s="290" t="s">
        <v>114</v>
      </c>
      <c r="I71" s="291"/>
      <c r="J71" s="291">
        <v>1050</v>
      </c>
      <c r="K71" s="290" t="s">
        <v>920</v>
      </c>
      <c r="L71" s="96">
        <f>I71+J71*EERR!$D$2</f>
        <v>748860</v>
      </c>
      <c r="M71" s="96">
        <f>L71/EERR!$D$2</f>
        <v>1050</v>
      </c>
      <c r="N71" s="96">
        <f>SUMIF(Ago!$B$3:$B$116,A71,Ago!$V$3:$V$116)</f>
        <v>0</v>
      </c>
      <c r="O71" s="166">
        <f t="shared" si="1"/>
        <v>1</v>
      </c>
    </row>
    <row r="72" spans="1:15" x14ac:dyDescent="0.25">
      <c r="A72" s="288">
        <v>1640</v>
      </c>
      <c r="B72" s="289" t="s">
        <v>921</v>
      </c>
      <c r="C72" s="290" t="s">
        <v>234</v>
      </c>
      <c r="D72" s="290" t="s">
        <v>111</v>
      </c>
      <c r="E72" s="290" t="s">
        <v>112</v>
      </c>
      <c r="F72" s="290" t="s">
        <v>117</v>
      </c>
      <c r="G72" s="290" t="s">
        <v>922</v>
      </c>
      <c r="H72" s="290" t="s">
        <v>114</v>
      </c>
      <c r="I72" s="291"/>
      <c r="J72" s="291">
        <v>415</v>
      </c>
      <c r="K72" s="290" t="s">
        <v>923</v>
      </c>
      <c r="L72" s="96">
        <f>I72+J72*EERR!$D$2</f>
        <v>295978</v>
      </c>
      <c r="M72" s="96">
        <f>L72/EERR!$D$2</f>
        <v>415</v>
      </c>
      <c r="N72" s="96">
        <f>SUMIF(Ago!$B$3:$B$116,A72,Ago!$V$3:$V$116)</f>
        <v>0</v>
      </c>
      <c r="O72" s="166">
        <f t="shared" si="1"/>
        <v>1</v>
      </c>
    </row>
    <row r="73" spans="1:15" x14ac:dyDescent="0.25">
      <c r="A73" s="288">
        <v>1641</v>
      </c>
      <c r="B73" s="289" t="s">
        <v>924</v>
      </c>
      <c r="C73" s="290" t="s">
        <v>234</v>
      </c>
      <c r="D73" s="290" t="s">
        <v>111</v>
      </c>
      <c r="E73" s="290" t="s">
        <v>112</v>
      </c>
      <c r="F73" s="290" t="s">
        <v>116</v>
      </c>
      <c r="G73" s="290" t="s">
        <v>620</v>
      </c>
      <c r="H73" s="290" t="s">
        <v>114</v>
      </c>
      <c r="I73" s="291"/>
      <c r="J73" s="291">
        <v>220</v>
      </c>
      <c r="K73" s="290" t="s">
        <v>925</v>
      </c>
      <c r="L73" s="96">
        <f>I73+J73*EERR!$D$2</f>
        <v>156904</v>
      </c>
      <c r="M73" s="96">
        <f>L73/EERR!$D$2</f>
        <v>220</v>
      </c>
      <c r="N73" s="96">
        <f>SUMIF(Ago!$B$3:$B$116,A73,Ago!$V$3:$V$116)</f>
        <v>0</v>
      </c>
      <c r="O73" s="166">
        <f t="shared" si="1"/>
        <v>1</v>
      </c>
    </row>
    <row r="74" spans="1:15" x14ac:dyDescent="0.25">
      <c r="A74" s="288">
        <v>1642</v>
      </c>
      <c r="B74" s="289" t="s">
        <v>926</v>
      </c>
      <c r="C74" s="290" t="s">
        <v>234</v>
      </c>
      <c r="D74" s="290" t="s">
        <v>111</v>
      </c>
      <c r="E74" s="290" t="s">
        <v>112</v>
      </c>
      <c r="F74" s="290" t="s">
        <v>116</v>
      </c>
      <c r="G74" s="290" t="s">
        <v>927</v>
      </c>
      <c r="H74" s="290" t="s">
        <v>114</v>
      </c>
      <c r="I74" s="291"/>
      <c r="J74" s="291">
        <v>240</v>
      </c>
      <c r="K74" s="290" t="s">
        <v>928</v>
      </c>
      <c r="L74" s="96">
        <f>I74+J74*EERR!$D$2</f>
        <v>171168</v>
      </c>
      <c r="M74" s="96">
        <f>L74/EERR!$D$2</f>
        <v>239.99999999999997</v>
      </c>
      <c r="N74" s="96">
        <f>SUMIF(Ago!$B$3:$B$116,A74,Ago!$V$3:$V$116)</f>
        <v>0</v>
      </c>
      <c r="O74" s="166">
        <f t="shared" si="1"/>
        <v>1</v>
      </c>
    </row>
    <row r="75" spans="1:15" x14ac:dyDescent="0.25">
      <c r="A75" s="288">
        <v>1643</v>
      </c>
      <c r="B75" s="289" t="s">
        <v>929</v>
      </c>
      <c r="C75" s="290" t="s">
        <v>233</v>
      </c>
      <c r="D75" s="290" t="s">
        <v>111</v>
      </c>
      <c r="E75" s="290" t="s">
        <v>115</v>
      </c>
      <c r="F75" s="290" t="s">
        <v>117</v>
      </c>
      <c r="G75" s="290" t="s">
        <v>930</v>
      </c>
      <c r="H75" s="290" t="s">
        <v>115</v>
      </c>
      <c r="I75" s="291">
        <v>167290</v>
      </c>
      <c r="J75" s="291"/>
      <c r="K75" s="290" t="s">
        <v>931</v>
      </c>
      <c r="L75" s="96">
        <f>I75+J75*EERR!$D$2</f>
        <v>167290</v>
      </c>
      <c r="M75" s="96">
        <f>L75/EERR!$D$2</f>
        <v>234.56253505328098</v>
      </c>
      <c r="N75" s="96">
        <f>SUMIF(Ago!$B$3:$B$116,A75,Ago!$V$3:$V$116)</f>
        <v>0</v>
      </c>
      <c r="O75" s="166">
        <f t="shared" si="1"/>
        <v>1</v>
      </c>
    </row>
    <row r="76" spans="1:15" x14ac:dyDescent="0.25">
      <c r="A76" s="288">
        <v>1644</v>
      </c>
      <c r="B76" s="289" t="s">
        <v>932</v>
      </c>
      <c r="C76" s="290" t="s">
        <v>234</v>
      </c>
      <c r="D76" s="290" t="s">
        <v>111</v>
      </c>
      <c r="E76" s="290" t="s">
        <v>112</v>
      </c>
      <c r="F76" s="290" t="s">
        <v>116</v>
      </c>
      <c r="G76" s="290" t="s">
        <v>933</v>
      </c>
      <c r="H76" s="290" t="s">
        <v>114</v>
      </c>
      <c r="I76" s="291"/>
      <c r="J76" s="291">
        <v>240</v>
      </c>
      <c r="K76" s="290" t="s">
        <v>934</v>
      </c>
      <c r="L76" s="96">
        <f>I76+J76*EERR!$D$2</f>
        <v>171168</v>
      </c>
      <c r="M76" s="96">
        <f>L76/EERR!$D$2</f>
        <v>239.99999999999997</v>
      </c>
      <c r="N76" s="96">
        <f>SUMIF(Ago!$B$3:$B$116,A76,Ago!$V$3:$V$116)</f>
        <v>0</v>
      </c>
      <c r="O76" s="166">
        <f t="shared" si="1"/>
        <v>1</v>
      </c>
    </row>
    <row r="77" spans="1:15" x14ac:dyDescent="0.25">
      <c r="A77" s="288">
        <v>1645</v>
      </c>
      <c r="B77" s="289" t="s">
        <v>935</v>
      </c>
      <c r="C77" s="290" t="s">
        <v>234</v>
      </c>
      <c r="D77" s="290" t="s">
        <v>111</v>
      </c>
      <c r="E77" s="290" t="s">
        <v>112</v>
      </c>
      <c r="F77" s="290" t="s">
        <v>116</v>
      </c>
      <c r="G77" s="290" t="s">
        <v>936</v>
      </c>
      <c r="H77" s="290" t="s">
        <v>114</v>
      </c>
      <c r="I77" s="291"/>
      <c r="J77" s="291">
        <v>700</v>
      </c>
      <c r="K77" s="290" t="s">
        <v>937</v>
      </c>
      <c r="L77" s="96">
        <f>I77+J77*EERR!$D$2</f>
        <v>499240.00000000006</v>
      </c>
      <c r="M77" s="96">
        <f>L77/EERR!$D$2</f>
        <v>700</v>
      </c>
      <c r="N77" s="96">
        <f>SUMIF(Ago!$B$3:$B$116,A77,Ago!$V$3:$V$116)</f>
        <v>0</v>
      </c>
      <c r="O77" s="166">
        <f t="shared" si="1"/>
        <v>1</v>
      </c>
    </row>
    <row r="78" spans="1:15" x14ac:dyDescent="0.25">
      <c r="A78" s="288">
        <v>1646</v>
      </c>
      <c r="B78" s="289" t="s">
        <v>938</v>
      </c>
      <c r="C78" s="290" t="s">
        <v>234</v>
      </c>
      <c r="D78" s="290" t="s">
        <v>111</v>
      </c>
      <c r="E78" s="290" t="s">
        <v>112</v>
      </c>
      <c r="F78" s="290" t="s">
        <v>116</v>
      </c>
      <c r="G78" s="290" t="s">
        <v>569</v>
      </c>
      <c r="H78" s="290" t="s">
        <v>114</v>
      </c>
      <c r="I78" s="291"/>
      <c r="J78" s="291">
        <v>1320</v>
      </c>
      <c r="K78" s="290" t="s">
        <v>939</v>
      </c>
      <c r="L78" s="96">
        <f>I78+J78*EERR!$D$2</f>
        <v>941424.00000000012</v>
      </c>
      <c r="M78" s="96">
        <f>L78/EERR!$D$2</f>
        <v>1320</v>
      </c>
      <c r="N78" s="96">
        <f>SUMIF(Ago!$B$3:$B$116,A78,Ago!$V$3:$V$116)</f>
        <v>0</v>
      </c>
      <c r="O78" s="166">
        <f t="shared" si="1"/>
        <v>1</v>
      </c>
    </row>
    <row r="79" spans="1:15" x14ac:dyDescent="0.25">
      <c r="A79" s="288">
        <v>1647</v>
      </c>
      <c r="B79" s="289" t="s">
        <v>940</v>
      </c>
      <c r="C79" s="290" t="s">
        <v>234</v>
      </c>
      <c r="D79" s="290" t="s">
        <v>111</v>
      </c>
      <c r="E79" s="290" t="s">
        <v>112</v>
      </c>
      <c r="F79" s="290" t="s">
        <v>113</v>
      </c>
      <c r="G79" s="290" t="s">
        <v>943</v>
      </c>
      <c r="H79" s="290" t="s">
        <v>114</v>
      </c>
      <c r="I79" s="291"/>
      <c r="J79" s="291">
        <v>195</v>
      </c>
      <c r="K79" s="290" t="s">
        <v>944</v>
      </c>
      <c r="L79" s="96">
        <f>I79+J79*EERR!$D$2</f>
        <v>139074</v>
      </c>
      <c r="M79" s="96">
        <f>L79/EERR!$D$2</f>
        <v>195</v>
      </c>
      <c r="N79" s="96">
        <f>SUMIF(Ago!$B$3:$B$116,A79,Ago!$V$3:$V$116)</f>
        <v>0</v>
      </c>
      <c r="O79" s="166">
        <f t="shared" si="1"/>
        <v>1</v>
      </c>
    </row>
    <row r="80" spans="1:15" x14ac:dyDescent="0.25">
      <c r="A80" s="288">
        <v>1648</v>
      </c>
      <c r="B80" s="289" t="s">
        <v>940</v>
      </c>
      <c r="C80" s="290" t="s">
        <v>233</v>
      </c>
      <c r="D80" s="290" t="s">
        <v>111</v>
      </c>
      <c r="E80" s="290" t="s">
        <v>115</v>
      </c>
      <c r="F80" s="290" t="s">
        <v>116</v>
      </c>
      <c r="G80" s="290" t="s">
        <v>941</v>
      </c>
      <c r="H80" s="290" t="s">
        <v>115</v>
      </c>
      <c r="I80" s="291">
        <v>165220</v>
      </c>
      <c r="J80" s="291"/>
      <c r="K80" s="290" t="s">
        <v>942</v>
      </c>
      <c r="L80" s="96">
        <f>I80+J80*EERR!$D$2</f>
        <v>165220</v>
      </c>
      <c r="M80" s="96">
        <f>L80/EERR!$D$2</f>
        <v>231.66012338754905</v>
      </c>
      <c r="N80" s="96">
        <f>SUMIF(Ago!$B$3:$B$116,A80,Ago!$V$3:$V$116)</f>
        <v>333224</v>
      </c>
      <c r="O80" s="166">
        <f t="shared" si="1"/>
        <v>1</v>
      </c>
    </row>
    <row r="81" spans="1:18" x14ac:dyDescent="0.25">
      <c r="A81" s="288">
        <v>1649</v>
      </c>
      <c r="B81" s="289" t="s">
        <v>945</v>
      </c>
      <c r="C81" s="290" t="s">
        <v>233</v>
      </c>
      <c r="D81" s="290" t="s">
        <v>111</v>
      </c>
      <c r="E81" s="290" t="s">
        <v>115</v>
      </c>
      <c r="F81" s="290" t="s">
        <v>113</v>
      </c>
      <c r="G81" s="290" t="s">
        <v>583</v>
      </c>
      <c r="H81" s="290" t="s">
        <v>115</v>
      </c>
      <c r="I81" s="291">
        <v>557634</v>
      </c>
      <c r="J81" s="291"/>
      <c r="K81" s="290" t="s">
        <v>946</v>
      </c>
      <c r="L81" s="96">
        <f>I81+J81*EERR!$D$2</f>
        <v>557634</v>
      </c>
      <c r="M81" s="96">
        <f>L81/EERR!$D$2</f>
        <v>781.87605159842951</v>
      </c>
      <c r="N81" s="96">
        <f>SUMIF(Ago!$B$3:$B$116,A81,Ago!$V$3:$V$116)</f>
        <v>0</v>
      </c>
      <c r="O81" s="166">
        <f t="shared" si="1"/>
        <v>1</v>
      </c>
    </row>
    <row r="82" spans="1:18" x14ac:dyDescent="0.25">
      <c r="A82" s="288">
        <v>1650</v>
      </c>
      <c r="B82" s="289" t="s">
        <v>947</v>
      </c>
      <c r="C82" s="290" t="s">
        <v>233</v>
      </c>
      <c r="D82" s="290" t="s">
        <v>111</v>
      </c>
      <c r="E82" s="290" t="s">
        <v>115</v>
      </c>
      <c r="F82" s="290" t="s">
        <v>117</v>
      </c>
      <c r="G82" s="290" t="s">
        <v>853</v>
      </c>
      <c r="H82" s="290" t="s">
        <v>115</v>
      </c>
      <c r="I82" s="291">
        <v>12000</v>
      </c>
      <c r="J82" s="291"/>
      <c r="K82" s="290" t="s">
        <v>948</v>
      </c>
      <c r="L82" s="96">
        <f>I82+J82*EERR!$D$2</f>
        <v>12000</v>
      </c>
      <c r="M82" s="96">
        <f>L82/EERR!$D$2</f>
        <v>16.825574873808186</v>
      </c>
      <c r="N82" s="96">
        <f>SUMIF(Ago!$B$3:$B$116,A82,Ago!$V$3:$V$116)</f>
        <v>0</v>
      </c>
      <c r="O82" s="166">
        <f t="shared" si="1"/>
        <v>1</v>
      </c>
    </row>
    <row r="83" spans="1:18" x14ac:dyDescent="0.25">
      <c r="A83" s="288">
        <v>1651</v>
      </c>
      <c r="B83" s="289" t="s">
        <v>949</v>
      </c>
      <c r="C83" s="290" t="s">
        <v>234</v>
      </c>
      <c r="D83" s="290" t="s">
        <v>111</v>
      </c>
      <c r="E83" s="290" t="s">
        <v>112</v>
      </c>
      <c r="F83" s="290" t="s">
        <v>116</v>
      </c>
      <c r="G83" s="290" t="s">
        <v>950</v>
      </c>
      <c r="H83" s="290" t="s">
        <v>114</v>
      </c>
      <c r="I83" s="291"/>
      <c r="J83" s="291">
        <v>188.1</v>
      </c>
      <c r="K83" s="290" t="s">
        <v>951</v>
      </c>
      <c r="L83" s="96">
        <f>I83+J83*EERR!$D$2</f>
        <v>134152.92000000001</v>
      </c>
      <c r="M83" s="96">
        <f>L83/EERR!$D$2</f>
        <v>188.1</v>
      </c>
      <c r="N83" s="96">
        <f>SUMIF(Ago!$B$3:$B$116,A83,Ago!$V$3:$V$116)</f>
        <v>0</v>
      </c>
      <c r="O83" s="166">
        <f t="shared" si="1"/>
        <v>1</v>
      </c>
    </row>
    <row r="84" spans="1:18" x14ac:dyDescent="0.25">
      <c r="A84" s="288">
        <v>1652</v>
      </c>
      <c r="B84" s="289" t="s">
        <v>952</v>
      </c>
      <c r="C84" s="290" t="s">
        <v>234</v>
      </c>
      <c r="D84" s="290" t="s">
        <v>111</v>
      </c>
      <c r="E84" s="290" t="s">
        <v>112</v>
      </c>
      <c r="F84" s="290" t="s">
        <v>117</v>
      </c>
      <c r="G84" s="290" t="s">
        <v>868</v>
      </c>
      <c r="H84" s="290" t="s">
        <v>114</v>
      </c>
      <c r="I84" s="291"/>
      <c r="J84" s="291">
        <v>198</v>
      </c>
      <c r="K84" s="290" t="s">
        <v>953</v>
      </c>
      <c r="L84" s="96">
        <f>I84+J84*EERR!$D$2</f>
        <v>141213.6</v>
      </c>
      <c r="M84" s="96">
        <f>L84/EERR!$D$2</f>
        <v>198</v>
      </c>
      <c r="N84" s="96">
        <f>SUMIF(Ago!$B$3:$B$116,A84,Ago!$V$3:$V$116)</f>
        <v>0</v>
      </c>
      <c r="O84" s="166">
        <f t="shared" si="1"/>
        <v>1</v>
      </c>
    </row>
    <row r="85" spans="1:18" x14ac:dyDescent="0.25">
      <c r="A85" s="288">
        <v>1653</v>
      </c>
      <c r="B85" s="289" t="s">
        <v>954</v>
      </c>
      <c r="C85" s="290" t="s">
        <v>234</v>
      </c>
      <c r="D85" s="290" t="s">
        <v>111</v>
      </c>
      <c r="E85" s="290" t="s">
        <v>112</v>
      </c>
      <c r="F85" s="290" t="s">
        <v>117</v>
      </c>
      <c r="G85" s="290" t="s">
        <v>955</v>
      </c>
      <c r="H85" s="290" t="s">
        <v>114</v>
      </c>
      <c r="I85" s="291"/>
      <c r="J85" s="291">
        <v>240</v>
      </c>
      <c r="K85" s="290" t="s">
        <v>956</v>
      </c>
      <c r="L85" s="96">
        <f>I85+J85*EERR!$D$2</f>
        <v>171168</v>
      </c>
      <c r="M85" s="96">
        <f>L85/EERR!$D$2</f>
        <v>239.99999999999997</v>
      </c>
      <c r="N85" s="96">
        <f>SUMIF(Ago!$B$3:$B$116,A85,Ago!$V$3:$V$116)</f>
        <v>0</v>
      </c>
      <c r="O85" s="166">
        <f t="shared" si="1"/>
        <v>1</v>
      </c>
    </row>
    <row r="86" spans="1:18" x14ac:dyDescent="0.25">
      <c r="A86" s="288">
        <v>1654</v>
      </c>
      <c r="B86" s="289" t="s">
        <v>957</v>
      </c>
      <c r="C86" s="290" t="s">
        <v>234</v>
      </c>
      <c r="D86" s="290" t="s">
        <v>111</v>
      </c>
      <c r="E86" s="290" t="s">
        <v>112</v>
      </c>
      <c r="F86" s="290" t="s">
        <v>117</v>
      </c>
      <c r="G86" s="290" t="s">
        <v>960</v>
      </c>
      <c r="H86" s="290" t="s">
        <v>114</v>
      </c>
      <c r="I86" s="291"/>
      <c r="J86" s="291">
        <v>194.75</v>
      </c>
      <c r="K86" s="290" t="s">
        <v>961</v>
      </c>
      <c r="L86" s="96">
        <f>I86+J86*EERR!$D$2</f>
        <v>138895.70000000001</v>
      </c>
      <c r="M86" s="96">
        <f>L86/EERR!$D$2</f>
        <v>194.75</v>
      </c>
      <c r="N86" s="96">
        <f>SUMIF(Ago!$B$3:$B$116,A86,Ago!$V$3:$V$116)</f>
        <v>0</v>
      </c>
      <c r="O86" s="166">
        <f t="shared" si="1"/>
        <v>1</v>
      </c>
    </row>
    <row r="87" spans="1:18" x14ac:dyDescent="0.25">
      <c r="A87" s="288">
        <v>1655</v>
      </c>
      <c r="B87" s="289" t="s">
        <v>957</v>
      </c>
      <c r="C87" s="290" t="s">
        <v>234</v>
      </c>
      <c r="D87" s="290" t="s">
        <v>111</v>
      </c>
      <c r="E87" s="290" t="s">
        <v>112</v>
      </c>
      <c r="F87" s="290" t="s">
        <v>117</v>
      </c>
      <c r="G87" s="290" t="s">
        <v>958</v>
      </c>
      <c r="H87" s="290" t="s">
        <v>114</v>
      </c>
      <c r="I87" s="291"/>
      <c r="J87" s="291">
        <v>195</v>
      </c>
      <c r="K87" s="290" t="s">
        <v>959</v>
      </c>
      <c r="L87" s="96">
        <f>I87+J87*EERR!$D$2</f>
        <v>139074</v>
      </c>
      <c r="M87" s="96">
        <f>L87/EERR!$D$2</f>
        <v>195</v>
      </c>
      <c r="N87" s="96">
        <f>SUMIF(Ago!$B$3:$B$116,A87,Ago!$V$3:$V$116)</f>
        <v>139074</v>
      </c>
      <c r="O87" s="166">
        <f t="shared" si="1"/>
        <v>1</v>
      </c>
    </row>
    <row r="88" spans="1:18" x14ac:dyDescent="0.25">
      <c r="A88" s="288">
        <v>1656</v>
      </c>
      <c r="B88" s="289" t="s">
        <v>962</v>
      </c>
      <c r="C88" s="290" t="s">
        <v>233</v>
      </c>
      <c r="D88" s="290" t="s">
        <v>111</v>
      </c>
      <c r="E88" s="290" t="s">
        <v>115</v>
      </c>
      <c r="F88" s="290" t="s">
        <v>116</v>
      </c>
      <c r="G88" s="290" t="s">
        <v>963</v>
      </c>
      <c r="H88" s="290" t="s">
        <v>115</v>
      </c>
      <c r="I88" s="291">
        <v>165452</v>
      </c>
      <c r="J88" s="291"/>
      <c r="K88" s="290" t="s">
        <v>964</v>
      </c>
      <c r="L88" s="96">
        <f>I88+J88*EERR!$D$2</f>
        <v>165452</v>
      </c>
      <c r="M88" s="96">
        <f>L88/EERR!$D$2</f>
        <v>231.98541783510936</v>
      </c>
      <c r="N88" s="96">
        <f>SUMIF(Ago!$B$3:$B$116,A88,Ago!$V$3:$V$116)</f>
        <v>333456</v>
      </c>
      <c r="O88" s="166">
        <f t="shared" si="1"/>
        <v>1</v>
      </c>
    </row>
    <row r="89" spans="1:18" x14ac:dyDescent="0.25">
      <c r="A89" s="288">
        <v>1657</v>
      </c>
      <c r="B89" s="289" t="s">
        <v>965</v>
      </c>
      <c r="C89" s="290" t="s">
        <v>234</v>
      </c>
      <c r="D89" s="290" t="s">
        <v>111</v>
      </c>
      <c r="E89" s="290" t="s">
        <v>112</v>
      </c>
      <c r="F89" s="290" t="s">
        <v>116</v>
      </c>
      <c r="G89" s="290" t="s">
        <v>966</v>
      </c>
      <c r="H89" s="290" t="s">
        <v>114</v>
      </c>
      <c r="I89" s="291"/>
      <c r="J89" s="291">
        <v>195</v>
      </c>
      <c r="K89" s="290" t="s">
        <v>967</v>
      </c>
      <c r="L89" s="96">
        <f>I89+J89*EERR!$D$2</f>
        <v>139074</v>
      </c>
      <c r="M89" s="96">
        <f>L89/EERR!$D$2</f>
        <v>195</v>
      </c>
      <c r="N89" s="96">
        <f>SUMIF(Ago!$B$3:$B$116,A89,Ago!$V$3:$V$116)</f>
        <v>0</v>
      </c>
      <c r="O89" s="166">
        <f t="shared" si="1"/>
        <v>1</v>
      </c>
    </row>
    <row r="90" spans="1:18" x14ac:dyDescent="0.25">
      <c r="A90" s="288">
        <v>1658</v>
      </c>
      <c r="B90" s="289" t="s">
        <v>968</v>
      </c>
      <c r="C90" s="290" t="s">
        <v>234</v>
      </c>
      <c r="D90" s="290" t="s">
        <v>111</v>
      </c>
      <c r="E90" s="290" t="s">
        <v>112</v>
      </c>
      <c r="F90" s="290" t="s">
        <v>117</v>
      </c>
      <c r="G90" s="290" t="s">
        <v>971</v>
      </c>
      <c r="H90" s="290" t="s">
        <v>114</v>
      </c>
      <c r="I90" s="291"/>
      <c r="J90" s="291">
        <v>190</v>
      </c>
      <c r="K90" s="290" t="s">
        <v>972</v>
      </c>
      <c r="L90" s="96">
        <f>I90+J90*EERR!$D$2</f>
        <v>135508</v>
      </c>
      <c r="M90" s="96">
        <f>L90/EERR!$D$2</f>
        <v>190</v>
      </c>
      <c r="N90" s="96">
        <f>SUMIF(Ago!$B$3:$B$116,A90,Ago!$V$3:$V$116)</f>
        <v>0</v>
      </c>
      <c r="O90" s="166">
        <f t="shared" si="1"/>
        <v>1</v>
      </c>
    </row>
    <row r="91" spans="1:18" x14ac:dyDescent="0.25">
      <c r="A91" s="288">
        <v>1659</v>
      </c>
      <c r="B91" s="289" t="s">
        <v>968</v>
      </c>
      <c r="C91" s="290" t="s">
        <v>234</v>
      </c>
      <c r="D91" s="290" t="s">
        <v>111</v>
      </c>
      <c r="E91" s="290" t="s">
        <v>112</v>
      </c>
      <c r="F91" s="290" t="s">
        <v>117</v>
      </c>
      <c r="G91" s="290" t="s">
        <v>969</v>
      </c>
      <c r="H91" s="290" t="s">
        <v>114</v>
      </c>
      <c r="I91" s="291"/>
      <c r="J91" s="291">
        <v>220</v>
      </c>
      <c r="K91" s="290" t="s">
        <v>970</v>
      </c>
      <c r="L91" s="96">
        <f>I91+J91*EERR!$D$2</f>
        <v>156904</v>
      </c>
      <c r="M91" s="96">
        <f>L91/EERR!$D$2</f>
        <v>220</v>
      </c>
      <c r="N91" s="96">
        <f>SUMIF(Ago!$B$3:$B$116,A91,Ago!$V$3:$V$116)</f>
        <v>0</v>
      </c>
      <c r="O91" s="166">
        <f t="shared" si="1"/>
        <v>1</v>
      </c>
    </row>
    <row r="92" spans="1:18" x14ac:dyDescent="0.25">
      <c r="A92" s="288">
        <v>1660</v>
      </c>
      <c r="B92" s="289" t="s">
        <v>973</v>
      </c>
      <c r="C92" s="290" t="s">
        <v>234</v>
      </c>
      <c r="D92" s="290" t="s">
        <v>111</v>
      </c>
      <c r="E92" s="290" t="s">
        <v>112</v>
      </c>
      <c r="F92" s="290" t="s">
        <v>117</v>
      </c>
      <c r="G92" s="290" t="s">
        <v>974</v>
      </c>
      <c r="H92" s="290" t="s">
        <v>114</v>
      </c>
      <c r="I92" s="291"/>
      <c r="J92" s="291">
        <v>220</v>
      </c>
      <c r="K92" s="290" t="s">
        <v>975</v>
      </c>
      <c r="L92" s="96">
        <f>I92+J92*EERR!$D$2</f>
        <v>156904</v>
      </c>
      <c r="M92" s="96">
        <f>L92/EERR!$D$2</f>
        <v>220</v>
      </c>
      <c r="N92" s="96">
        <f>SUMIF(Ago!$B$3:$B$116,A92,Ago!$V$3:$V$116)</f>
        <v>0</v>
      </c>
      <c r="O92" s="166">
        <f t="shared" si="1"/>
        <v>1</v>
      </c>
    </row>
    <row r="93" spans="1:18" x14ac:dyDescent="0.25">
      <c r="A93" s="288">
        <v>1661</v>
      </c>
      <c r="B93" s="289" t="s">
        <v>976</v>
      </c>
      <c r="C93" s="290" t="s">
        <v>234</v>
      </c>
      <c r="D93" s="290" t="s">
        <v>111</v>
      </c>
      <c r="E93" s="290" t="s">
        <v>112</v>
      </c>
      <c r="F93" s="290" t="s">
        <v>117</v>
      </c>
      <c r="G93" s="290" t="s">
        <v>591</v>
      </c>
      <c r="H93" s="290" t="s">
        <v>114</v>
      </c>
      <c r="I93" s="291"/>
      <c r="J93" s="291">
        <v>660</v>
      </c>
      <c r="K93" s="290" t="s">
        <v>977</v>
      </c>
      <c r="L93" s="96">
        <f>I93+J93*EERR!$D$2</f>
        <v>470712.00000000006</v>
      </c>
      <c r="M93" s="96">
        <f>L93/EERR!$D$2</f>
        <v>660</v>
      </c>
      <c r="N93" s="96">
        <f>SUMIF(Ago!$B$3:$B$116,A93,Ago!$V$3:$V$116)</f>
        <v>0</v>
      </c>
      <c r="O93" s="166">
        <f t="shared" si="1"/>
        <v>1</v>
      </c>
      <c r="R93" s="53" t="s">
        <v>202</v>
      </c>
    </row>
    <row r="94" spans="1:18" x14ac:dyDescent="0.25">
      <c r="A94" s="288">
        <v>1662</v>
      </c>
      <c r="B94" s="289" t="s">
        <v>978</v>
      </c>
      <c r="C94" s="290" t="s">
        <v>234</v>
      </c>
      <c r="D94" s="290" t="s">
        <v>111</v>
      </c>
      <c r="E94" s="290" t="s">
        <v>112</v>
      </c>
      <c r="F94" s="290" t="s">
        <v>116</v>
      </c>
      <c r="G94" s="290" t="s">
        <v>594</v>
      </c>
      <c r="H94" s="290" t="s">
        <v>114</v>
      </c>
      <c r="I94" s="291"/>
      <c r="J94" s="291">
        <v>440</v>
      </c>
      <c r="K94" s="290" t="s">
        <v>979</v>
      </c>
      <c r="L94" s="96">
        <f>I94+J94*EERR!$D$2</f>
        <v>313808</v>
      </c>
      <c r="M94" s="96">
        <f>L94/EERR!$D$2</f>
        <v>440</v>
      </c>
      <c r="N94" s="96">
        <f>SUMIF(Ago!$B$3:$B$116,A94,Ago!$V$3:$V$116)</f>
        <v>0</v>
      </c>
      <c r="O94" s="166">
        <f t="shared" si="1"/>
        <v>1</v>
      </c>
    </row>
    <row r="95" spans="1:18" x14ac:dyDescent="0.25">
      <c r="A95" s="288">
        <v>1663</v>
      </c>
      <c r="B95" s="289" t="s">
        <v>980</v>
      </c>
      <c r="C95" s="290" t="s">
        <v>234</v>
      </c>
      <c r="D95" s="290" t="s">
        <v>111</v>
      </c>
      <c r="E95" s="290" t="s">
        <v>112</v>
      </c>
      <c r="F95" s="290" t="s">
        <v>113</v>
      </c>
      <c r="G95" s="290" t="s">
        <v>981</v>
      </c>
      <c r="H95" s="290" t="s">
        <v>114</v>
      </c>
      <c r="I95" s="291"/>
      <c r="J95" s="291">
        <v>240</v>
      </c>
      <c r="K95" s="290" t="s">
        <v>328</v>
      </c>
      <c r="L95" s="96">
        <f>I95+J95*EERR!$D$2</f>
        <v>171168</v>
      </c>
      <c r="M95" s="96">
        <f>L95/EERR!$D$2</f>
        <v>239.99999999999997</v>
      </c>
      <c r="N95" s="96">
        <f>SUMIF(Ago!$B$3:$B$116,A95,Ago!$V$3:$V$116)</f>
        <v>0</v>
      </c>
      <c r="O95" s="166">
        <f t="shared" si="1"/>
        <v>1</v>
      </c>
    </row>
    <row r="96" spans="1:18" x14ac:dyDescent="0.25">
      <c r="A96" s="288">
        <v>1664</v>
      </c>
      <c r="B96" s="289" t="s">
        <v>982</v>
      </c>
      <c r="C96" s="290" t="s">
        <v>234</v>
      </c>
      <c r="D96" s="290" t="s">
        <v>111</v>
      </c>
      <c r="E96" s="290" t="s">
        <v>112</v>
      </c>
      <c r="F96" s="290" t="s">
        <v>113</v>
      </c>
      <c r="G96" s="290" t="s">
        <v>983</v>
      </c>
      <c r="H96" s="290" t="s">
        <v>114</v>
      </c>
      <c r="I96" s="291"/>
      <c r="J96" s="291">
        <v>195</v>
      </c>
      <c r="K96" s="290" t="s">
        <v>328</v>
      </c>
      <c r="L96" s="96">
        <f>I96+J96*EERR!$D$2</f>
        <v>139074</v>
      </c>
      <c r="M96" s="96">
        <f>L96/EERR!$D$2</f>
        <v>195</v>
      </c>
      <c r="N96" s="96">
        <f>SUMIF(Ago!$B$3:$B$116,A96,Ago!$V$3:$V$116)</f>
        <v>0</v>
      </c>
      <c r="O96" s="166">
        <f t="shared" si="1"/>
        <v>1</v>
      </c>
    </row>
    <row r="97" spans="1:15" x14ac:dyDescent="0.25">
      <c r="A97" s="288">
        <v>1665</v>
      </c>
      <c r="B97" s="289" t="s">
        <v>984</v>
      </c>
      <c r="C97" s="290" t="s">
        <v>234</v>
      </c>
      <c r="D97" s="290" t="s">
        <v>111</v>
      </c>
      <c r="E97" s="290" t="s">
        <v>112</v>
      </c>
      <c r="F97" s="290" t="s">
        <v>116</v>
      </c>
      <c r="G97" s="290" t="s">
        <v>985</v>
      </c>
      <c r="H97" s="290" t="s">
        <v>114</v>
      </c>
      <c r="I97" s="291"/>
      <c r="J97" s="291">
        <v>240</v>
      </c>
      <c r="K97" s="290" t="s">
        <v>986</v>
      </c>
      <c r="L97" s="96">
        <f>I97+J97*EERR!$D$2</f>
        <v>171168</v>
      </c>
      <c r="M97" s="96">
        <f>L97/EERR!$D$2</f>
        <v>239.99999999999997</v>
      </c>
      <c r="N97" s="96">
        <f>SUMIF(Ago!$B$3:$B$116,A97,Ago!$V$3:$V$116)</f>
        <v>0</v>
      </c>
      <c r="O97" s="166">
        <f t="shared" si="1"/>
        <v>1</v>
      </c>
    </row>
    <row r="98" spans="1:15" x14ac:dyDescent="0.25">
      <c r="A98" s="288">
        <v>1666</v>
      </c>
      <c r="B98" s="289" t="s">
        <v>987</v>
      </c>
      <c r="C98" s="290" t="s">
        <v>234</v>
      </c>
      <c r="D98" s="290" t="s">
        <v>111</v>
      </c>
      <c r="E98" s="290" t="s">
        <v>112</v>
      </c>
      <c r="F98" s="290" t="s">
        <v>116</v>
      </c>
      <c r="G98" s="290" t="s">
        <v>985</v>
      </c>
      <c r="H98" s="290" t="s">
        <v>114</v>
      </c>
      <c r="I98" s="291"/>
      <c r="J98" s="291">
        <v>195</v>
      </c>
      <c r="K98" s="290" t="s">
        <v>988</v>
      </c>
      <c r="L98" s="96">
        <f>I98+J98*EERR!$D$2</f>
        <v>139074</v>
      </c>
      <c r="M98" s="96">
        <f>L98/EERR!$D$2</f>
        <v>195</v>
      </c>
      <c r="N98" s="96">
        <f>SUMIF(Ago!$B$3:$B$116,A98,Ago!$V$3:$V$116)</f>
        <v>0</v>
      </c>
      <c r="O98" s="166">
        <f t="shared" si="1"/>
        <v>1</v>
      </c>
    </row>
    <row r="99" spans="1:15" x14ac:dyDescent="0.25">
      <c r="A99" s="288">
        <v>1667</v>
      </c>
      <c r="B99" s="289" t="s">
        <v>989</v>
      </c>
      <c r="C99" s="290" t="s">
        <v>234</v>
      </c>
      <c r="D99" s="290" t="s">
        <v>111</v>
      </c>
      <c r="E99" s="290" t="s">
        <v>112</v>
      </c>
      <c r="F99" s="290" t="s">
        <v>116</v>
      </c>
      <c r="G99" s="290" t="s">
        <v>990</v>
      </c>
      <c r="H99" s="290" t="s">
        <v>114</v>
      </c>
      <c r="I99" s="291"/>
      <c r="J99" s="291">
        <v>440</v>
      </c>
      <c r="K99" s="290" t="s">
        <v>991</v>
      </c>
      <c r="L99" s="96">
        <f>I99+J99*EERR!$D$2</f>
        <v>313808</v>
      </c>
      <c r="M99" s="96">
        <f>L99/EERR!$D$2</f>
        <v>440</v>
      </c>
      <c r="N99" s="96">
        <f>SUMIF(Ago!$B$3:$B$116,A99,Ago!$V$3:$V$116)</f>
        <v>0</v>
      </c>
      <c r="O99" s="166">
        <f t="shared" si="1"/>
        <v>1</v>
      </c>
    </row>
    <row r="100" spans="1:15" x14ac:dyDescent="0.25">
      <c r="A100" s="288">
        <v>1668</v>
      </c>
      <c r="B100" s="289" t="s">
        <v>992</v>
      </c>
      <c r="C100" s="290" t="s">
        <v>234</v>
      </c>
      <c r="D100" s="290" t="s">
        <v>111</v>
      </c>
      <c r="E100" s="290" t="s">
        <v>112</v>
      </c>
      <c r="F100" s="290" t="s">
        <v>117</v>
      </c>
      <c r="G100" s="290" t="s">
        <v>993</v>
      </c>
      <c r="H100" s="290" t="s">
        <v>114</v>
      </c>
      <c r="I100" s="291"/>
      <c r="J100" s="291">
        <v>220</v>
      </c>
      <c r="K100" s="290" t="s">
        <v>994</v>
      </c>
      <c r="L100" s="96">
        <f>I100+J100*EERR!$D$2</f>
        <v>156904</v>
      </c>
      <c r="M100" s="96">
        <f>L100/EERR!$D$2</f>
        <v>220</v>
      </c>
      <c r="N100" s="96">
        <f>SUMIF(Ago!$B$3:$B$116,A100,Ago!$V$3:$V$116)</f>
        <v>0</v>
      </c>
      <c r="O100" s="166">
        <f t="shared" si="1"/>
        <v>1</v>
      </c>
    </row>
    <row r="101" spans="1:15" x14ac:dyDescent="0.25">
      <c r="A101" s="288">
        <v>1669</v>
      </c>
      <c r="B101" s="289" t="s">
        <v>995</v>
      </c>
      <c r="C101" s="290" t="s">
        <v>234</v>
      </c>
      <c r="D101" s="290" t="s">
        <v>111</v>
      </c>
      <c r="E101" s="290" t="s">
        <v>112</v>
      </c>
      <c r="F101" s="290" t="s">
        <v>117</v>
      </c>
      <c r="G101" s="290" t="s">
        <v>996</v>
      </c>
      <c r="H101" s="290" t="s">
        <v>114</v>
      </c>
      <c r="I101" s="291"/>
      <c r="J101" s="291">
        <v>220</v>
      </c>
      <c r="K101" s="290" t="s">
        <v>997</v>
      </c>
      <c r="L101" s="96">
        <f>I101+J101*EERR!$D$2</f>
        <v>156904</v>
      </c>
      <c r="M101" s="96">
        <f>L101/EERR!$D$2</f>
        <v>220</v>
      </c>
      <c r="N101" s="96">
        <f>SUMIF(Ago!$B$3:$B$116,A101,Ago!$V$3:$V$116)</f>
        <v>0</v>
      </c>
      <c r="O101" s="166">
        <f t="shared" si="1"/>
        <v>1</v>
      </c>
    </row>
    <row r="102" spans="1:15" x14ac:dyDescent="0.25">
      <c r="A102" s="288">
        <v>1670</v>
      </c>
      <c r="B102" s="289" t="s">
        <v>998</v>
      </c>
      <c r="C102" s="290" t="s">
        <v>234</v>
      </c>
      <c r="D102" s="290" t="s">
        <v>111</v>
      </c>
      <c r="E102" s="290" t="s">
        <v>112</v>
      </c>
      <c r="F102" s="290" t="s">
        <v>117</v>
      </c>
      <c r="G102" s="290" t="s">
        <v>999</v>
      </c>
      <c r="H102" s="290" t="s">
        <v>114</v>
      </c>
      <c r="I102" s="291"/>
      <c r="J102" s="291">
        <v>209</v>
      </c>
      <c r="K102" s="290" t="s">
        <v>1000</v>
      </c>
      <c r="L102" s="96">
        <f>I102+J102*EERR!$D$2</f>
        <v>149058.80000000002</v>
      </c>
      <c r="M102" s="96">
        <f>L102/EERR!$D$2</f>
        <v>209</v>
      </c>
      <c r="N102" s="96">
        <f>SUMIF(Ago!$B$3:$B$116,A102,Ago!$V$3:$V$116)</f>
        <v>0</v>
      </c>
      <c r="O102" s="166">
        <f t="shared" si="1"/>
        <v>1</v>
      </c>
    </row>
    <row r="103" spans="1:15" x14ac:dyDescent="0.25">
      <c r="A103" s="288">
        <v>1671</v>
      </c>
      <c r="B103" s="289" t="s">
        <v>1001</v>
      </c>
      <c r="C103" s="290" t="s">
        <v>234</v>
      </c>
      <c r="D103" s="290" t="s">
        <v>111</v>
      </c>
      <c r="E103" s="290" t="s">
        <v>112</v>
      </c>
      <c r="F103" s="290" t="s">
        <v>117</v>
      </c>
      <c r="G103" s="290" t="s">
        <v>862</v>
      </c>
      <c r="H103" s="290" t="s">
        <v>114</v>
      </c>
      <c r="I103" s="291"/>
      <c r="J103" s="291">
        <v>240</v>
      </c>
      <c r="K103" s="290" t="s">
        <v>1002</v>
      </c>
      <c r="L103" s="96">
        <f>I103+J103*EERR!$D$2</f>
        <v>171168</v>
      </c>
      <c r="M103" s="96">
        <f>L103/EERR!$D$2</f>
        <v>239.99999999999997</v>
      </c>
      <c r="N103" s="96">
        <f>SUMIF(Ago!$B$3:$B$116,A103,Ago!$V$3:$V$116)</f>
        <v>0</v>
      </c>
      <c r="O103" s="166">
        <f t="shared" si="1"/>
        <v>1</v>
      </c>
    </row>
    <row r="104" spans="1:15" x14ac:dyDescent="0.25">
      <c r="A104" s="288">
        <v>1672</v>
      </c>
      <c r="B104" s="289" t="s">
        <v>1003</v>
      </c>
      <c r="C104" s="290" t="s">
        <v>234</v>
      </c>
      <c r="D104" s="290" t="s">
        <v>111</v>
      </c>
      <c r="E104" s="290" t="s">
        <v>112</v>
      </c>
      <c r="F104" s="290" t="s">
        <v>117</v>
      </c>
      <c r="G104" s="290" t="s">
        <v>862</v>
      </c>
      <c r="H104" s="290" t="s">
        <v>114</v>
      </c>
      <c r="I104" s="291"/>
      <c r="J104" s="291">
        <v>480</v>
      </c>
      <c r="K104" s="290" t="s">
        <v>1004</v>
      </c>
      <c r="L104" s="96">
        <f>I104+J104*EERR!$D$2</f>
        <v>342336</v>
      </c>
      <c r="M104" s="96">
        <f>L104/EERR!$D$2</f>
        <v>479.99999999999994</v>
      </c>
      <c r="N104" s="96">
        <f>SUMIF(Ago!$B$3:$B$116,A104,Ago!$V$3:$V$116)</f>
        <v>0</v>
      </c>
      <c r="O104" s="166">
        <f t="shared" si="1"/>
        <v>1</v>
      </c>
    </row>
    <row r="105" spans="1:15" x14ac:dyDescent="0.25">
      <c r="A105" s="288">
        <v>1673</v>
      </c>
      <c r="B105" s="289" t="s">
        <v>1005</v>
      </c>
      <c r="C105" s="290" t="s">
        <v>234</v>
      </c>
      <c r="D105" s="290" t="s">
        <v>111</v>
      </c>
      <c r="E105" s="290" t="s">
        <v>112</v>
      </c>
      <c r="F105" s="290" t="s">
        <v>116</v>
      </c>
      <c r="G105" s="290" t="s">
        <v>1006</v>
      </c>
      <c r="H105" s="290" t="s">
        <v>114</v>
      </c>
      <c r="I105" s="291"/>
      <c r="J105" s="291">
        <v>195</v>
      </c>
      <c r="K105" s="290" t="s">
        <v>1007</v>
      </c>
      <c r="L105" s="96">
        <f>I105+J105*EERR!$D$2</f>
        <v>139074</v>
      </c>
      <c r="M105" s="96">
        <f>L105/EERR!$D$2</f>
        <v>195</v>
      </c>
      <c r="N105" s="96">
        <f>SUMIF(Ago!$B$3:$B$116,A105,Ago!$V$3:$V$116)</f>
        <v>0</v>
      </c>
      <c r="O105" s="166">
        <f t="shared" si="1"/>
        <v>1</v>
      </c>
    </row>
    <row r="106" spans="1:15" x14ac:dyDescent="0.25">
      <c r="A106" s="288">
        <v>1674</v>
      </c>
      <c r="B106" s="289" t="s">
        <v>1008</v>
      </c>
      <c r="C106" s="290" t="s">
        <v>234</v>
      </c>
      <c r="D106" s="290" t="s">
        <v>111</v>
      </c>
      <c r="E106" s="290" t="s">
        <v>112</v>
      </c>
      <c r="F106" s="290" t="s">
        <v>116</v>
      </c>
      <c r="G106" s="290" t="s">
        <v>901</v>
      </c>
      <c r="H106" s="290" t="s">
        <v>114</v>
      </c>
      <c r="I106" s="291"/>
      <c r="J106" s="291">
        <v>1920</v>
      </c>
      <c r="K106" s="290" t="s">
        <v>1009</v>
      </c>
      <c r="L106" s="96">
        <f>I106+J106*EERR!$D$2</f>
        <v>1369344</v>
      </c>
      <c r="M106" s="96">
        <f>L106/EERR!$D$2</f>
        <v>1919.9999999999998</v>
      </c>
      <c r="N106" s="96">
        <f>SUMIF(Ago!$B$3:$B$116,A106,Ago!$V$3:$V$116)</f>
        <v>0</v>
      </c>
      <c r="O106" s="166">
        <f t="shared" si="1"/>
        <v>1</v>
      </c>
    </row>
    <row r="107" spans="1:15" x14ac:dyDescent="0.25">
      <c r="A107" s="288">
        <v>1675</v>
      </c>
      <c r="B107" s="289" t="s">
        <v>1010</v>
      </c>
      <c r="C107" s="290" t="s">
        <v>234</v>
      </c>
      <c r="D107" s="290" t="s">
        <v>111</v>
      </c>
      <c r="E107" s="290" t="s">
        <v>112</v>
      </c>
      <c r="F107" s="290" t="s">
        <v>117</v>
      </c>
      <c r="G107" s="290" t="s">
        <v>1011</v>
      </c>
      <c r="H107" s="290" t="s">
        <v>114</v>
      </c>
      <c r="I107" s="291"/>
      <c r="J107" s="291">
        <v>220</v>
      </c>
      <c r="K107" s="290" t="s">
        <v>1012</v>
      </c>
      <c r="L107" s="96">
        <f>I107+J107*EERR!$D$2</f>
        <v>156904</v>
      </c>
      <c r="M107" s="96">
        <f>L107/EERR!$D$2</f>
        <v>220</v>
      </c>
      <c r="N107" s="96">
        <f>SUMIF(Ago!$B$3:$B$116,A107,Ago!$V$3:$V$116)</f>
        <v>0</v>
      </c>
      <c r="O107" s="166">
        <f t="shared" si="1"/>
        <v>1</v>
      </c>
    </row>
    <row r="108" spans="1:15" x14ac:dyDescent="0.25">
      <c r="A108" s="288">
        <v>1676</v>
      </c>
      <c r="B108" s="289" t="s">
        <v>1013</v>
      </c>
      <c r="C108" s="290" t="s">
        <v>234</v>
      </c>
      <c r="D108" s="290" t="s">
        <v>111</v>
      </c>
      <c r="E108" s="290" t="s">
        <v>112</v>
      </c>
      <c r="F108" s="290" t="s">
        <v>117</v>
      </c>
      <c r="G108" s="290" t="s">
        <v>1014</v>
      </c>
      <c r="H108" s="290" t="s">
        <v>114</v>
      </c>
      <c r="I108" s="291"/>
      <c r="J108" s="291">
        <v>220</v>
      </c>
      <c r="K108" s="290" t="s">
        <v>1015</v>
      </c>
      <c r="L108" s="96">
        <f>I108+J108*EERR!$D$2</f>
        <v>156904</v>
      </c>
      <c r="M108" s="96">
        <f>L108/EERR!$D$2</f>
        <v>220</v>
      </c>
      <c r="N108" s="96">
        <f>SUMIF(Ago!$B$3:$B$116,A108,Ago!$V$3:$V$116)</f>
        <v>0</v>
      </c>
      <c r="O108" s="166">
        <f t="shared" si="1"/>
        <v>1</v>
      </c>
    </row>
    <row r="109" spans="1:15" x14ac:dyDescent="0.25">
      <c r="A109" s="288">
        <v>1677</v>
      </c>
      <c r="B109" s="289" t="s">
        <v>1016</v>
      </c>
      <c r="C109" s="290" t="s">
        <v>234</v>
      </c>
      <c r="D109" s="290" t="s">
        <v>111</v>
      </c>
      <c r="E109" s="290" t="s">
        <v>112</v>
      </c>
      <c r="F109" s="290" t="s">
        <v>116</v>
      </c>
      <c r="G109" s="290" t="s">
        <v>1017</v>
      </c>
      <c r="H109" s="290" t="s">
        <v>114</v>
      </c>
      <c r="I109" s="291"/>
      <c r="J109" s="291">
        <v>220</v>
      </c>
      <c r="K109" s="290" t="s">
        <v>1018</v>
      </c>
      <c r="L109" s="96">
        <f>I109+J109*EERR!$D$2</f>
        <v>156904</v>
      </c>
      <c r="M109" s="96">
        <f>L109/EERR!$D$2</f>
        <v>220</v>
      </c>
      <c r="N109" s="96">
        <f>SUMIF(Ago!$B$3:$B$116,A109,Ago!$V$3:$V$116)</f>
        <v>0</v>
      </c>
      <c r="O109" s="166">
        <f t="shared" si="1"/>
        <v>1</v>
      </c>
    </row>
    <row r="110" spans="1:15" x14ac:dyDescent="0.25">
      <c r="A110" s="288">
        <v>1678</v>
      </c>
      <c r="B110" s="289" t="s">
        <v>1019</v>
      </c>
      <c r="C110" s="290" t="s">
        <v>233</v>
      </c>
      <c r="D110" s="290" t="s">
        <v>111</v>
      </c>
      <c r="E110" s="290" t="s">
        <v>115</v>
      </c>
      <c r="F110" s="290" t="s">
        <v>578</v>
      </c>
      <c r="G110" s="290" t="s">
        <v>1020</v>
      </c>
      <c r="H110" s="290" t="s">
        <v>580</v>
      </c>
      <c r="I110" s="291">
        <v>168004</v>
      </c>
      <c r="J110" s="291"/>
      <c r="K110" s="290" t="s">
        <v>1021</v>
      </c>
      <c r="L110" s="96">
        <f>I110+J110*EERR!$D$2</f>
        <v>168004</v>
      </c>
      <c r="M110" s="96">
        <f>L110/EERR!$D$2</f>
        <v>235.56365675827257</v>
      </c>
      <c r="N110" s="96">
        <f>SUMIF(Ago!$B$3:$B$116,A110,Ago!$V$3:$V$116)</f>
        <v>0</v>
      </c>
      <c r="O110" s="166">
        <f t="shared" si="1"/>
        <v>1</v>
      </c>
    </row>
    <row r="111" spans="1:15" x14ac:dyDescent="0.25">
      <c r="A111" s="288">
        <v>1679</v>
      </c>
      <c r="B111" s="289" t="s">
        <v>1022</v>
      </c>
      <c r="C111" s="290" t="s">
        <v>233</v>
      </c>
      <c r="D111" s="290" t="s">
        <v>111</v>
      </c>
      <c r="E111" s="290" t="s">
        <v>115</v>
      </c>
      <c r="F111" s="290" t="s">
        <v>578</v>
      </c>
      <c r="G111" s="290" t="s">
        <v>1023</v>
      </c>
      <c r="H111" s="290" t="s">
        <v>580</v>
      </c>
      <c r="I111" s="291">
        <v>168004</v>
      </c>
      <c r="J111" s="291"/>
      <c r="K111" s="290" t="s">
        <v>1024</v>
      </c>
      <c r="L111" s="96">
        <f>I111+J111*EERR!$D$2</f>
        <v>168004</v>
      </c>
      <c r="M111" s="96">
        <f>L111/EERR!$D$2</f>
        <v>235.56365675827257</v>
      </c>
      <c r="N111" s="96">
        <f>SUMIF(Ago!$B$3:$B$116,A111,Ago!$V$3:$V$116)</f>
        <v>0</v>
      </c>
      <c r="O111" s="166">
        <f t="shared" si="1"/>
        <v>1</v>
      </c>
    </row>
    <row r="112" spans="1:15" x14ac:dyDescent="0.25">
      <c r="A112" s="288">
        <v>1680</v>
      </c>
      <c r="B112" s="289" t="s">
        <v>1025</v>
      </c>
      <c r="C112" s="290" t="s">
        <v>234</v>
      </c>
      <c r="D112" s="290" t="s">
        <v>111</v>
      </c>
      <c r="E112" s="290" t="s">
        <v>112</v>
      </c>
      <c r="F112" s="290" t="s">
        <v>116</v>
      </c>
      <c r="G112" s="290" t="s">
        <v>1026</v>
      </c>
      <c r="H112" s="290" t="s">
        <v>114</v>
      </c>
      <c r="I112" s="291"/>
      <c r="J112" s="291">
        <v>220</v>
      </c>
      <c r="K112" s="290" t="s">
        <v>1027</v>
      </c>
      <c r="L112" s="96">
        <f>I112+J112*EERR!$D$2</f>
        <v>156904</v>
      </c>
      <c r="M112" s="96">
        <f>L112/EERR!$D$2</f>
        <v>220</v>
      </c>
      <c r="N112" s="96">
        <f>SUMIF(Ago!$B$3:$B$116,A112,Ago!$V$3:$V$116)</f>
        <v>0</v>
      </c>
      <c r="O112" s="166">
        <f t="shared" si="1"/>
        <v>1</v>
      </c>
    </row>
    <row r="113" spans="1:15" x14ac:dyDescent="0.25">
      <c r="A113" s="288">
        <v>1681</v>
      </c>
      <c r="B113" s="289" t="s">
        <v>1028</v>
      </c>
      <c r="C113" s="290" t="s">
        <v>234</v>
      </c>
      <c r="D113" s="290" t="s">
        <v>111</v>
      </c>
      <c r="E113" s="290" t="s">
        <v>112</v>
      </c>
      <c r="F113" s="290" t="s">
        <v>117</v>
      </c>
      <c r="G113" s="290" t="s">
        <v>797</v>
      </c>
      <c r="H113" s="290" t="s">
        <v>114</v>
      </c>
      <c r="I113" s="291"/>
      <c r="J113" s="291">
        <v>390</v>
      </c>
      <c r="K113" s="290" t="s">
        <v>1029</v>
      </c>
      <c r="L113" s="96">
        <f>I113+J113*EERR!$D$2</f>
        <v>278148</v>
      </c>
      <c r="M113" s="96">
        <f>L113/EERR!$D$2</f>
        <v>390</v>
      </c>
      <c r="N113" s="96">
        <f>SUMIF(Ago!$B$3:$B$116,A113,Ago!$V$3:$V$116)</f>
        <v>0</v>
      </c>
      <c r="O113" s="166">
        <f t="shared" si="1"/>
        <v>1</v>
      </c>
    </row>
    <row r="114" spans="1:15" x14ac:dyDescent="0.25">
      <c r="A114" s="288"/>
      <c r="B114" s="289"/>
      <c r="C114" s="290"/>
      <c r="D114" s="290"/>
      <c r="E114" s="290"/>
      <c r="F114" s="290"/>
      <c r="G114" s="290"/>
      <c r="H114" s="290"/>
      <c r="I114" s="291"/>
      <c r="J114" s="291"/>
      <c r="K114" s="290"/>
      <c r="L114" s="96">
        <f>I114+J114*EERR!$D$2</f>
        <v>0</v>
      </c>
      <c r="M114" s="96">
        <f>L114/EERR!$D$2</f>
        <v>0</v>
      </c>
      <c r="N114" s="96">
        <f>SUMIF(Ago!$B$3:$B$116,A114,Ago!$V$3:$V$116)</f>
        <v>0</v>
      </c>
      <c r="O114" s="166">
        <f t="shared" ref="O114:O131" si="2">+A114-A113</f>
        <v>-1681</v>
      </c>
    </row>
    <row r="115" spans="1:15" x14ac:dyDescent="0.25">
      <c r="A115" s="288"/>
      <c r="B115" s="292"/>
      <c r="C115" s="290"/>
      <c r="D115" s="290"/>
      <c r="E115" s="290"/>
      <c r="F115" s="290"/>
      <c r="G115" s="290"/>
      <c r="H115" s="290"/>
      <c r="I115" s="291"/>
      <c r="J115" s="291"/>
      <c r="K115" s="290"/>
      <c r="L115" s="96">
        <f>I115+J115*EERR!$D$2</f>
        <v>0</v>
      </c>
      <c r="M115" s="96">
        <f>L115/EERR!$D$2</f>
        <v>0</v>
      </c>
      <c r="N115" s="96">
        <f>SUMIF(Ago!$B$3:$B$116,A115,Ago!$V$3:$V$116)</f>
        <v>0</v>
      </c>
      <c r="O115" s="166">
        <f t="shared" si="2"/>
        <v>0</v>
      </c>
    </row>
    <row r="116" spans="1:15" x14ac:dyDescent="0.25">
      <c r="A116" s="288"/>
      <c r="B116" s="292"/>
      <c r="C116" s="290"/>
      <c r="D116" s="290"/>
      <c r="E116" s="290"/>
      <c r="F116" s="290"/>
      <c r="G116" s="290"/>
      <c r="H116" s="290"/>
      <c r="I116" s="291"/>
      <c r="J116" s="291"/>
      <c r="K116" s="290"/>
      <c r="L116" s="96">
        <f>I116+J116*EERR!$D$2</f>
        <v>0</v>
      </c>
      <c r="M116" s="96">
        <f>L116/EERR!$D$2</f>
        <v>0</v>
      </c>
      <c r="N116" s="96">
        <f>SUMIF(Ago!$B$3:$B$116,A116,Ago!$V$3:$V$116)</f>
        <v>0</v>
      </c>
      <c r="O116" s="166">
        <f t="shared" si="2"/>
        <v>0</v>
      </c>
    </row>
    <row r="117" spans="1:15" x14ac:dyDescent="0.25">
      <c r="A117" s="288"/>
      <c r="B117" s="292"/>
      <c r="C117" s="290"/>
      <c r="D117" s="290"/>
      <c r="E117" s="290"/>
      <c r="F117" s="290"/>
      <c r="G117" s="290"/>
      <c r="H117" s="290"/>
      <c r="I117" s="291"/>
      <c r="J117" s="291"/>
      <c r="K117" s="290"/>
      <c r="L117" s="96">
        <f>I117+J117*EERR!$D$2</f>
        <v>0</v>
      </c>
      <c r="M117" s="96">
        <f>L117/EERR!$D$2</f>
        <v>0</v>
      </c>
      <c r="N117" s="96">
        <f>SUMIF(Ago!$B$3:$B$116,A117,Ago!$V$3:$V$116)</f>
        <v>0</v>
      </c>
      <c r="O117" s="166">
        <f t="shared" si="2"/>
        <v>0</v>
      </c>
    </row>
    <row r="118" spans="1:15" x14ac:dyDescent="0.25">
      <c r="A118" s="288"/>
      <c r="B118" s="292"/>
      <c r="C118" s="290"/>
      <c r="D118" s="290"/>
      <c r="E118" s="290"/>
      <c r="F118" s="290"/>
      <c r="G118" s="290"/>
      <c r="H118" s="290"/>
      <c r="I118" s="291"/>
      <c r="J118" s="291"/>
      <c r="K118" s="290"/>
      <c r="L118" s="96">
        <f>I118+J118*EERR!$D$2</f>
        <v>0</v>
      </c>
      <c r="M118" s="96">
        <f>L118/EERR!$D$2</f>
        <v>0</v>
      </c>
      <c r="N118" s="96">
        <f>SUMIF(Ago!$B$3:$B$116,A118,Ago!$V$3:$V$116)</f>
        <v>0</v>
      </c>
      <c r="O118" s="166">
        <f t="shared" si="2"/>
        <v>0</v>
      </c>
    </row>
    <row r="119" spans="1:15" x14ac:dyDescent="0.25">
      <c r="A119" s="288"/>
      <c r="B119" s="292"/>
      <c r="C119" s="290"/>
      <c r="D119" s="290"/>
      <c r="E119" s="290"/>
      <c r="F119" s="290"/>
      <c r="G119" s="290"/>
      <c r="H119" s="290"/>
      <c r="I119" s="291"/>
      <c r="J119" s="291"/>
      <c r="K119" s="290"/>
      <c r="L119" s="203">
        <f>I119+J119*EERR!$D$2</f>
        <v>0</v>
      </c>
      <c r="M119" s="203">
        <f>L119/EERR!$D$2</f>
        <v>0</v>
      </c>
      <c r="N119" s="203">
        <f>SUMIF(Ago!$B$3:$B$116,A119,Ago!$V$3:$V$116)</f>
        <v>0</v>
      </c>
      <c r="O119" s="166">
        <f t="shared" si="2"/>
        <v>0</v>
      </c>
    </row>
    <row r="120" spans="1:15" x14ac:dyDescent="0.25">
      <c r="A120" s="288"/>
      <c r="B120" s="289"/>
      <c r="C120" s="290"/>
      <c r="D120" s="290"/>
      <c r="E120" s="290"/>
      <c r="F120" s="290"/>
      <c r="G120" s="290"/>
      <c r="H120" s="290"/>
      <c r="I120" s="291"/>
      <c r="J120" s="291"/>
      <c r="K120" s="290"/>
      <c r="L120" s="96">
        <f>I120+J120*EERR!$D$2</f>
        <v>0</v>
      </c>
      <c r="M120" s="96">
        <f>L120/EERR!$D$2</f>
        <v>0</v>
      </c>
      <c r="N120" s="96">
        <f>SUMIF(Ago!$B$3:$B$116,A120,Ago!$V$3:$V$116)</f>
        <v>0</v>
      </c>
      <c r="O120" s="166">
        <f t="shared" si="2"/>
        <v>0</v>
      </c>
    </row>
    <row r="121" spans="1:15" x14ac:dyDescent="0.25">
      <c r="A121" s="288"/>
      <c r="B121" s="292"/>
      <c r="C121" s="290"/>
      <c r="D121" s="290"/>
      <c r="E121" s="290"/>
      <c r="F121" s="290"/>
      <c r="G121" s="290"/>
      <c r="H121" s="290"/>
      <c r="I121" s="291"/>
      <c r="J121" s="291"/>
      <c r="K121" s="290"/>
      <c r="L121" s="96">
        <f>I121+J121*EERR!$D$2</f>
        <v>0</v>
      </c>
      <c r="M121" s="96">
        <f>L121/EERR!$D$2</f>
        <v>0</v>
      </c>
      <c r="N121" s="96">
        <f>SUMIF(Ago!$B$3:$B$116,A121,Ago!$V$3:$V$116)</f>
        <v>0</v>
      </c>
      <c r="O121" s="166">
        <f t="shared" si="2"/>
        <v>0</v>
      </c>
    </row>
    <row r="122" spans="1:15" x14ac:dyDescent="0.25">
      <c r="A122" s="288"/>
      <c r="B122" s="289"/>
      <c r="C122" s="290"/>
      <c r="D122" s="290"/>
      <c r="E122" s="290"/>
      <c r="F122" s="290"/>
      <c r="G122" s="290"/>
      <c r="H122" s="290"/>
      <c r="I122" s="291"/>
      <c r="J122" s="291"/>
      <c r="K122" s="290"/>
      <c r="L122" s="96">
        <f>I122+J122*EERR!$D$2</f>
        <v>0</v>
      </c>
      <c r="M122" s="96">
        <f>L122/EERR!$D$2</f>
        <v>0</v>
      </c>
      <c r="N122" s="96">
        <f>SUMIF(Ago!$B$3:$B$116,A122,Ago!$V$3:$V$116)</f>
        <v>0</v>
      </c>
      <c r="O122" s="166">
        <f t="shared" si="2"/>
        <v>0</v>
      </c>
    </row>
    <row r="123" spans="1:15" x14ac:dyDescent="0.25">
      <c r="A123" s="288"/>
      <c r="B123" s="289"/>
      <c r="C123" s="290"/>
      <c r="D123" s="290"/>
      <c r="E123" s="290"/>
      <c r="F123" s="290"/>
      <c r="G123" s="290"/>
      <c r="H123" s="290"/>
      <c r="I123" s="291"/>
      <c r="J123" s="291"/>
      <c r="K123" s="290"/>
      <c r="L123" s="96">
        <f>I123+J123*EERR!$D$2</f>
        <v>0</v>
      </c>
      <c r="M123" s="96">
        <f>L123/EERR!$D$2</f>
        <v>0</v>
      </c>
      <c r="N123" s="96">
        <f>SUMIF(Ago!$B$3:$B$116,A123,Ago!$V$3:$V$116)</f>
        <v>0</v>
      </c>
      <c r="O123" s="166">
        <f t="shared" si="2"/>
        <v>0</v>
      </c>
    </row>
    <row r="124" spans="1:15" x14ac:dyDescent="0.25">
      <c r="A124" s="288"/>
      <c r="B124" s="289"/>
      <c r="C124" s="290"/>
      <c r="D124" s="290"/>
      <c r="E124" s="290"/>
      <c r="F124" s="290"/>
      <c r="G124" s="290"/>
      <c r="H124" s="290"/>
      <c r="I124" s="291"/>
      <c r="J124" s="291"/>
      <c r="K124" s="290"/>
      <c r="L124" s="96">
        <f>I124+J124*EERR!$D$2</f>
        <v>0</v>
      </c>
      <c r="M124" s="96">
        <f>L124/EERR!$D$2</f>
        <v>0</v>
      </c>
      <c r="N124" s="96">
        <f>SUMIF(Ago!$B$3:$B$116,A124,Ago!$V$3:$V$116)</f>
        <v>0</v>
      </c>
      <c r="O124" s="166">
        <f t="shared" si="2"/>
        <v>0</v>
      </c>
    </row>
    <row r="125" spans="1:15" x14ac:dyDescent="0.25">
      <c r="A125" s="288"/>
      <c r="B125" s="289"/>
      <c r="C125" s="290"/>
      <c r="D125" s="290"/>
      <c r="E125" s="290"/>
      <c r="F125" s="290"/>
      <c r="G125" s="290"/>
      <c r="H125" s="290"/>
      <c r="I125" s="291"/>
      <c r="J125" s="291"/>
      <c r="K125" s="290"/>
      <c r="L125" s="96">
        <f>I125+J125*EERR!$D$2</f>
        <v>0</v>
      </c>
      <c r="M125" s="96">
        <f>L125/EERR!$D$2</f>
        <v>0</v>
      </c>
      <c r="N125" s="96">
        <f>SUMIF(Ago!$B$3:$B$116,A125,Ago!$V$3:$V$116)</f>
        <v>0</v>
      </c>
      <c r="O125" s="166">
        <f t="shared" si="2"/>
        <v>0</v>
      </c>
    </row>
    <row r="126" spans="1:15" x14ac:dyDescent="0.25">
      <c r="A126" s="288"/>
      <c r="B126" s="289"/>
      <c r="C126" s="290"/>
      <c r="D126" s="290"/>
      <c r="E126" s="290"/>
      <c r="F126" s="290"/>
      <c r="G126" s="290"/>
      <c r="H126" s="290"/>
      <c r="I126" s="291"/>
      <c r="J126" s="291"/>
      <c r="K126" s="290"/>
      <c r="L126" s="96">
        <f>I126+J126*EERR!$D$2</f>
        <v>0</v>
      </c>
      <c r="M126" s="96">
        <f>L126/EERR!$D$2</f>
        <v>0</v>
      </c>
      <c r="N126" s="96">
        <f>SUMIF(Ago!$B$3:$B$116,A126,Ago!$V$3:$V$116)</f>
        <v>0</v>
      </c>
      <c r="O126" s="166">
        <f t="shared" si="2"/>
        <v>0</v>
      </c>
    </row>
    <row r="127" spans="1:15" x14ac:dyDescent="0.25">
      <c r="A127" s="288"/>
      <c r="B127" s="289"/>
      <c r="C127" s="290"/>
      <c r="D127" s="290"/>
      <c r="E127" s="290"/>
      <c r="F127" s="290"/>
      <c r="G127" s="290"/>
      <c r="H127" s="290"/>
      <c r="I127" s="291"/>
      <c r="J127" s="291"/>
      <c r="K127" s="290"/>
      <c r="L127" s="96">
        <f>I127+J127*EERR!$D$2</f>
        <v>0</v>
      </c>
      <c r="M127" s="96">
        <f>L127/EERR!$D$2</f>
        <v>0</v>
      </c>
      <c r="N127" s="96">
        <f>SUMIF(Ago!$B$3:$B$116,A127,Ago!$V$3:$V$116)</f>
        <v>0</v>
      </c>
      <c r="O127" s="166">
        <f t="shared" si="2"/>
        <v>0</v>
      </c>
    </row>
    <row r="128" spans="1:15" x14ac:dyDescent="0.25">
      <c r="A128" s="288"/>
      <c r="B128" s="289"/>
      <c r="C128" s="290"/>
      <c r="D128" s="290"/>
      <c r="E128" s="290"/>
      <c r="F128" s="290"/>
      <c r="G128" s="290"/>
      <c r="H128" s="290"/>
      <c r="I128" s="291"/>
      <c r="J128" s="291"/>
      <c r="K128" s="290"/>
      <c r="L128" s="96">
        <f>I128+J128*EERR!$D$2</f>
        <v>0</v>
      </c>
      <c r="M128" s="96">
        <f>L128/EERR!$D$2</f>
        <v>0</v>
      </c>
      <c r="N128" s="96">
        <f>SUMIF(Ago!$B$3:$B$116,A128,Ago!$V$3:$V$116)</f>
        <v>0</v>
      </c>
      <c r="O128" s="166">
        <f t="shared" si="2"/>
        <v>0</v>
      </c>
    </row>
    <row r="129" spans="1:15" x14ac:dyDescent="0.25">
      <c r="A129" s="288"/>
      <c r="B129" s="289"/>
      <c r="C129" s="290"/>
      <c r="D129" s="290"/>
      <c r="E129" s="290"/>
      <c r="F129" s="290"/>
      <c r="G129" s="290"/>
      <c r="H129" s="290"/>
      <c r="I129" s="291"/>
      <c r="J129" s="291"/>
      <c r="K129" s="290"/>
      <c r="L129" s="96">
        <f>I129+J129*EERR!$D$2</f>
        <v>0</v>
      </c>
      <c r="M129" s="96">
        <f>L129/EERR!$D$2</f>
        <v>0</v>
      </c>
      <c r="N129" s="96">
        <f>SUMIF(Ago!$B$3:$B$116,A129,Ago!$V$3:$V$116)</f>
        <v>0</v>
      </c>
      <c r="O129" s="166">
        <f t="shared" si="2"/>
        <v>0</v>
      </c>
    </row>
    <row r="130" spans="1:15" x14ac:dyDescent="0.25">
      <c r="A130" s="288"/>
      <c r="B130" s="289"/>
      <c r="C130" s="290"/>
      <c r="D130" s="290"/>
      <c r="E130" s="290"/>
      <c r="F130" s="290"/>
      <c r="G130" s="290"/>
      <c r="H130" s="290"/>
      <c r="I130" s="291"/>
      <c r="J130" s="291"/>
      <c r="K130" s="290"/>
      <c r="L130" s="96">
        <f>I130+J130*EERR!$D$2</f>
        <v>0</v>
      </c>
      <c r="M130" s="96">
        <f>L130/EERR!$D$2</f>
        <v>0</v>
      </c>
      <c r="N130" s="96">
        <f>SUMIF(Ago!$B$3:$B$116,A130,Ago!$V$3:$V$116)</f>
        <v>0</v>
      </c>
      <c r="O130" s="166">
        <f t="shared" si="2"/>
        <v>0</v>
      </c>
    </row>
    <row r="131" spans="1:15" x14ac:dyDescent="0.25">
      <c r="A131" s="288"/>
      <c r="B131" s="289"/>
      <c r="C131" s="290"/>
      <c r="D131" s="290"/>
      <c r="E131" s="290"/>
      <c r="F131" s="290"/>
      <c r="G131" s="290"/>
      <c r="H131" s="290"/>
      <c r="I131" s="291"/>
      <c r="J131" s="291"/>
      <c r="K131" s="290"/>
      <c r="L131" s="96">
        <f>I131+J131*EERR!$D$2</f>
        <v>0</v>
      </c>
      <c r="M131" s="96">
        <f>L131/EERR!$D$2</f>
        <v>0</v>
      </c>
      <c r="N131" s="96">
        <f>SUMIF(Ago!$B$3:$B$116,A131,Ago!$V$3:$V$116)</f>
        <v>0</v>
      </c>
      <c r="O131" s="166">
        <f t="shared" si="2"/>
        <v>0</v>
      </c>
    </row>
    <row r="132" spans="1:15" x14ac:dyDescent="0.25">
      <c r="A132" s="288"/>
      <c r="B132" s="289"/>
      <c r="C132" s="290"/>
      <c r="D132" s="290"/>
      <c r="E132" s="290"/>
      <c r="F132" s="290"/>
      <c r="G132" s="290"/>
      <c r="H132" s="290"/>
      <c r="I132" s="291"/>
      <c r="J132" s="291"/>
      <c r="K132" s="290"/>
      <c r="L132" s="96">
        <f>I132+J132*EERR!$D$2</f>
        <v>0</v>
      </c>
      <c r="M132" s="96">
        <f>L132/EERR!$D$2</f>
        <v>0</v>
      </c>
      <c r="N132" s="96">
        <f>SUMIF(Ago!$B$3:$B$116,A132,Ago!$V$3:$V$116)</f>
        <v>0</v>
      </c>
      <c r="O132" s="166">
        <f t="shared" ref="O132:O173" si="3">+A132-A131</f>
        <v>0</v>
      </c>
    </row>
    <row r="133" spans="1:15" x14ac:dyDescent="0.25">
      <c r="A133" s="288"/>
      <c r="B133" s="289"/>
      <c r="C133" s="290"/>
      <c r="D133" s="290"/>
      <c r="E133" s="290"/>
      <c r="F133" s="290"/>
      <c r="G133" s="290"/>
      <c r="H133" s="290"/>
      <c r="I133" s="291"/>
      <c r="J133" s="291"/>
      <c r="K133" s="290"/>
      <c r="L133" s="96">
        <f>I133+J133*EERR!$D$2</f>
        <v>0</v>
      </c>
      <c r="M133" s="96">
        <f>L133/EERR!$D$2</f>
        <v>0</v>
      </c>
      <c r="N133" s="96">
        <f>SUMIF(Ago!$B$3:$B$116,A133,Ago!$V$3:$V$116)</f>
        <v>0</v>
      </c>
      <c r="O133" s="166">
        <f t="shared" si="3"/>
        <v>0</v>
      </c>
    </row>
    <row r="134" spans="1:15" x14ac:dyDescent="0.25">
      <c r="A134" s="288"/>
      <c r="B134" s="289"/>
      <c r="C134" s="290"/>
      <c r="D134" s="290"/>
      <c r="E134" s="290"/>
      <c r="F134" s="290"/>
      <c r="G134" s="290"/>
      <c r="H134" s="290"/>
      <c r="I134" s="291"/>
      <c r="J134" s="291"/>
      <c r="K134" s="290"/>
      <c r="L134" s="96">
        <f>I134+J134*EERR!$D$2</f>
        <v>0</v>
      </c>
      <c r="M134" s="96">
        <f>L134/EERR!$D$2</f>
        <v>0</v>
      </c>
      <c r="N134" s="96">
        <f>SUMIF(Ago!$B$3:$B$116,A134,Ago!$V$3:$V$116)</f>
        <v>0</v>
      </c>
      <c r="O134" s="166">
        <f t="shared" si="3"/>
        <v>0</v>
      </c>
    </row>
    <row r="135" spans="1:15" x14ac:dyDescent="0.25">
      <c r="A135" s="288"/>
      <c r="B135" s="289"/>
      <c r="C135" s="290"/>
      <c r="D135" s="290"/>
      <c r="E135" s="290"/>
      <c r="F135" s="290"/>
      <c r="G135" s="290"/>
      <c r="H135" s="290"/>
      <c r="I135" s="291"/>
      <c r="J135" s="291"/>
      <c r="K135" s="290"/>
      <c r="L135" s="96">
        <f>I135+J135*EERR!$D$2</f>
        <v>0</v>
      </c>
      <c r="M135" s="96">
        <f>L135/EERR!$D$2</f>
        <v>0</v>
      </c>
      <c r="N135" s="96">
        <f>SUMIF(Ago!$B$3:$B$116,A135,Ago!$V$3:$V$116)</f>
        <v>0</v>
      </c>
      <c r="O135" s="166">
        <f t="shared" si="3"/>
        <v>0</v>
      </c>
    </row>
    <row r="136" spans="1:15" x14ac:dyDescent="0.25">
      <c r="A136" s="288"/>
      <c r="B136" s="289"/>
      <c r="C136" s="290"/>
      <c r="D136" s="290"/>
      <c r="E136" s="290"/>
      <c r="F136" s="290"/>
      <c r="G136" s="290"/>
      <c r="H136" s="290"/>
      <c r="I136" s="291"/>
      <c r="J136" s="291"/>
      <c r="K136" s="290"/>
      <c r="L136" s="96">
        <f>I136+J136*EERR!$D$2</f>
        <v>0</v>
      </c>
      <c r="M136" s="96">
        <f>L136/EERR!$D$2</f>
        <v>0</v>
      </c>
      <c r="N136" s="96">
        <f>SUMIF(Ago!$B$3:$B$116,A136,Ago!$V$3:$V$116)</f>
        <v>0</v>
      </c>
      <c r="O136" s="166">
        <f t="shared" si="3"/>
        <v>0</v>
      </c>
    </row>
    <row r="137" spans="1:15" x14ac:dyDescent="0.25">
      <c r="A137" s="288"/>
      <c r="B137" s="289"/>
      <c r="C137" s="290"/>
      <c r="D137" s="290"/>
      <c r="E137" s="290"/>
      <c r="F137" s="290"/>
      <c r="G137" s="290"/>
      <c r="H137" s="290"/>
      <c r="I137" s="291"/>
      <c r="J137" s="291"/>
      <c r="K137" s="290"/>
      <c r="L137" s="96">
        <f>I137+J137*EERR!$D$2</f>
        <v>0</v>
      </c>
      <c r="M137" s="96">
        <f>L137/EERR!$D$2</f>
        <v>0</v>
      </c>
      <c r="N137" s="96">
        <f>SUMIF(Ago!$B$3:$B$116,A137,Ago!$V$3:$V$116)</f>
        <v>0</v>
      </c>
      <c r="O137" s="166">
        <f t="shared" si="3"/>
        <v>0</v>
      </c>
    </row>
    <row r="138" spans="1:15" x14ac:dyDescent="0.25">
      <c r="A138" s="288"/>
      <c r="B138" s="289"/>
      <c r="C138" s="290"/>
      <c r="D138" s="290"/>
      <c r="E138" s="290"/>
      <c r="F138" s="290"/>
      <c r="G138" s="290"/>
      <c r="H138" s="290"/>
      <c r="I138" s="291"/>
      <c r="J138" s="291"/>
      <c r="K138" s="290"/>
      <c r="L138" s="96">
        <f>I138+J138*EERR!$D$2</f>
        <v>0</v>
      </c>
      <c r="M138" s="96">
        <f>L138/EERR!$D$2</f>
        <v>0</v>
      </c>
      <c r="N138" s="96">
        <f>SUMIF(Ago!$B$3:$B$116,A138,Ago!$V$3:$V$116)</f>
        <v>0</v>
      </c>
      <c r="O138" s="166">
        <f t="shared" si="3"/>
        <v>0</v>
      </c>
    </row>
    <row r="139" spans="1:15" x14ac:dyDescent="0.25">
      <c r="A139" s="288"/>
      <c r="B139" s="289"/>
      <c r="C139" s="290"/>
      <c r="D139" s="290"/>
      <c r="E139" s="290"/>
      <c r="F139" s="290"/>
      <c r="G139" s="290"/>
      <c r="H139" s="290"/>
      <c r="I139" s="291"/>
      <c r="J139" s="291"/>
      <c r="K139" s="290"/>
      <c r="L139" s="96">
        <f>I139+J139*EERR!$D$2</f>
        <v>0</v>
      </c>
      <c r="M139" s="96">
        <f>L139/EERR!$D$2</f>
        <v>0</v>
      </c>
      <c r="N139" s="96">
        <f>SUMIF(Ago!$B$3:$B$116,A139,Ago!$V$3:$V$116)</f>
        <v>0</v>
      </c>
      <c r="O139" s="166">
        <f t="shared" si="3"/>
        <v>0</v>
      </c>
    </row>
    <row r="140" spans="1:15" x14ac:dyDescent="0.25">
      <c r="A140" s="288"/>
      <c r="B140" s="289"/>
      <c r="C140" s="290"/>
      <c r="D140" s="290"/>
      <c r="E140" s="290"/>
      <c r="F140" s="290"/>
      <c r="G140" s="290"/>
      <c r="H140" s="290"/>
      <c r="I140" s="291"/>
      <c r="J140" s="291"/>
      <c r="K140" s="290"/>
      <c r="L140" s="96">
        <f>I140+J140*EERR!$D$2</f>
        <v>0</v>
      </c>
      <c r="M140" s="96">
        <f>L140/EERR!$D$2</f>
        <v>0</v>
      </c>
      <c r="N140" s="96">
        <f>SUMIF(Ago!$B$3:$B$116,A140,Ago!$V$3:$V$116)</f>
        <v>0</v>
      </c>
      <c r="O140" s="166">
        <f t="shared" si="3"/>
        <v>0</v>
      </c>
    </row>
    <row r="141" spans="1:15" x14ac:dyDescent="0.25">
      <c r="A141" s="288"/>
      <c r="B141" s="289"/>
      <c r="C141" s="290"/>
      <c r="D141" s="290"/>
      <c r="E141" s="290"/>
      <c r="F141" s="290"/>
      <c r="G141" s="290"/>
      <c r="H141" s="290"/>
      <c r="I141" s="291"/>
      <c r="J141" s="291"/>
      <c r="K141" s="290"/>
      <c r="L141" s="96">
        <f>I141+J141*EERR!$D$2</f>
        <v>0</v>
      </c>
      <c r="M141" s="96">
        <f>L141/EERR!$D$2</f>
        <v>0</v>
      </c>
      <c r="N141" s="96">
        <f>SUMIF(Ago!$B$3:$B$116,A141,Ago!$V$3:$V$116)</f>
        <v>0</v>
      </c>
      <c r="O141" s="166">
        <f t="shared" si="3"/>
        <v>0</v>
      </c>
    </row>
    <row r="142" spans="1:15" x14ac:dyDescent="0.25">
      <c r="A142" s="288"/>
      <c r="B142" s="289"/>
      <c r="C142" s="290"/>
      <c r="D142" s="290"/>
      <c r="E142" s="290"/>
      <c r="F142" s="290"/>
      <c r="G142" s="290"/>
      <c r="H142" s="290"/>
      <c r="I142" s="291"/>
      <c r="J142" s="291"/>
      <c r="K142" s="290"/>
      <c r="L142" s="96">
        <f>I142+J142*EERR!$D$2</f>
        <v>0</v>
      </c>
      <c r="M142" s="96">
        <f>L142/EERR!$D$2</f>
        <v>0</v>
      </c>
      <c r="N142" s="96">
        <f>SUMIF(Ago!$B$3:$B$116,A142,Ago!$V$3:$V$116)</f>
        <v>0</v>
      </c>
      <c r="O142" s="166">
        <f t="shared" si="3"/>
        <v>0</v>
      </c>
    </row>
    <row r="143" spans="1:15" x14ac:dyDescent="0.25">
      <c r="A143" s="288"/>
      <c r="B143" s="289"/>
      <c r="C143" s="290"/>
      <c r="D143" s="290"/>
      <c r="E143" s="290"/>
      <c r="F143" s="290"/>
      <c r="G143" s="290"/>
      <c r="H143" s="290"/>
      <c r="I143" s="291"/>
      <c r="J143" s="291"/>
      <c r="K143" s="290"/>
      <c r="L143" s="96">
        <f>I143+J143*EERR!$D$2</f>
        <v>0</v>
      </c>
      <c r="M143" s="96">
        <f>L143/EERR!$D$2</f>
        <v>0</v>
      </c>
      <c r="N143" s="96">
        <f>SUMIF(Ago!$B$3:$B$116,A143,Ago!$V$3:$V$116)</f>
        <v>0</v>
      </c>
      <c r="O143" s="166">
        <f t="shared" si="3"/>
        <v>0</v>
      </c>
    </row>
    <row r="144" spans="1:15" x14ac:dyDescent="0.25">
      <c r="A144" s="288"/>
      <c r="B144" s="289"/>
      <c r="C144" s="290"/>
      <c r="D144" s="290"/>
      <c r="E144" s="290"/>
      <c r="F144" s="290"/>
      <c r="G144" s="290"/>
      <c r="H144" s="290"/>
      <c r="I144" s="291"/>
      <c r="J144" s="291"/>
      <c r="K144" s="290"/>
      <c r="L144" s="96">
        <f>I144+J144*EERR!$D$2</f>
        <v>0</v>
      </c>
      <c r="M144" s="96">
        <f>L144/EERR!$D$2</f>
        <v>0</v>
      </c>
      <c r="N144" s="96">
        <f>SUMIF(Ago!$B$3:$B$116,A144,Ago!$V$3:$V$116)</f>
        <v>0</v>
      </c>
      <c r="O144" s="166">
        <f t="shared" si="3"/>
        <v>0</v>
      </c>
    </row>
    <row r="145" spans="1:18" x14ac:dyDescent="0.25">
      <c r="A145" s="288"/>
      <c r="B145" s="289"/>
      <c r="C145" s="290"/>
      <c r="D145" s="290"/>
      <c r="E145" s="290"/>
      <c r="F145" s="290"/>
      <c r="G145" s="290"/>
      <c r="H145" s="290"/>
      <c r="I145" s="291"/>
      <c r="J145" s="291"/>
      <c r="K145" s="290"/>
      <c r="L145" s="96">
        <f>I145+J145*EERR!$D$2</f>
        <v>0</v>
      </c>
      <c r="M145" s="96">
        <f>L145/EERR!$D$2</f>
        <v>0</v>
      </c>
      <c r="N145" s="96">
        <f>SUMIF(Ago!$B$3:$B$116,A145,Ago!$V$3:$V$116)</f>
        <v>0</v>
      </c>
      <c r="O145" s="166">
        <f t="shared" si="3"/>
        <v>0</v>
      </c>
    </row>
    <row r="146" spans="1:18" x14ac:dyDescent="0.25">
      <c r="A146" s="288"/>
      <c r="B146" s="289"/>
      <c r="C146" s="290"/>
      <c r="D146" s="290"/>
      <c r="E146" s="290"/>
      <c r="F146" s="290"/>
      <c r="G146" s="290"/>
      <c r="H146" s="290"/>
      <c r="I146" s="291"/>
      <c r="J146" s="291"/>
      <c r="K146" s="290"/>
      <c r="L146" s="96">
        <f>I146+J146*EERR!$D$2</f>
        <v>0</v>
      </c>
      <c r="M146" s="96">
        <f>L146/EERR!$D$2</f>
        <v>0</v>
      </c>
      <c r="N146" s="96">
        <f>SUMIF(Ago!$B$3:$B$116,A146,Ago!$V$3:$V$116)</f>
        <v>0</v>
      </c>
      <c r="O146" s="166">
        <f t="shared" si="3"/>
        <v>0</v>
      </c>
    </row>
    <row r="147" spans="1:18" x14ac:dyDescent="0.25">
      <c r="A147" s="288"/>
      <c r="B147" s="289"/>
      <c r="C147" s="290"/>
      <c r="D147" s="290"/>
      <c r="E147" s="290"/>
      <c r="F147" s="290"/>
      <c r="G147" s="290"/>
      <c r="H147" s="290"/>
      <c r="I147" s="291"/>
      <c r="J147" s="291"/>
      <c r="K147" s="290"/>
      <c r="L147" s="96">
        <f>I147+J147*EERR!$D$2</f>
        <v>0</v>
      </c>
      <c r="M147" s="96">
        <f>L147/EERR!$D$2</f>
        <v>0</v>
      </c>
      <c r="N147" s="96">
        <f>SUMIF(Ago!$B$3:$B$116,A147,Ago!$V$3:$V$116)</f>
        <v>0</v>
      </c>
      <c r="O147" s="166">
        <f t="shared" si="3"/>
        <v>0</v>
      </c>
    </row>
    <row r="148" spans="1:18" x14ac:dyDescent="0.25">
      <c r="A148" s="288"/>
      <c r="B148" s="289"/>
      <c r="C148" s="290"/>
      <c r="D148" s="290"/>
      <c r="E148" s="290"/>
      <c r="F148" s="290"/>
      <c r="G148" s="290"/>
      <c r="H148" s="290"/>
      <c r="I148" s="291"/>
      <c r="J148" s="291"/>
      <c r="K148" s="290"/>
      <c r="L148" s="96">
        <f>I148+J148*EERR!$D$2</f>
        <v>0</v>
      </c>
      <c r="M148" s="96">
        <f>L148/EERR!$D$2</f>
        <v>0</v>
      </c>
      <c r="N148" s="96">
        <f>SUMIF(Ago!$B$3:$B$116,A148,Ago!$V$3:$V$116)</f>
        <v>0</v>
      </c>
      <c r="O148" s="166">
        <f t="shared" si="3"/>
        <v>0</v>
      </c>
    </row>
    <row r="149" spans="1:18" x14ac:dyDescent="0.25">
      <c r="A149" s="288"/>
      <c r="B149" s="289"/>
      <c r="C149" s="290"/>
      <c r="D149" s="290"/>
      <c r="E149" s="290"/>
      <c r="F149" s="290"/>
      <c r="G149" s="290"/>
      <c r="H149" s="290"/>
      <c r="I149" s="291"/>
      <c r="J149" s="291"/>
      <c r="K149" s="290"/>
      <c r="L149" s="96">
        <f>I149+J149*EERR!$D$2</f>
        <v>0</v>
      </c>
      <c r="M149" s="96">
        <f>L149/EERR!$D$2</f>
        <v>0</v>
      </c>
      <c r="N149" s="96">
        <f>SUMIF(Ago!$B$3:$B$116,A149,Ago!$V$3:$V$116)</f>
        <v>0</v>
      </c>
      <c r="O149" s="166">
        <f t="shared" si="3"/>
        <v>0</v>
      </c>
      <c r="Q149" s="166">
        <f>SUM(J2:J156)+Ago!L115</f>
        <v>40368.85</v>
      </c>
      <c r="R149" s="147">
        <f>Q149*EERR!D2</f>
        <v>28791063.82</v>
      </c>
    </row>
    <row r="150" spans="1:18" x14ac:dyDescent="0.25">
      <c r="A150" s="288"/>
      <c r="B150" s="289"/>
      <c r="C150" s="290"/>
      <c r="D150" s="290"/>
      <c r="E150" s="290"/>
      <c r="F150" s="290"/>
      <c r="G150" s="290"/>
      <c r="H150" s="290"/>
      <c r="I150" s="291"/>
      <c r="J150" s="291"/>
      <c r="K150" s="290"/>
      <c r="L150" s="96">
        <f>I150+J150*EERR!$D$2</f>
        <v>0</v>
      </c>
      <c r="M150" s="96">
        <f>L150/EERR!$D$2</f>
        <v>0</v>
      </c>
      <c r="N150" s="96">
        <f>SUMIF(Ago!$B$3:$B$116,A150,Ago!$V$3:$V$116)</f>
        <v>0</v>
      </c>
      <c r="O150" s="166">
        <f t="shared" si="3"/>
        <v>0</v>
      </c>
    </row>
    <row r="151" spans="1:18" x14ac:dyDescent="0.25">
      <c r="A151" s="288"/>
      <c r="B151" s="289"/>
      <c r="C151" s="290"/>
      <c r="D151" s="290"/>
      <c r="E151" s="290"/>
      <c r="F151" s="290"/>
      <c r="G151" s="290"/>
      <c r="H151" s="290"/>
      <c r="I151" s="291"/>
      <c r="J151" s="291"/>
      <c r="K151" s="290"/>
      <c r="L151" s="96">
        <f>I151+J151*EERR!$D$2</f>
        <v>0</v>
      </c>
      <c r="M151" s="96">
        <f>L151/EERR!$D$2</f>
        <v>0</v>
      </c>
      <c r="N151" s="96">
        <f>SUMIF(Ago!$B$3:$B$116,A151,Ago!$V$3:$V$116)</f>
        <v>0</v>
      </c>
      <c r="O151" s="166">
        <f t="shared" si="3"/>
        <v>0</v>
      </c>
    </row>
    <row r="152" spans="1:18" x14ac:dyDescent="0.25">
      <c r="A152" s="288"/>
      <c r="B152" s="289"/>
      <c r="C152" s="290"/>
      <c r="D152" s="290"/>
      <c r="E152" s="290"/>
      <c r="F152" s="290"/>
      <c r="G152" s="290"/>
      <c r="H152" s="290"/>
      <c r="I152" s="291"/>
      <c r="J152" s="291"/>
      <c r="K152" s="290"/>
      <c r="L152" s="96">
        <f>I152+J152*EERR!$D$2</f>
        <v>0</v>
      </c>
      <c r="M152" s="96">
        <f>L152/EERR!$D$2</f>
        <v>0</v>
      </c>
      <c r="N152" s="96">
        <f>SUMIF(Ago!$B$3:$B$116,A152,Ago!$V$3:$V$116)</f>
        <v>0</v>
      </c>
      <c r="O152" s="166">
        <f t="shared" si="3"/>
        <v>0</v>
      </c>
    </row>
    <row r="153" spans="1:18" x14ac:dyDescent="0.25">
      <c r="A153" s="288"/>
      <c r="B153" s="289"/>
      <c r="C153" s="290"/>
      <c r="D153" s="290"/>
      <c r="E153" s="290"/>
      <c r="F153" s="290"/>
      <c r="G153" s="290"/>
      <c r="H153" s="290"/>
      <c r="I153" s="291"/>
      <c r="J153" s="291"/>
      <c r="K153" s="290"/>
      <c r="L153" s="96">
        <f>I153+J153*EERR!$D$2</f>
        <v>0</v>
      </c>
      <c r="M153" s="96">
        <f>L153/EERR!$D$2</f>
        <v>0</v>
      </c>
      <c r="N153" s="96">
        <f>SUMIF(Ago!$B$3:$B$116,A153,Ago!$V$3:$V$116)</f>
        <v>0</v>
      </c>
      <c r="O153" s="166">
        <f t="shared" si="3"/>
        <v>0</v>
      </c>
    </row>
    <row r="154" spans="1:18" x14ac:dyDescent="0.25">
      <c r="A154" s="288"/>
      <c r="B154" s="289"/>
      <c r="C154" s="290"/>
      <c r="D154" s="290"/>
      <c r="E154" s="290"/>
      <c r="F154" s="290"/>
      <c r="G154" s="290"/>
      <c r="H154" s="290"/>
      <c r="I154" s="291"/>
      <c r="J154" s="291"/>
      <c r="K154" s="290"/>
      <c r="L154" s="96">
        <f>I154+J154*EERR!$D$2</f>
        <v>0</v>
      </c>
      <c r="M154" s="96">
        <f>L154/EERR!$D$2</f>
        <v>0</v>
      </c>
      <c r="N154" s="96">
        <f>SUMIF(Ago!$B$3:$B$116,A154,Ago!$V$3:$V$116)</f>
        <v>0</v>
      </c>
      <c r="O154" s="166">
        <f t="shared" si="3"/>
        <v>0</v>
      </c>
    </row>
    <row r="155" spans="1:18" x14ac:dyDescent="0.25">
      <c r="A155" s="288"/>
      <c r="B155" s="289"/>
      <c r="C155" s="290"/>
      <c r="D155" s="290"/>
      <c r="E155" s="290"/>
      <c r="F155" s="290"/>
      <c r="G155" s="290"/>
      <c r="H155" s="290"/>
      <c r="I155" s="291"/>
      <c r="J155" s="291"/>
      <c r="K155" s="290"/>
      <c r="L155" s="96">
        <f>I155+J155*EERR!$D$2</f>
        <v>0</v>
      </c>
      <c r="M155" s="96">
        <f>L155/EERR!$D$2</f>
        <v>0</v>
      </c>
      <c r="N155" s="96">
        <f>SUMIF(Ago!$B$3:$B$116,A155,Ago!$V$3:$V$116)</f>
        <v>0</v>
      </c>
      <c r="O155" s="166">
        <f t="shared" si="3"/>
        <v>0</v>
      </c>
    </row>
    <row r="156" spans="1:18" x14ac:dyDescent="0.25">
      <c r="A156" s="288"/>
      <c r="B156" s="289"/>
      <c r="C156" s="290"/>
      <c r="D156" s="290"/>
      <c r="E156" s="290"/>
      <c r="F156" s="290"/>
      <c r="G156" s="290"/>
      <c r="H156" s="290"/>
      <c r="I156" s="291"/>
      <c r="J156" s="291"/>
      <c r="K156" s="290"/>
      <c r="L156" s="96">
        <f>I156+J156*EERR!$D$2</f>
        <v>0</v>
      </c>
      <c r="M156" s="96">
        <f>L156/EERR!$D$2</f>
        <v>0</v>
      </c>
      <c r="N156" s="96">
        <f>SUMIF(Ago!$B$3:$B$116,A156,Ago!$V$3:$V$116)</f>
        <v>0</v>
      </c>
      <c r="O156" s="166">
        <f t="shared" si="3"/>
        <v>0</v>
      </c>
    </row>
    <row r="157" spans="1:18" x14ac:dyDescent="0.25">
      <c r="A157" s="288"/>
      <c r="B157" s="289"/>
      <c r="C157" s="290"/>
      <c r="D157" s="290"/>
      <c r="E157" s="290"/>
      <c r="F157" s="290"/>
      <c r="G157" s="290"/>
      <c r="H157" s="290"/>
      <c r="I157" s="291"/>
      <c r="J157" s="291"/>
      <c r="K157" s="290"/>
      <c r="L157" s="96">
        <f>I157+J157*EERR!$D$2</f>
        <v>0</v>
      </c>
      <c r="M157" s="96">
        <f>L157/EERR!$D$2</f>
        <v>0</v>
      </c>
      <c r="N157" s="96">
        <f>SUMIF(Ago!$B$3:$B$116,A157,Ago!$V$3:$V$116)</f>
        <v>0</v>
      </c>
      <c r="O157" s="166">
        <f t="shared" si="3"/>
        <v>0</v>
      </c>
    </row>
    <row r="158" spans="1:18" x14ac:dyDescent="0.25">
      <c r="A158" s="288"/>
      <c r="B158" s="289"/>
      <c r="C158" s="290"/>
      <c r="D158" s="290"/>
      <c r="E158" s="290"/>
      <c r="F158" s="290"/>
      <c r="G158" s="290"/>
      <c r="H158" s="290"/>
      <c r="I158" s="291"/>
      <c r="J158" s="291"/>
      <c r="K158" s="290"/>
      <c r="L158" s="96">
        <f>I158+J158*EERR!$D$2</f>
        <v>0</v>
      </c>
      <c r="M158" s="96">
        <f>L158/EERR!$D$2</f>
        <v>0</v>
      </c>
      <c r="N158" s="96">
        <f>SUMIF(Ago!$B$3:$B$116,A158,Ago!$V$3:$V$116)</f>
        <v>0</v>
      </c>
      <c r="O158" s="166">
        <f t="shared" si="3"/>
        <v>0</v>
      </c>
    </row>
    <row r="159" spans="1:18" x14ac:dyDescent="0.25">
      <c r="A159" s="288"/>
      <c r="B159" s="289"/>
      <c r="C159" s="290"/>
      <c r="D159" s="290"/>
      <c r="E159" s="290"/>
      <c r="F159" s="290"/>
      <c r="G159" s="290"/>
      <c r="H159" s="290"/>
      <c r="I159" s="291"/>
      <c r="J159" s="291"/>
      <c r="K159" s="290"/>
      <c r="L159" s="96">
        <f>I159+J159*EERR!$D$2</f>
        <v>0</v>
      </c>
      <c r="M159" s="96">
        <f>L159/EERR!$D$2</f>
        <v>0</v>
      </c>
      <c r="N159" s="96">
        <f>SUMIF(Ago!$B$3:$B$116,A159,Ago!$V$3:$V$116)</f>
        <v>0</v>
      </c>
      <c r="O159" s="166">
        <f t="shared" si="3"/>
        <v>0</v>
      </c>
    </row>
    <row r="160" spans="1:18" x14ac:dyDescent="0.25">
      <c r="A160" s="288"/>
      <c r="B160" s="289"/>
      <c r="C160" s="290"/>
      <c r="D160" s="290"/>
      <c r="E160" s="290"/>
      <c r="F160" s="290"/>
      <c r="G160" s="290"/>
      <c r="H160" s="290"/>
      <c r="I160" s="291"/>
      <c r="J160" s="291"/>
      <c r="K160" s="290"/>
      <c r="L160" s="96">
        <f>I160+J160*EERR!$D$2</f>
        <v>0</v>
      </c>
      <c r="M160" s="96">
        <f>L160/EERR!$D$2</f>
        <v>0</v>
      </c>
      <c r="N160" s="96">
        <f>SUMIF(Ago!$B$3:$B$116,A160,Ago!$V$3:$V$116)</f>
        <v>0</v>
      </c>
      <c r="O160" s="166">
        <f t="shared" si="3"/>
        <v>0</v>
      </c>
    </row>
    <row r="161" spans="1:15" x14ac:dyDescent="0.25">
      <c r="A161" s="288"/>
      <c r="B161" s="289"/>
      <c r="C161" s="290"/>
      <c r="D161" s="290"/>
      <c r="E161" s="290"/>
      <c r="F161" s="290"/>
      <c r="G161" s="290"/>
      <c r="H161" s="290"/>
      <c r="I161" s="291"/>
      <c r="J161" s="291"/>
      <c r="K161" s="290"/>
      <c r="L161" s="96">
        <f>I161+J161*EERR!$D$2</f>
        <v>0</v>
      </c>
      <c r="M161" s="96">
        <f>L161/EERR!$D$2</f>
        <v>0</v>
      </c>
      <c r="N161" s="96">
        <f>SUMIF(Ago!$B$3:$B$116,A161,Ago!$V$3:$V$116)</f>
        <v>0</v>
      </c>
      <c r="O161" s="166">
        <f t="shared" si="3"/>
        <v>0</v>
      </c>
    </row>
    <row r="162" spans="1:15" x14ac:dyDescent="0.25">
      <c r="A162" s="288"/>
      <c r="B162" s="289"/>
      <c r="C162" s="290"/>
      <c r="D162" s="290"/>
      <c r="E162" s="290"/>
      <c r="F162" s="290"/>
      <c r="G162" s="290"/>
      <c r="H162" s="290"/>
      <c r="I162" s="291"/>
      <c r="J162" s="291"/>
      <c r="K162" s="290"/>
      <c r="L162" s="96">
        <f>I162+J162*EERR!$D$2</f>
        <v>0</v>
      </c>
      <c r="M162" s="96">
        <f>L162/EERR!$D$2</f>
        <v>0</v>
      </c>
      <c r="N162" s="96">
        <f>SUMIF(Ago!$B$3:$B$116,A162,Ago!$V$3:$V$116)</f>
        <v>0</v>
      </c>
      <c r="O162" s="166">
        <f t="shared" si="3"/>
        <v>0</v>
      </c>
    </row>
    <row r="163" spans="1:15" x14ac:dyDescent="0.25">
      <c r="A163" s="288"/>
      <c r="B163" s="289"/>
      <c r="C163" s="290"/>
      <c r="D163" s="290"/>
      <c r="E163" s="290"/>
      <c r="F163" s="290"/>
      <c r="G163" s="290"/>
      <c r="H163" s="290"/>
      <c r="I163" s="291"/>
      <c r="J163" s="291"/>
      <c r="K163" s="290"/>
      <c r="L163" s="96">
        <f>I163+J163*EERR!$D$2</f>
        <v>0</v>
      </c>
      <c r="M163" s="96">
        <f>L163/EERR!$D$2</f>
        <v>0</v>
      </c>
      <c r="N163" s="96">
        <f>SUMIF(Ago!$B$3:$B$116,A163,Ago!$V$3:$V$116)</f>
        <v>0</v>
      </c>
      <c r="O163" s="166">
        <f t="shared" si="3"/>
        <v>0</v>
      </c>
    </row>
    <row r="164" spans="1:15" x14ac:dyDescent="0.25">
      <c r="A164" s="288"/>
      <c r="B164" s="289"/>
      <c r="C164" s="290"/>
      <c r="D164" s="290"/>
      <c r="E164" s="290"/>
      <c r="F164" s="290"/>
      <c r="G164" s="290"/>
      <c r="H164" s="290"/>
      <c r="I164" s="291"/>
      <c r="J164" s="291"/>
      <c r="K164" s="290"/>
      <c r="L164" s="96">
        <f>I164+J164*EERR!$D$2</f>
        <v>0</v>
      </c>
      <c r="M164" s="96">
        <f>L164/EERR!$D$2</f>
        <v>0</v>
      </c>
      <c r="N164" s="96">
        <f>SUMIF(Ago!$B$3:$B$116,A164,Ago!$V$3:$V$116)</f>
        <v>0</v>
      </c>
      <c r="O164" s="166">
        <f t="shared" si="3"/>
        <v>0</v>
      </c>
    </row>
    <row r="165" spans="1:15" x14ac:dyDescent="0.25">
      <c r="A165" s="288"/>
      <c r="B165" s="289"/>
      <c r="C165" s="290"/>
      <c r="D165" s="290"/>
      <c r="E165" s="290"/>
      <c r="F165" s="290"/>
      <c r="G165" s="290"/>
      <c r="H165" s="290"/>
      <c r="I165" s="291"/>
      <c r="J165" s="291"/>
      <c r="K165" s="290"/>
      <c r="L165" s="96">
        <f>I165+J165*EERR!$D$2</f>
        <v>0</v>
      </c>
      <c r="M165" s="96">
        <f>L165/EERR!$D$2</f>
        <v>0</v>
      </c>
      <c r="N165" s="96">
        <f>SUMIF(Ago!$B$3:$B$116,A165,Ago!$V$3:$V$116)</f>
        <v>0</v>
      </c>
      <c r="O165" s="166">
        <f t="shared" si="3"/>
        <v>0</v>
      </c>
    </row>
    <row r="166" spans="1:15" x14ac:dyDescent="0.25">
      <c r="A166" s="288"/>
      <c r="B166" s="289"/>
      <c r="C166" s="290"/>
      <c r="D166" s="290"/>
      <c r="E166" s="290"/>
      <c r="F166" s="290"/>
      <c r="G166" s="290"/>
      <c r="H166" s="290"/>
      <c r="I166" s="291"/>
      <c r="J166" s="291"/>
      <c r="K166" s="290"/>
      <c r="L166" s="96">
        <f>I166+J166*EERR!$D$2</f>
        <v>0</v>
      </c>
      <c r="M166" s="96">
        <f>L166/EERR!$D$2</f>
        <v>0</v>
      </c>
      <c r="N166" s="96">
        <f>SUMIF(Ago!$B$3:$B$116,A166,Ago!$V$3:$V$116)</f>
        <v>0</v>
      </c>
      <c r="O166" s="166">
        <f t="shared" si="3"/>
        <v>0</v>
      </c>
    </row>
    <row r="167" spans="1:15" x14ac:dyDescent="0.25">
      <c r="A167" s="288"/>
      <c r="B167" s="289"/>
      <c r="C167" s="290"/>
      <c r="D167" s="290"/>
      <c r="E167" s="290"/>
      <c r="F167" s="290"/>
      <c r="G167" s="290"/>
      <c r="H167" s="290"/>
      <c r="I167" s="291"/>
      <c r="J167" s="291"/>
      <c r="K167" s="290"/>
      <c r="L167" s="96">
        <f>I167+J167*EERR!$D$2</f>
        <v>0</v>
      </c>
      <c r="M167" s="96">
        <f>L167/EERR!$D$2</f>
        <v>0</v>
      </c>
      <c r="N167" s="96">
        <f>SUMIF(Ago!$B$3:$B$116,A167,Ago!$V$3:$V$116)</f>
        <v>0</v>
      </c>
      <c r="O167" s="166">
        <f t="shared" si="3"/>
        <v>0</v>
      </c>
    </row>
    <row r="168" spans="1:15" x14ac:dyDescent="0.25">
      <c r="A168" s="288"/>
      <c r="B168" s="289"/>
      <c r="C168" s="290"/>
      <c r="D168" s="290"/>
      <c r="E168" s="290"/>
      <c r="F168" s="290"/>
      <c r="G168" s="290"/>
      <c r="H168" s="290"/>
      <c r="I168" s="291"/>
      <c r="J168" s="291"/>
      <c r="K168" s="290"/>
      <c r="L168" s="96">
        <f>I168+J168*EERR!$D$2</f>
        <v>0</v>
      </c>
      <c r="M168" s="96">
        <f>L168/EERR!$D$2</f>
        <v>0</v>
      </c>
      <c r="N168" s="96">
        <f>SUMIF(Ago!$B$3:$B$116,A168,Ago!$V$3:$V$116)</f>
        <v>0</v>
      </c>
      <c r="O168" s="166">
        <f t="shared" si="3"/>
        <v>0</v>
      </c>
    </row>
    <row r="169" spans="1:15" x14ac:dyDescent="0.25">
      <c r="A169" s="288"/>
      <c r="B169" s="289"/>
      <c r="C169" s="290"/>
      <c r="D169" s="290"/>
      <c r="E169" s="290"/>
      <c r="F169" s="290"/>
      <c r="G169" s="290"/>
      <c r="H169" s="290"/>
      <c r="I169" s="291"/>
      <c r="J169" s="291"/>
      <c r="K169" s="290"/>
      <c r="L169" s="96">
        <f>I169+J169*EERR!$D$2</f>
        <v>0</v>
      </c>
      <c r="M169" s="96">
        <f>L169/EERR!$D$2</f>
        <v>0</v>
      </c>
      <c r="N169" s="96">
        <f>SUMIF(Ago!$B$3:$B$116,A169,Ago!$V$3:$V$116)</f>
        <v>0</v>
      </c>
      <c r="O169" s="166">
        <f t="shared" si="3"/>
        <v>0</v>
      </c>
    </row>
    <row r="170" spans="1:15" x14ac:dyDescent="0.25">
      <c r="A170" s="288"/>
      <c r="B170" s="289"/>
      <c r="C170" s="290"/>
      <c r="D170" s="290"/>
      <c r="E170" s="290"/>
      <c r="F170" s="290"/>
      <c r="G170" s="290"/>
      <c r="H170" s="290"/>
      <c r="I170" s="291"/>
      <c r="J170" s="291"/>
      <c r="K170" s="290"/>
      <c r="L170" s="96">
        <f>I170+J170*EERR!$D$2</f>
        <v>0</v>
      </c>
      <c r="M170" s="96">
        <f>L170/EERR!$D$2</f>
        <v>0</v>
      </c>
      <c r="N170" s="96">
        <f>SUMIF(Ago!$B$3:$B$116,A170,Ago!$V$3:$V$116)</f>
        <v>0</v>
      </c>
      <c r="O170" s="166">
        <f t="shared" si="3"/>
        <v>0</v>
      </c>
    </row>
    <row r="171" spans="1:15" x14ac:dyDescent="0.25">
      <c r="A171" s="288"/>
      <c r="B171" s="289"/>
      <c r="C171" s="290"/>
      <c r="D171" s="290"/>
      <c r="E171" s="290"/>
      <c r="F171" s="290"/>
      <c r="G171" s="290"/>
      <c r="H171" s="290"/>
      <c r="I171" s="291"/>
      <c r="J171" s="291"/>
      <c r="K171" s="290"/>
      <c r="L171" s="96">
        <f>I171+J171*EERR!$D$2</f>
        <v>0</v>
      </c>
      <c r="M171" s="96">
        <f>L171/EERR!$D$2</f>
        <v>0</v>
      </c>
      <c r="N171" s="96">
        <f>SUMIF(Ago!$B$3:$B$116,A171,Ago!$V$3:$V$116)</f>
        <v>0</v>
      </c>
      <c r="O171" s="166">
        <f t="shared" si="3"/>
        <v>0</v>
      </c>
    </row>
    <row r="172" spans="1:15" x14ac:dyDescent="0.25">
      <c r="A172" s="288"/>
      <c r="B172" s="289"/>
      <c r="C172" s="290"/>
      <c r="D172" s="290"/>
      <c r="E172" s="290"/>
      <c r="F172" s="290"/>
      <c r="G172" s="290"/>
      <c r="H172" s="290"/>
      <c r="I172" s="291"/>
      <c r="J172" s="291"/>
      <c r="K172" s="290"/>
      <c r="L172" s="96">
        <f>I172+J172*EERR!$D$2</f>
        <v>0</v>
      </c>
      <c r="M172" s="96">
        <f>L172/EERR!$D$2</f>
        <v>0</v>
      </c>
      <c r="N172" s="96">
        <f>SUMIF(Ago!$B$3:$B$116,A172,Ago!$V$3:$V$116)</f>
        <v>0</v>
      </c>
      <c r="O172" s="166">
        <f t="shared" si="3"/>
        <v>0</v>
      </c>
    </row>
    <row r="173" spans="1:15" x14ac:dyDescent="0.25">
      <c r="A173" s="288"/>
      <c r="B173" s="289"/>
      <c r="C173" s="290"/>
      <c r="D173" s="290"/>
      <c r="E173" s="290"/>
      <c r="F173" s="290"/>
      <c r="G173" s="290"/>
      <c r="H173" s="290"/>
      <c r="I173" s="291"/>
      <c r="J173" s="291"/>
      <c r="K173" s="290"/>
      <c r="L173" s="96">
        <f>I173+J173*EERR!$D$2</f>
        <v>0</v>
      </c>
      <c r="M173" s="96">
        <f>L173/EERR!$D$2</f>
        <v>0</v>
      </c>
      <c r="N173" s="96">
        <f>SUMIF(Ago!$B$3:$B$116,A173,Ago!$V$3:$V$116)</f>
        <v>0</v>
      </c>
      <c r="O173" s="166">
        <f t="shared" si="3"/>
        <v>0</v>
      </c>
    </row>
    <row r="174" spans="1:15" x14ac:dyDescent="0.25">
      <c r="A174" s="288"/>
      <c r="B174" s="289"/>
      <c r="C174" s="290"/>
      <c r="D174" s="290"/>
      <c r="E174" s="290"/>
      <c r="F174" s="290"/>
      <c r="G174" s="290"/>
      <c r="H174" s="290"/>
      <c r="I174" s="291"/>
      <c r="J174" s="291"/>
      <c r="K174" s="290"/>
      <c r="L174" s="96">
        <f>I174+J174*EERR!$D$2</f>
        <v>0</v>
      </c>
      <c r="M174" s="96">
        <f>L174/EERR!$D$2</f>
        <v>0</v>
      </c>
      <c r="N174" s="96">
        <f>SUMIF(Ago!$B$3:$B$116,A174,Ago!$V$3:$V$116)</f>
        <v>0</v>
      </c>
      <c r="O174" s="166">
        <f t="shared" ref="O174:O192" si="4">+A174-A173</f>
        <v>0</v>
      </c>
    </row>
    <row r="175" spans="1:15" x14ac:dyDescent="0.25">
      <c r="A175" s="288"/>
      <c r="B175" s="289"/>
      <c r="C175" s="290"/>
      <c r="D175" s="290"/>
      <c r="E175" s="290"/>
      <c r="F175" s="290"/>
      <c r="G175" s="290"/>
      <c r="H175" s="290"/>
      <c r="I175" s="291"/>
      <c r="J175" s="291"/>
      <c r="K175" s="290"/>
      <c r="L175" s="96">
        <f>I175+J175*EERR!$D$2</f>
        <v>0</v>
      </c>
      <c r="M175" s="96">
        <f>L175/EERR!$D$2</f>
        <v>0</v>
      </c>
      <c r="N175" s="96">
        <f>SUMIF(Ago!$B$3:$B$116,A175,Ago!$V$3:$V$116)</f>
        <v>0</v>
      </c>
      <c r="O175" s="166">
        <f t="shared" si="4"/>
        <v>0</v>
      </c>
    </row>
    <row r="176" spans="1:15" x14ac:dyDescent="0.25">
      <c r="A176" s="288"/>
      <c r="B176" s="289"/>
      <c r="C176" s="290"/>
      <c r="D176" s="290"/>
      <c r="E176" s="290"/>
      <c r="F176" s="290"/>
      <c r="G176" s="290"/>
      <c r="H176" s="290"/>
      <c r="I176" s="291"/>
      <c r="J176" s="291"/>
      <c r="K176" s="290"/>
      <c r="L176" s="96">
        <f>I176+J176*EERR!$D$2</f>
        <v>0</v>
      </c>
      <c r="M176" s="96">
        <f>L176/EERR!$D$2</f>
        <v>0</v>
      </c>
      <c r="N176" s="96">
        <f>SUMIF(Ago!$B$3:$B$116,A176,Ago!$V$3:$V$116)</f>
        <v>0</v>
      </c>
      <c r="O176" s="166">
        <f t="shared" si="4"/>
        <v>0</v>
      </c>
    </row>
    <row r="177" spans="1:18" x14ac:dyDescent="0.25">
      <c r="A177" s="288"/>
      <c r="B177" s="289"/>
      <c r="C177" s="290"/>
      <c r="D177" s="290"/>
      <c r="E177" s="290"/>
      <c r="F177" s="290"/>
      <c r="G177" s="290"/>
      <c r="H177" s="290"/>
      <c r="I177" s="291"/>
      <c r="J177" s="291"/>
      <c r="K177" s="290"/>
      <c r="L177" s="96">
        <f>I177+J177*EERR!$D$2</f>
        <v>0</v>
      </c>
      <c r="M177" s="96">
        <f>L177/EERR!$D$2</f>
        <v>0</v>
      </c>
      <c r="N177" s="96">
        <f>SUMIF(Ago!$B$3:$B$116,A177,Ago!$V$3:$V$116)</f>
        <v>0</v>
      </c>
      <c r="O177" s="166">
        <f t="shared" si="4"/>
        <v>0</v>
      </c>
    </row>
    <row r="178" spans="1:18" x14ac:dyDescent="0.25">
      <c r="A178" s="108"/>
      <c r="B178" s="105"/>
      <c r="C178" s="94"/>
      <c r="D178" s="94"/>
      <c r="E178" s="94"/>
      <c r="F178" s="94"/>
      <c r="G178" s="94"/>
      <c r="H178" s="94"/>
      <c r="I178" s="95"/>
      <c r="J178" s="95"/>
      <c r="K178" s="94"/>
      <c r="L178" s="96">
        <f>I178+J178*EERR!$D$2</f>
        <v>0</v>
      </c>
      <c r="M178" s="96">
        <f>L178/EERR!$D$2</f>
        <v>0</v>
      </c>
      <c r="N178" s="96">
        <f>SUMIF(Ago!$B$3:$B$116,A178,Ago!$V$3:$V$116)</f>
        <v>0</v>
      </c>
      <c r="O178" s="166">
        <f t="shared" si="4"/>
        <v>0</v>
      </c>
    </row>
    <row r="179" spans="1:18" x14ac:dyDescent="0.25">
      <c r="A179" s="108"/>
      <c r="B179" s="105"/>
      <c r="C179" s="94"/>
      <c r="D179" s="94"/>
      <c r="E179" s="94"/>
      <c r="F179" s="94"/>
      <c r="G179" s="94"/>
      <c r="H179" s="94"/>
      <c r="I179" s="95"/>
      <c r="J179" s="95"/>
      <c r="K179" s="94"/>
      <c r="L179" s="96">
        <f>I179+J179*EERR!$D$2</f>
        <v>0</v>
      </c>
      <c r="M179" s="96">
        <f>L179/EERR!$D$2</f>
        <v>0</v>
      </c>
      <c r="N179" s="96">
        <f>SUMIF(Ago!$B$3:$B$116,A179,Ago!$V$3:$V$116)</f>
        <v>0</v>
      </c>
      <c r="O179" s="166">
        <f t="shared" si="4"/>
        <v>0</v>
      </c>
    </row>
    <row r="180" spans="1:18" x14ac:dyDescent="0.25">
      <c r="A180" s="108"/>
      <c r="B180" s="105"/>
      <c r="C180" s="94"/>
      <c r="D180" s="94"/>
      <c r="E180" s="94"/>
      <c r="F180" s="94"/>
      <c r="G180" s="94"/>
      <c r="H180" s="94"/>
      <c r="I180" s="95"/>
      <c r="J180" s="95"/>
      <c r="K180" s="94"/>
      <c r="L180" s="96">
        <f>I180+J180*EERR!$D$2</f>
        <v>0</v>
      </c>
      <c r="M180" s="96">
        <f>L180/EERR!$D$2</f>
        <v>0</v>
      </c>
      <c r="N180" s="96">
        <f>SUMIF(Ago!$B$3:$B$116,A180,Ago!$V$3:$V$116)</f>
        <v>0</v>
      </c>
      <c r="O180" s="166">
        <f t="shared" si="4"/>
        <v>0</v>
      </c>
    </row>
    <row r="181" spans="1:18" x14ac:dyDescent="0.25">
      <c r="A181" s="108"/>
      <c r="B181" s="105"/>
      <c r="C181" s="94"/>
      <c r="D181" s="94"/>
      <c r="E181" s="94"/>
      <c r="F181" s="94"/>
      <c r="G181" s="94"/>
      <c r="H181" s="94"/>
      <c r="I181" s="95"/>
      <c r="J181" s="95"/>
      <c r="K181" s="94"/>
      <c r="L181" s="96">
        <f>I181+J181*EERR!$D$2</f>
        <v>0</v>
      </c>
      <c r="M181" s="96">
        <f>L181/EERR!$D$2</f>
        <v>0</v>
      </c>
      <c r="N181" s="96">
        <f>SUMIF(Ago!$B$3:$B$116,A181,Ago!$V$3:$V$116)</f>
        <v>0</v>
      </c>
      <c r="O181" s="166">
        <f t="shared" si="4"/>
        <v>0</v>
      </c>
    </row>
    <row r="182" spans="1:18" x14ac:dyDescent="0.25">
      <c r="A182" s="108"/>
      <c r="B182" s="105"/>
      <c r="C182" s="94"/>
      <c r="D182" s="94"/>
      <c r="E182" s="94"/>
      <c r="F182" s="94"/>
      <c r="G182" s="94"/>
      <c r="H182" s="94"/>
      <c r="I182" s="95"/>
      <c r="J182" s="95"/>
      <c r="K182" s="94"/>
      <c r="L182" s="96">
        <f>I182+J182*EERR!$D$2</f>
        <v>0</v>
      </c>
      <c r="M182" s="96">
        <f>L182/EERR!$D$2</f>
        <v>0</v>
      </c>
      <c r="N182" s="96">
        <f>SUMIF(Ago!$B$3:$B$116,A182,Ago!$V$3:$V$116)</f>
        <v>0</v>
      </c>
      <c r="O182" s="166">
        <f t="shared" si="4"/>
        <v>0</v>
      </c>
    </row>
    <row r="183" spans="1:18" x14ac:dyDescent="0.25">
      <c r="A183" s="108"/>
      <c r="B183" s="105"/>
      <c r="C183" s="94"/>
      <c r="D183" s="94"/>
      <c r="E183" s="94"/>
      <c r="F183" s="94"/>
      <c r="G183" s="94"/>
      <c r="H183" s="94"/>
      <c r="I183" s="95"/>
      <c r="J183" s="95"/>
      <c r="K183" s="94"/>
      <c r="L183" s="96">
        <f>I183+J183*EERR!$D$2</f>
        <v>0</v>
      </c>
      <c r="M183" s="96">
        <f>L183/EERR!$D$2</f>
        <v>0</v>
      </c>
      <c r="N183" s="96">
        <f>SUMIF(Ago!$B$3:$B$116,A183,Ago!$V$3:$V$116)</f>
        <v>0</v>
      </c>
      <c r="O183" s="166">
        <f t="shared" si="4"/>
        <v>0</v>
      </c>
    </row>
    <row r="184" spans="1:18" x14ac:dyDescent="0.25">
      <c r="A184" s="108"/>
      <c r="B184" s="105"/>
      <c r="C184" s="94"/>
      <c r="D184" s="94"/>
      <c r="E184" s="94"/>
      <c r="F184" s="94"/>
      <c r="G184" s="94"/>
      <c r="H184" s="94"/>
      <c r="I184" s="95"/>
      <c r="J184" s="95"/>
      <c r="K184" s="94"/>
      <c r="L184" s="96">
        <f>I184+J184*EERR!$D$2</f>
        <v>0</v>
      </c>
      <c r="M184" s="96">
        <f>L184/EERR!$D$2</f>
        <v>0</v>
      </c>
      <c r="N184" s="96">
        <f>SUMIF(Ago!$B$3:$B$116,A184,Ago!$V$3:$V$116)</f>
        <v>0</v>
      </c>
      <c r="O184" s="166">
        <f t="shared" si="4"/>
        <v>0</v>
      </c>
    </row>
    <row r="185" spans="1:18" x14ac:dyDescent="0.25">
      <c r="A185" s="108"/>
      <c r="B185" s="105"/>
      <c r="C185" s="94"/>
      <c r="D185" s="94"/>
      <c r="E185" s="94"/>
      <c r="F185" s="94"/>
      <c r="G185" s="94"/>
      <c r="H185" s="94"/>
      <c r="I185" s="95"/>
      <c r="J185" s="95"/>
      <c r="K185" s="94"/>
      <c r="L185" s="96">
        <f>I185+J185*EERR!$D$2</f>
        <v>0</v>
      </c>
      <c r="M185" s="96">
        <f>L185/EERR!$D$2</f>
        <v>0</v>
      </c>
      <c r="N185" s="96">
        <f>SUMIF(Ago!$B$3:$B$116,A185,Ago!$V$3:$V$116)</f>
        <v>0</v>
      </c>
      <c r="O185" s="166">
        <f t="shared" si="4"/>
        <v>0</v>
      </c>
    </row>
    <row r="186" spans="1:18" x14ac:dyDescent="0.25">
      <c r="A186" s="108"/>
      <c r="B186" s="105"/>
      <c r="C186" s="94"/>
      <c r="D186" s="94"/>
      <c r="E186" s="94"/>
      <c r="F186" s="94"/>
      <c r="G186" s="94"/>
      <c r="H186" s="94"/>
      <c r="I186" s="95"/>
      <c r="J186" s="95"/>
      <c r="K186" s="94"/>
      <c r="L186" s="96">
        <f>I186+J186*EERR!$D$2</f>
        <v>0</v>
      </c>
      <c r="M186" s="96">
        <f>L186/EERR!$D$2</f>
        <v>0</v>
      </c>
      <c r="N186" s="96">
        <f>SUMIF(Ago!$B$3:$B$116,A186,Ago!$V$3:$V$116)</f>
        <v>0</v>
      </c>
      <c r="O186" s="166">
        <f t="shared" si="4"/>
        <v>0</v>
      </c>
    </row>
    <row r="187" spans="1:18" x14ac:dyDescent="0.25">
      <c r="A187" s="108"/>
      <c r="B187" s="105"/>
      <c r="C187" s="94"/>
      <c r="D187" s="94"/>
      <c r="E187" s="94"/>
      <c r="F187" s="94"/>
      <c r="G187" s="94"/>
      <c r="H187" s="94"/>
      <c r="I187" s="95"/>
      <c r="J187" s="95"/>
      <c r="K187" s="94"/>
      <c r="L187" s="96">
        <f>I187+J187*EERR!$D$2</f>
        <v>0</v>
      </c>
      <c r="M187" s="96">
        <f>L187/EERR!$D$2</f>
        <v>0</v>
      </c>
      <c r="N187" s="96">
        <f>SUMIF(Ago!$B$3:$B$116,A187,Ago!$V$3:$V$116)</f>
        <v>0</v>
      </c>
      <c r="O187" s="166">
        <f t="shared" si="4"/>
        <v>0</v>
      </c>
    </row>
    <row r="188" spans="1:18" x14ac:dyDescent="0.25">
      <c r="A188" s="108"/>
      <c r="B188" s="105"/>
      <c r="C188" s="94"/>
      <c r="D188" s="94"/>
      <c r="E188" s="94"/>
      <c r="F188" s="94"/>
      <c r="G188" s="94"/>
      <c r="H188" s="94"/>
      <c r="I188" s="95"/>
      <c r="J188" s="95"/>
      <c r="K188" s="94"/>
      <c r="L188" s="96">
        <f>I188+J188*EERR!$D$2</f>
        <v>0</v>
      </c>
      <c r="M188" s="96">
        <f>L188/EERR!$D$2</f>
        <v>0</v>
      </c>
      <c r="N188" s="96">
        <f>SUMIF(Ago!$B$3:$B$116,A188,Ago!$V$3:$V$116)</f>
        <v>0</v>
      </c>
      <c r="O188" s="166">
        <f t="shared" si="4"/>
        <v>0</v>
      </c>
    </row>
    <row r="189" spans="1:18" x14ac:dyDescent="0.25">
      <c r="A189" s="108"/>
      <c r="B189" s="105"/>
      <c r="C189" s="94"/>
      <c r="D189" s="94"/>
      <c r="E189" s="94"/>
      <c r="F189" s="94"/>
      <c r="G189" s="94"/>
      <c r="H189" s="94"/>
      <c r="I189" s="95"/>
      <c r="J189" s="95"/>
      <c r="K189" s="94"/>
      <c r="L189" s="96">
        <f>I189+J189*EERR!$D$2</f>
        <v>0</v>
      </c>
      <c r="M189" s="96">
        <f>L189/EERR!$D$2</f>
        <v>0</v>
      </c>
      <c r="N189" s="96">
        <f>SUMIF(Ago!$B$3:$B$116,A189,Ago!$V$3:$V$116)</f>
        <v>0</v>
      </c>
      <c r="O189" s="166">
        <f t="shared" si="4"/>
        <v>0</v>
      </c>
    </row>
    <row r="190" spans="1:18" x14ac:dyDescent="0.25">
      <c r="A190" s="108"/>
      <c r="B190" s="105"/>
      <c r="C190" s="94"/>
      <c r="D190" s="94"/>
      <c r="E190" s="94"/>
      <c r="F190" s="94"/>
      <c r="G190" s="94"/>
      <c r="H190" s="94"/>
      <c r="I190" s="95"/>
      <c r="J190" s="95"/>
      <c r="K190" s="94"/>
      <c r="L190" s="96">
        <f>I190+J190*EERR!$D$2</f>
        <v>0</v>
      </c>
      <c r="M190" s="96">
        <f>L190/EERR!$D$2</f>
        <v>0</v>
      </c>
      <c r="N190" s="96">
        <f>SUMIF(Ago!$B$3:$B$116,A190,Ago!$V$3:$V$116)</f>
        <v>0</v>
      </c>
      <c r="O190" s="166">
        <f t="shared" si="4"/>
        <v>0</v>
      </c>
    </row>
    <row r="191" spans="1:18" x14ac:dyDescent="0.25">
      <c r="A191" s="108"/>
      <c r="B191" s="105"/>
      <c r="C191" s="94"/>
      <c r="D191" s="94"/>
      <c r="E191" s="94"/>
      <c r="F191" s="94"/>
      <c r="G191" s="94"/>
      <c r="H191" s="94"/>
      <c r="I191" s="95"/>
      <c r="J191" s="95"/>
      <c r="K191" s="94"/>
      <c r="L191" s="96">
        <f>I191+J191*EERR!$D$2</f>
        <v>0</v>
      </c>
      <c r="M191" s="96">
        <f>L191/EERR!$D$2</f>
        <v>0</v>
      </c>
      <c r="N191" s="96">
        <f>SUMIF(Ago!$B$3:$B$116,A191,Ago!$V$3:$V$116)</f>
        <v>0</v>
      </c>
      <c r="O191" s="166">
        <f t="shared" si="4"/>
        <v>0</v>
      </c>
    </row>
    <row r="192" spans="1:18" x14ac:dyDescent="0.25">
      <c r="A192" s="167"/>
      <c r="B192" s="167"/>
      <c r="C192" s="167"/>
      <c r="D192" s="167"/>
      <c r="E192" s="167"/>
      <c r="F192" s="167"/>
      <c r="G192" s="167"/>
      <c r="H192" s="167"/>
      <c r="I192" s="168">
        <f>SUM(I2:I191)</f>
        <v>5277333</v>
      </c>
      <c r="J192" s="168">
        <f>SUM(J2:J191)</f>
        <v>33063.85</v>
      </c>
      <c r="K192" s="167"/>
      <c r="L192" s="96">
        <f>I192+J192*EERR!$D$2</f>
        <v>28858470.82</v>
      </c>
      <c r="M192" s="96">
        <f>L192/EERR!$D$2</f>
        <v>40463.363460459899</v>
      </c>
      <c r="N192" s="96">
        <f>SUMIF(Ago!$B$3:$B$116,A192,Ago!$V$3:$V$116)</f>
        <v>0</v>
      </c>
      <c r="O192" s="166">
        <f t="shared" si="4"/>
        <v>0</v>
      </c>
      <c r="P192" s="146"/>
      <c r="R192" s="53">
        <v>7096000</v>
      </c>
    </row>
    <row r="193" spans="1:18" x14ac:dyDescent="0.25">
      <c r="I193" s="166">
        <f>I192-I9</f>
        <v>5277333</v>
      </c>
      <c r="J193" s="53"/>
      <c r="L193" s="96">
        <f>I193+J193*EERR!$D$2</f>
        <v>5277333</v>
      </c>
      <c r="M193" s="96">
        <f>L193/EERR!$D$2</f>
        <v>7399.5134604598989</v>
      </c>
      <c r="N193" s="96">
        <f>SUMIF(Ago!$B$3:$B$116,A193,Ago!$V$3:$V$116)</f>
        <v>0</v>
      </c>
      <c r="O193" s="166">
        <f t="shared" ref="O193:O256" si="5">+A193-A192</f>
        <v>0</v>
      </c>
      <c r="P193" s="146"/>
      <c r="R193" s="53">
        <f>R192*0.19</f>
        <v>1348240</v>
      </c>
    </row>
    <row r="194" spans="1:18" x14ac:dyDescent="0.25">
      <c r="H194" s="53" t="s">
        <v>84</v>
      </c>
      <c r="I194" s="166">
        <f>I193*0.19</f>
        <v>1002693.27</v>
      </c>
      <c r="J194" s="53"/>
      <c r="L194" s="96">
        <f>I194+J194*EERR!$D$2</f>
        <v>1002693.27</v>
      </c>
      <c r="M194" s="96">
        <f>L194/EERR!$D$2</f>
        <v>1405.9075574873807</v>
      </c>
      <c r="N194" s="96">
        <f>SUMIF(Ago!$B$3:$B$116,A194,Ago!$V$3:$V$116)</f>
        <v>0</v>
      </c>
      <c r="O194" s="166">
        <f t="shared" si="5"/>
        <v>0</v>
      </c>
      <c r="Q194" s="169"/>
    </row>
    <row r="195" spans="1:18" x14ac:dyDescent="0.25">
      <c r="I195" s="53"/>
      <c r="J195" s="53"/>
      <c r="L195" s="96">
        <f>I195+J195*EERR!$D$2</f>
        <v>0</v>
      </c>
      <c r="M195" s="96">
        <f>L195/EERR!$D$2</f>
        <v>0</v>
      </c>
      <c r="N195" s="96">
        <f>SUMIF(Ago!$B$3:$B$116,A195,Ago!$V$3:$V$116)</f>
        <v>0</v>
      </c>
      <c r="O195" s="166">
        <f t="shared" si="5"/>
        <v>0</v>
      </c>
    </row>
    <row r="196" spans="1:18" x14ac:dyDescent="0.25">
      <c r="I196" s="53"/>
      <c r="J196" s="53"/>
      <c r="L196" s="96">
        <f>I196+J196*EERR!$D$2</f>
        <v>0</v>
      </c>
      <c r="M196" s="96">
        <f>L196/EERR!$D$2</f>
        <v>0</v>
      </c>
      <c r="N196" s="96">
        <f>SUMIF(Ago!$B$3:$B$116,A196,Ago!$V$3:$V$116)</f>
        <v>0</v>
      </c>
      <c r="O196" s="166">
        <f t="shared" si="5"/>
        <v>0</v>
      </c>
    </row>
    <row r="197" spans="1:18" x14ac:dyDescent="0.25">
      <c r="L197" s="96">
        <f>I197+J197*EERR!$D$2</f>
        <v>0</v>
      </c>
      <c r="M197" s="96">
        <f>L197/EERR!$D$2</f>
        <v>0</v>
      </c>
      <c r="N197" s="96">
        <f>SUMIF(Ago!$B$3:$B$116,A197,Ago!$V$3:$V$116)</f>
        <v>0</v>
      </c>
      <c r="O197" s="166">
        <f t="shared" si="5"/>
        <v>0</v>
      </c>
    </row>
    <row r="198" spans="1:18" x14ac:dyDescent="0.25">
      <c r="A198" s="133" t="s">
        <v>87</v>
      </c>
      <c r="B198" s="164" t="s">
        <v>88</v>
      </c>
      <c r="C198" s="133" t="s">
        <v>89</v>
      </c>
      <c r="D198" s="133" t="s">
        <v>90</v>
      </c>
      <c r="E198" s="133" t="s">
        <v>91</v>
      </c>
      <c r="F198" s="133" t="s">
        <v>92</v>
      </c>
      <c r="G198" s="133" t="s">
        <v>93</v>
      </c>
      <c r="H198" s="133" t="s">
        <v>94</v>
      </c>
      <c r="I198" s="135" t="s">
        <v>95</v>
      </c>
      <c r="J198" s="135" t="s">
        <v>96</v>
      </c>
      <c r="K198" s="133" t="s">
        <v>97</v>
      </c>
      <c r="L198" s="96" t="e">
        <f>I198+J198*EERR!$D$2</f>
        <v>#VALUE!</v>
      </c>
      <c r="M198" s="96" t="e">
        <f>L198/EERR!$D$2</f>
        <v>#VALUE!</v>
      </c>
      <c r="N198" s="96">
        <f>SUMIF(Ago!$B$3:$B$116,A198,Ago!$V$3:$V$116)</f>
        <v>0</v>
      </c>
      <c r="O198" s="166" t="e">
        <f t="shared" si="5"/>
        <v>#VALUE!</v>
      </c>
      <c r="P198" s="165" t="s">
        <v>74</v>
      </c>
    </row>
    <row r="199" spans="1:18" x14ac:dyDescent="0.25">
      <c r="A199" s="302">
        <v>1470</v>
      </c>
      <c r="B199" s="303" t="s">
        <v>363</v>
      </c>
      <c r="C199" s="304" t="s">
        <v>234</v>
      </c>
      <c r="D199" s="304" t="s">
        <v>111</v>
      </c>
      <c r="E199" s="304" t="s">
        <v>112</v>
      </c>
      <c r="F199" s="304" t="s">
        <v>116</v>
      </c>
      <c r="G199" s="304" t="s">
        <v>364</v>
      </c>
      <c r="H199" s="304" t="s">
        <v>114</v>
      </c>
      <c r="I199" s="301"/>
      <c r="J199" s="301">
        <v>440</v>
      </c>
      <c r="K199" s="304" t="s">
        <v>365</v>
      </c>
      <c r="L199" s="301">
        <v>301866.39999999997</v>
      </c>
      <c r="M199" s="301">
        <v>440</v>
      </c>
      <c r="N199" s="301">
        <v>0</v>
      </c>
      <c r="O199" s="166" t="e">
        <f t="shared" si="5"/>
        <v>#VALUE!</v>
      </c>
    </row>
    <row r="200" spans="1:18" x14ac:dyDescent="0.25">
      <c r="A200" s="302">
        <v>1471</v>
      </c>
      <c r="B200" s="303" t="s">
        <v>366</v>
      </c>
      <c r="C200" s="304" t="s">
        <v>234</v>
      </c>
      <c r="D200" s="304" t="s">
        <v>111</v>
      </c>
      <c r="E200" s="304" t="s">
        <v>112</v>
      </c>
      <c r="F200" s="304" t="s">
        <v>113</v>
      </c>
      <c r="G200" s="304" t="s">
        <v>367</v>
      </c>
      <c r="H200" s="304" t="s">
        <v>114</v>
      </c>
      <c r="I200" s="301"/>
      <c r="J200" s="301">
        <v>220</v>
      </c>
      <c r="K200" s="304" t="s">
        <v>368</v>
      </c>
      <c r="L200" s="301">
        <v>150933.19999999998</v>
      </c>
      <c r="M200" s="301">
        <v>220</v>
      </c>
      <c r="N200" s="301">
        <v>452799.6</v>
      </c>
      <c r="O200" s="166">
        <f t="shared" si="5"/>
        <v>1</v>
      </c>
    </row>
    <row r="201" spans="1:18" x14ac:dyDescent="0.25">
      <c r="A201" s="302">
        <v>1472</v>
      </c>
      <c r="B201" s="303" t="s">
        <v>369</v>
      </c>
      <c r="C201" s="304" t="s">
        <v>234</v>
      </c>
      <c r="D201" s="304" t="s">
        <v>111</v>
      </c>
      <c r="E201" s="304" t="s">
        <v>112</v>
      </c>
      <c r="F201" s="304" t="s">
        <v>117</v>
      </c>
      <c r="G201" s="304" t="s">
        <v>370</v>
      </c>
      <c r="H201" s="304" t="s">
        <v>114</v>
      </c>
      <c r="I201" s="301"/>
      <c r="J201" s="301">
        <v>220</v>
      </c>
      <c r="K201" s="304" t="s">
        <v>371</v>
      </c>
      <c r="L201" s="301">
        <v>150933.19999999998</v>
      </c>
      <c r="M201" s="301">
        <v>220</v>
      </c>
      <c r="N201" s="301">
        <v>452799.6</v>
      </c>
      <c r="O201" s="166">
        <f t="shared" si="5"/>
        <v>1</v>
      </c>
    </row>
    <row r="202" spans="1:18" x14ac:dyDescent="0.25">
      <c r="A202" s="302">
        <v>1473</v>
      </c>
      <c r="B202" s="303" t="s">
        <v>372</v>
      </c>
      <c r="C202" s="304" t="s">
        <v>234</v>
      </c>
      <c r="D202" s="304" t="s">
        <v>111</v>
      </c>
      <c r="E202" s="304" t="s">
        <v>112</v>
      </c>
      <c r="F202" s="304" t="s">
        <v>117</v>
      </c>
      <c r="G202" s="304" t="s">
        <v>373</v>
      </c>
      <c r="H202" s="304" t="s">
        <v>114</v>
      </c>
      <c r="I202" s="301"/>
      <c r="J202" s="301">
        <v>220</v>
      </c>
      <c r="K202" s="304" t="s">
        <v>374</v>
      </c>
      <c r="L202" s="301">
        <v>150933.19999999998</v>
      </c>
      <c r="M202" s="301">
        <v>220</v>
      </c>
      <c r="N202" s="301">
        <v>0</v>
      </c>
      <c r="O202" s="166">
        <f t="shared" si="5"/>
        <v>1</v>
      </c>
    </row>
    <row r="203" spans="1:18" x14ac:dyDescent="0.25">
      <c r="A203" s="302">
        <v>1474</v>
      </c>
      <c r="B203" s="303" t="s">
        <v>375</v>
      </c>
      <c r="C203" s="304" t="s">
        <v>234</v>
      </c>
      <c r="D203" s="304" t="s">
        <v>111</v>
      </c>
      <c r="E203" s="304" t="s">
        <v>112</v>
      </c>
      <c r="F203" s="304" t="s">
        <v>113</v>
      </c>
      <c r="G203" s="304" t="s">
        <v>327</v>
      </c>
      <c r="H203" s="304" t="s">
        <v>114</v>
      </c>
      <c r="I203" s="301"/>
      <c r="J203" s="301">
        <v>1025</v>
      </c>
      <c r="K203" s="304" t="s">
        <v>376</v>
      </c>
      <c r="L203" s="301">
        <v>703211.5</v>
      </c>
      <c r="M203" s="301">
        <v>1025</v>
      </c>
      <c r="N203" s="301">
        <v>0</v>
      </c>
      <c r="O203" s="166">
        <f t="shared" si="5"/>
        <v>1</v>
      </c>
    </row>
    <row r="204" spans="1:18" x14ac:dyDescent="0.25">
      <c r="A204" s="302">
        <v>1475</v>
      </c>
      <c r="B204" s="303" t="s">
        <v>377</v>
      </c>
      <c r="C204" s="304" t="s">
        <v>233</v>
      </c>
      <c r="D204" s="304" t="s">
        <v>111</v>
      </c>
      <c r="E204" s="304" t="s">
        <v>115</v>
      </c>
      <c r="F204" s="304" t="s">
        <v>113</v>
      </c>
      <c r="G204" s="304" t="s">
        <v>325</v>
      </c>
      <c r="H204" s="304" t="s">
        <v>115</v>
      </c>
      <c r="I204" s="301">
        <v>20000</v>
      </c>
      <c r="J204" s="301"/>
      <c r="K204" s="304" t="s">
        <v>378</v>
      </c>
      <c r="L204" s="301">
        <v>20000</v>
      </c>
      <c r="M204" s="301">
        <v>29.151969215520509</v>
      </c>
      <c r="N204" s="301">
        <v>0</v>
      </c>
      <c r="O204" s="166">
        <f t="shared" si="5"/>
        <v>1</v>
      </c>
    </row>
    <row r="205" spans="1:18" x14ac:dyDescent="0.25">
      <c r="A205" s="302">
        <v>1476</v>
      </c>
      <c r="B205" s="303" t="s">
        <v>379</v>
      </c>
      <c r="C205" s="304" t="s">
        <v>233</v>
      </c>
      <c r="D205" s="304" t="s">
        <v>111</v>
      </c>
      <c r="E205" s="304" t="s">
        <v>115</v>
      </c>
      <c r="F205" s="304" t="s">
        <v>113</v>
      </c>
      <c r="G205" s="304" t="s">
        <v>325</v>
      </c>
      <c r="H205" s="304" t="s">
        <v>115</v>
      </c>
      <c r="I205" s="301">
        <v>18000</v>
      </c>
      <c r="J205" s="301"/>
      <c r="K205" s="304" t="s">
        <v>380</v>
      </c>
      <c r="L205" s="301">
        <v>18000</v>
      </c>
      <c r="M205" s="301">
        <v>26.23677229396846</v>
      </c>
      <c r="N205" s="301">
        <v>0</v>
      </c>
      <c r="O205" s="166">
        <f t="shared" si="5"/>
        <v>1</v>
      </c>
    </row>
    <row r="206" spans="1:18" x14ac:dyDescent="0.25">
      <c r="A206" s="302">
        <v>1477</v>
      </c>
      <c r="B206" s="303" t="s">
        <v>381</v>
      </c>
      <c r="C206" s="304" t="s">
        <v>233</v>
      </c>
      <c r="D206" s="304" t="s">
        <v>111</v>
      </c>
      <c r="E206" s="304" t="s">
        <v>115</v>
      </c>
      <c r="F206" s="304" t="s">
        <v>116</v>
      </c>
      <c r="G206" s="304" t="s">
        <v>382</v>
      </c>
      <c r="H206" s="304" t="s">
        <v>115</v>
      </c>
      <c r="I206" s="301">
        <v>178286</v>
      </c>
      <c r="J206" s="301"/>
      <c r="K206" s="304" t="s">
        <v>383</v>
      </c>
      <c r="L206" s="301">
        <v>178286</v>
      </c>
      <c r="M206" s="301">
        <v>259.86939917791449</v>
      </c>
      <c r="N206" s="301">
        <v>0</v>
      </c>
      <c r="O206" s="166">
        <f t="shared" si="5"/>
        <v>1</v>
      </c>
    </row>
    <row r="207" spans="1:18" x14ac:dyDescent="0.25">
      <c r="A207" s="302">
        <v>1478</v>
      </c>
      <c r="B207" s="303" t="s">
        <v>384</v>
      </c>
      <c r="C207" s="304" t="s">
        <v>234</v>
      </c>
      <c r="D207" s="304" t="s">
        <v>111</v>
      </c>
      <c r="E207" s="304" t="s">
        <v>112</v>
      </c>
      <c r="F207" s="304" t="s">
        <v>117</v>
      </c>
      <c r="G207" s="304" t="s">
        <v>385</v>
      </c>
      <c r="H207" s="304" t="s">
        <v>114</v>
      </c>
      <c r="I207" s="301"/>
      <c r="J207" s="301">
        <v>205</v>
      </c>
      <c r="K207" s="304" t="s">
        <v>386</v>
      </c>
      <c r="L207" s="301">
        <v>140642.29999999999</v>
      </c>
      <c r="M207" s="301">
        <v>205</v>
      </c>
      <c r="N207" s="301">
        <v>0</v>
      </c>
      <c r="O207" s="166">
        <f t="shared" si="5"/>
        <v>1</v>
      </c>
    </row>
    <row r="208" spans="1:18" x14ac:dyDescent="0.25">
      <c r="A208" s="302">
        <v>1479</v>
      </c>
      <c r="B208" s="303" t="s">
        <v>387</v>
      </c>
      <c r="C208" s="304" t="s">
        <v>234</v>
      </c>
      <c r="D208" s="304" t="s">
        <v>111</v>
      </c>
      <c r="E208" s="304" t="s">
        <v>112</v>
      </c>
      <c r="F208" s="304" t="s">
        <v>117</v>
      </c>
      <c r="G208" s="304" t="s">
        <v>388</v>
      </c>
      <c r="H208" s="304" t="s">
        <v>114</v>
      </c>
      <c r="I208" s="301"/>
      <c r="J208" s="301">
        <v>220</v>
      </c>
      <c r="K208" s="304" t="s">
        <v>389</v>
      </c>
      <c r="L208" s="301">
        <v>150933.19999999998</v>
      </c>
      <c r="M208" s="301">
        <v>220</v>
      </c>
      <c r="N208" s="301">
        <v>0</v>
      </c>
      <c r="O208" s="166">
        <f t="shared" si="5"/>
        <v>1</v>
      </c>
    </row>
    <row r="209" spans="1:17" x14ac:dyDescent="0.25">
      <c r="A209" s="302">
        <v>1480</v>
      </c>
      <c r="B209" s="303" t="s">
        <v>390</v>
      </c>
      <c r="C209" s="304" t="s">
        <v>234</v>
      </c>
      <c r="D209" s="304" t="s">
        <v>111</v>
      </c>
      <c r="E209" s="304" t="s">
        <v>112</v>
      </c>
      <c r="F209" s="304" t="s">
        <v>116</v>
      </c>
      <c r="G209" s="304" t="s">
        <v>329</v>
      </c>
      <c r="H209" s="304" t="s">
        <v>114</v>
      </c>
      <c r="I209" s="301"/>
      <c r="J209" s="301">
        <v>209</v>
      </c>
      <c r="K209" s="304" t="s">
        <v>391</v>
      </c>
      <c r="L209" s="301">
        <v>143386.53999999998</v>
      </c>
      <c r="M209" s="301">
        <v>209</v>
      </c>
      <c r="N209" s="301">
        <v>0</v>
      </c>
      <c r="O209" s="166">
        <f t="shared" si="5"/>
        <v>1</v>
      </c>
    </row>
    <row r="210" spans="1:17" x14ac:dyDescent="0.25">
      <c r="A210" s="302">
        <v>1481</v>
      </c>
      <c r="B210" s="303" t="s">
        <v>392</v>
      </c>
      <c r="C210" s="304" t="s">
        <v>233</v>
      </c>
      <c r="D210" s="304" t="s">
        <v>111</v>
      </c>
      <c r="E210" s="304" t="s">
        <v>115</v>
      </c>
      <c r="F210" s="304" t="s">
        <v>117</v>
      </c>
      <c r="G210" s="304" t="s">
        <v>349</v>
      </c>
      <c r="H210" s="304" t="s">
        <v>115</v>
      </c>
      <c r="I210" s="301">
        <v>12000</v>
      </c>
      <c r="J210" s="301"/>
      <c r="K210" s="304" t="s">
        <v>393</v>
      </c>
      <c r="L210" s="301">
        <v>12000</v>
      </c>
      <c r="M210" s="301">
        <v>17.491181529312307</v>
      </c>
      <c r="N210" s="301">
        <v>0</v>
      </c>
      <c r="O210" s="166">
        <f t="shared" si="5"/>
        <v>1</v>
      </c>
    </row>
    <row r="211" spans="1:17" x14ac:dyDescent="0.25">
      <c r="A211" s="302">
        <v>1482</v>
      </c>
      <c r="B211" s="303" t="s">
        <v>394</v>
      </c>
      <c r="C211" s="304" t="s">
        <v>234</v>
      </c>
      <c r="D211" s="304" t="s">
        <v>111</v>
      </c>
      <c r="E211" s="304" t="s">
        <v>112</v>
      </c>
      <c r="F211" s="304" t="s">
        <v>117</v>
      </c>
      <c r="G211" s="304" t="s">
        <v>330</v>
      </c>
      <c r="H211" s="304" t="s">
        <v>114</v>
      </c>
      <c r="I211" s="301"/>
      <c r="J211" s="301">
        <v>880</v>
      </c>
      <c r="K211" s="304" t="s">
        <v>395</v>
      </c>
      <c r="L211" s="301">
        <v>603732.79999999993</v>
      </c>
      <c r="M211" s="301">
        <v>880</v>
      </c>
      <c r="N211" s="301">
        <v>0</v>
      </c>
      <c r="O211" s="166">
        <f t="shared" si="5"/>
        <v>1</v>
      </c>
    </row>
    <row r="212" spans="1:17" x14ac:dyDescent="0.25">
      <c r="A212" s="302">
        <v>1483</v>
      </c>
      <c r="B212" s="303" t="s">
        <v>396</v>
      </c>
      <c r="C212" s="304" t="s">
        <v>234</v>
      </c>
      <c r="D212" s="304" t="s">
        <v>111</v>
      </c>
      <c r="E212" s="304" t="s">
        <v>112</v>
      </c>
      <c r="F212" s="304" t="s">
        <v>117</v>
      </c>
      <c r="G212" s="304" t="s">
        <v>330</v>
      </c>
      <c r="H212" s="304" t="s">
        <v>114</v>
      </c>
      <c r="I212" s="301"/>
      <c r="J212" s="301">
        <v>220</v>
      </c>
      <c r="K212" s="304" t="s">
        <v>397</v>
      </c>
      <c r="L212" s="301">
        <v>150933.19999999998</v>
      </c>
      <c r="M212" s="301">
        <v>220</v>
      </c>
      <c r="N212" s="301">
        <v>0</v>
      </c>
      <c r="O212" s="166">
        <f t="shared" si="5"/>
        <v>1</v>
      </c>
    </row>
    <row r="213" spans="1:17" x14ac:dyDescent="0.25">
      <c r="A213" s="302">
        <v>1484</v>
      </c>
      <c r="B213" s="303" t="s">
        <v>398</v>
      </c>
      <c r="C213" s="304" t="s">
        <v>234</v>
      </c>
      <c r="D213" s="304" t="s">
        <v>111</v>
      </c>
      <c r="E213" s="304" t="s">
        <v>112</v>
      </c>
      <c r="F213" s="304" t="s">
        <v>117</v>
      </c>
      <c r="G213" s="304" t="s">
        <v>339</v>
      </c>
      <c r="H213" s="304" t="s">
        <v>114</v>
      </c>
      <c r="I213" s="301"/>
      <c r="J213" s="301">
        <v>425</v>
      </c>
      <c r="K213" s="304" t="s">
        <v>399</v>
      </c>
      <c r="L213" s="301">
        <v>291575.5</v>
      </c>
      <c r="M213" s="301">
        <v>425.00000000000006</v>
      </c>
      <c r="N213" s="301">
        <v>0</v>
      </c>
      <c r="O213" s="166">
        <f t="shared" si="5"/>
        <v>1</v>
      </c>
    </row>
    <row r="214" spans="1:17" x14ac:dyDescent="0.25">
      <c r="A214" s="302">
        <v>1485</v>
      </c>
      <c r="B214" s="303" t="s">
        <v>403</v>
      </c>
      <c r="C214" s="304" t="s">
        <v>234</v>
      </c>
      <c r="D214" s="304" t="s">
        <v>111</v>
      </c>
      <c r="E214" s="304" t="s">
        <v>112</v>
      </c>
      <c r="F214" s="304" t="s">
        <v>116</v>
      </c>
      <c r="G214" s="304" t="s">
        <v>332</v>
      </c>
      <c r="H214" s="304" t="s">
        <v>114</v>
      </c>
      <c r="I214" s="301"/>
      <c r="J214" s="301">
        <v>660</v>
      </c>
      <c r="K214" s="304" t="s">
        <v>404</v>
      </c>
      <c r="L214" s="301">
        <v>452799.6</v>
      </c>
      <c r="M214" s="301">
        <v>660</v>
      </c>
      <c r="N214" s="301">
        <v>0</v>
      </c>
      <c r="O214" s="166">
        <f t="shared" si="5"/>
        <v>1</v>
      </c>
      <c r="Q214" s="53" t="s">
        <v>167</v>
      </c>
    </row>
    <row r="215" spans="1:17" x14ac:dyDescent="0.25">
      <c r="A215" s="302">
        <v>1486</v>
      </c>
      <c r="B215" s="303" t="s">
        <v>405</v>
      </c>
      <c r="C215" s="304" t="s">
        <v>234</v>
      </c>
      <c r="D215" s="304" t="s">
        <v>111</v>
      </c>
      <c r="E215" s="304" t="s">
        <v>112</v>
      </c>
      <c r="F215" s="304" t="s">
        <v>117</v>
      </c>
      <c r="G215" s="304" t="s">
        <v>347</v>
      </c>
      <c r="H215" s="304" t="s">
        <v>114</v>
      </c>
      <c r="I215" s="301"/>
      <c r="J215" s="301">
        <v>220</v>
      </c>
      <c r="K215" s="304" t="s">
        <v>406</v>
      </c>
      <c r="L215" s="301">
        <v>150933.19999999998</v>
      </c>
      <c r="M215" s="301">
        <v>220</v>
      </c>
      <c r="N215" s="301">
        <v>0</v>
      </c>
      <c r="O215" s="166">
        <f t="shared" si="5"/>
        <v>1</v>
      </c>
    </row>
    <row r="216" spans="1:17" x14ac:dyDescent="0.25">
      <c r="A216" s="302">
        <v>1487</v>
      </c>
      <c r="B216" s="303" t="s">
        <v>407</v>
      </c>
      <c r="C216" s="304" t="s">
        <v>234</v>
      </c>
      <c r="D216" s="304" t="s">
        <v>111</v>
      </c>
      <c r="E216" s="304" t="s">
        <v>112</v>
      </c>
      <c r="F216" s="304" t="s">
        <v>116</v>
      </c>
      <c r="G216" s="304" t="s">
        <v>331</v>
      </c>
      <c r="H216" s="304" t="s">
        <v>114</v>
      </c>
      <c r="I216" s="301"/>
      <c r="J216" s="301">
        <v>440</v>
      </c>
      <c r="K216" s="304" t="s">
        <v>408</v>
      </c>
      <c r="L216" s="301">
        <v>301866.39999999997</v>
      </c>
      <c r="M216" s="301">
        <v>440</v>
      </c>
      <c r="N216" s="301">
        <v>0</v>
      </c>
      <c r="O216" s="166">
        <f t="shared" si="5"/>
        <v>1</v>
      </c>
    </row>
    <row r="217" spans="1:17" x14ac:dyDescent="0.25">
      <c r="A217" s="302">
        <v>1488</v>
      </c>
      <c r="B217" s="303" t="s">
        <v>400</v>
      </c>
      <c r="C217" s="304" t="s">
        <v>234</v>
      </c>
      <c r="D217" s="304" t="s">
        <v>111</v>
      </c>
      <c r="E217" s="304" t="s">
        <v>112</v>
      </c>
      <c r="F217" s="304" t="s">
        <v>116</v>
      </c>
      <c r="G217" s="304" t="s">
        <v>401</v>
      </c>
      <c r="H217" s="304" t="s">
        <v>114</v>
      </c>
      <c r="I217" s="301"/>
      <c r="J217" s="301">
        <v>660</v>
      </c>
      <c r="K217" s="304" t="s">
        <v>402</v>
      </c>
      <c r="L217" s="301">
        <v>452799.6</v>
      </c>
      <c r="M217" s="301">
        <v>660</v>
      </c>
      <c r="N217" s="301">
        <v>0</v>
      </c>
      <c r="O217" s="166">
        <f t="shared" si="5"/>
        <v>1</v>
      </c>
    </row>
    <row r="218" spans="1:17" x14ac:dyDescent="0.25">
      <c r="A218" s="302">
        <v>1489</v>
      </c>
      <c r="B218" s="303" t="s">
        <v>409</v>
      </c>
      <c r="C218" s="304" t="s">
        <v>234</v>
      </c>
      <c r="D218" s="304" t="s">
        <v>111</v>
      </c>
      <c r="E218" s="304" t="s">
        <v>112</v>
      </c>
      <c r="F218" s="304" t="s">
        <v>117</v>
      </c>
      <c r="G218" s="304" t="s">
        <v>334</v>
      </c>
      <c r="H218" s="304" t="s">
        <v>114</v>
      </c>
      <c r="I218" s="301"/>
      <c r="J218" s="301">
        <v>820</v>
      </c>
      <c r="K218" s="304" t="s">
        <v>410</v>
      </c>
      <c r="L218" s="301">
        <v>562569.19999999995</v>
      </c>
      <c r="M218" s="301">
        <v>820</v>
      </c>
      <c r="N218" s="301">
        <v>0</v>
      </c>
      <c r="O218" s="166">
        <f t="shared" si="5"/>
        <v>1</v>
      </c>
    </row>
    <row r="219" spans="1:17" x14ac:dyDescent="0.25">
      <c r="A219" s="302">
        <v>1490</v>
      </c>
      <c r="B219" s="303" t="s">
        <v>411</v>
      </c>
      <c r="C219" s="304" t="s">
        <v>234</v>
      </c>
      <c r="D219" s="304" t="s">
        <v>111</v>
      </c>
      <c r="E219" s="304" t="s">
        <v>112</v>
      </c>
      <c r="F219" s="304" t="s">
        <v>116</v>
      </c>
      <c r="G219" s="304" t="s">
        <v>412</v>
      </c>
      <c r="H219" s="304" t="s">
        <v>114</v>
      </c>
      <c r="I219" s="301"/>
      <c r="J219" s="301">
        <v>209</v>
      </c>
      <c r="K219" s="304" t="s">
        <v>413</v>
      </c>
      <c r="L219" s="301">
        <v>143386.53999999998</v>
      </c>
      <c r="M219" s="301">
        <v>209</v>
      </c>
      <c r="N219" s="301">
        <v>0</v>
      </c>
      <c r="O219" s="166">
        <f t="shared" si="5"/>
        <v>1</v>
      </c>
    </row>
    <row r="220" spans="1:17" x14ac:dyDescent="0.25">
      <c r="A220" s="302">
        <v>1491</v>
      </c>
      <c r="B220" s="303" t="s">
        <v>414</v>
      </c>
      <c r="C220" s="304" t="s">
        <v>234</v>
      </c>
      <c r="D220" s="304" t="s">
        <v>111</v>
      </c>
      <c r="E220" s="304" t="s">
        <v>112</v>
      </c>
      <c r="F220" s="304" t="s">
        <v>116</v>
      </c>
      <c r="G220" s="304" t="s">
        <v>333</v>
      </c>
      <c r="H220" s="304" t="s">
        <v>114</v>
      </c>
      <c r="I220" s="301"/>
      <c r="J220" s="301">
        <v>1230</v>
      </c>
      <c r="K220" s="304" t="s">
        <v>415</v>
      </c>
      <c r="L220" s="301">
        <v>843853.79999999993</v>
      </c>
      <c r="M220" s="301">
        <v>1230</v>
      </c>
      <c r="N220" s="301">
        <v>0</v>
      </c>
      <c r="O220" s="166">
        <f t="shared" si="5"/>
        <v>1</v>
      </c>
    </row>
    <row r="221" spans="1:17" x14ac:dyDescent="0.25">
      <c r="A221" s="302">
        <v>1492</v>
      </c>
      <c r="B221" s="303" t="s">
        <v>416</v>
      </c>
      <c r="C221" s="304" t="s">
        <v>233</v>
      </c>
      <c r="D221" s="304" t="s">
        <v>111</v>
      </c>
      <c r="E221" s="304" t="s">
        <v>115</v>
      </c>
      <c r="F221" s="304" t="s">
        <v>117</v>
      </c>
      <c r="G221" s="304" t="s">
        <v>417</v>
      </c>
      <c r="H221" s="304" t="s">
        <v>115</v>
      </c>
      <c r="I221" s="301">
        <v>177500</v>
      </c>
      <c r="J221" s="301"/>
      <c r="K221" s="304" t="s">
        <v>418</v>
      </c>
      <c r="L221" s="301">
        <v>177500</v>
      </c>
      <c r="M221" s="301">
        <v>258.72372678774451</v>
      </c>
      <c r="N221" s="301">
        <v>362038</v>
      </c>
      <c r="O221" s="166">
        <f t="shared" si="5"/>
        <v>1</v>
      </c>
      <c r="Q221" s="53" t="s">
        <v>168</v>
      </c>
    </row>
    <row r="222" spans="1:17" x14ac:dyDescent="0.25">
      <c r="A222" s="302">
        <v>1493</v>
      </c>
      <c r="B222" s="303" t="s">
        <v>423</v>
      </c>
      <c r="C222" s="304" t="s">
        <v>234</v>
      </c>
      <c r="D222" s="304" t="s">
        <v>111</v>
      </c>
      <c r="E222" s="304" t="s">
        <v>112</v>
      </c>
      <c r="F222" s="304" t="s">
        <v>116</v>
      </c>
      <c r="G222" s="304" t="s">
        <v>332</v>
      </c>
      <c r="H222" s="304" t="s">
        <v>114</v>
      </c>
      <c r="I222" s="301"/>
      <c r="J222" s="301">
        <v>104.5</v>
      </c>
      <c r="K222" s="304" t="s">
        <v>424</v>
      </c>
      <c r="L222" s="301">
        <v>71693.26999999999</v>
      </c>
      <c r="M222" s="301">
        <v>104.5</v>
      </c>
      <c r="N222" s="301">
        <v>0</v>
      </c>
      <c r="O222" s="166">
        <f t="shared" si="5"/>
        <v>1</v>
      </c>
    </row>
    <row r="223" spans="1:17" x14ac:dyDescent="0.25">
      <c r="A223" s="302">
        <v>1494</v>
      </c>
      <c r="B223" s="303" t="s">
        <v>425</v>
      </c>
      <c r="C223" s="304" t="s">
        <v>234</v>
      </c>
      <c r="D223" s="304" t="s">
        <v>111</v>
      </c>
      <c r="E223" s="304" t="s">
        <v>112</v>
      </c>
      <c r="F223" s="304" t="s">
        <v>116</v>
      </c>
      <c r="G223" s="304" t="s">
        <v>426</v>
      </c>
      <c r="H223" s="304" t="s">
        <v>114</v>
      </c>
      <c r="I223" s="301"/>
      <c r="J223" s="301">
        <v>205</v>
      </c>
      <c r="K223" s="304" t="s">
        <v>427</v>
      </c>
      <c r="L223" s="301">
        <v>140642.29999999999</v>
      </c>
      <c r="M223" s="301">
        <v>205</v>
      </c>
      <c r="N223" s="301">
        <v>281284.59999999998</v>
      </c>
      <c r="O223" s="166">
        <f t="shared" si="5"/>
        <v>1</v>
      </c>
    </row>
    <row r="224" spans="1:17" x14ac:dyDescent="0.25">
      <c r="A224" s="302">
        <v>1495</v>
      </c>
      <c r="B224" s="303" t="s">
        <v>419</v>
      </c>
      <c r="C224" s="304" t="s">
        <v>234</v>
      </c>
      <c r="D224" s="304" t="s">
        <v>111</v>
      </c>
      <c r="E224" s="304" t="s">
        <v>112</v>
      </c>
      <c r="F224" s="304" t="s">
        <v>116</v>
      </c>
      <c r="G224" s="304" t="s">
        <v>420</v>
      </c>
      <c r="H224" s="304" t="s">
        <v>114</v>
      </c>
      <c r="I224" s="301"/>
      <c r="J224" s="301">
        <v>1000</v>
      </c>
      <c r="K224" s="304" t="s">
        <v>421</v>
      </c>
      <c r="L224" s="301">
        <v>686060</v>
      </c>
      <c r="M224" s="301">
        <v>1000.0000000000001</v>
      </c>
      <c r="N224" s="301">
        <v>0</v>
      </c>
      <c r="O224" s="166">
        <f t="shared" si="5"/>
        <v>1</v>
      </c>
    </row>
    <row r="225" spans="1:15" x14ac:dyDescent="0.25">
      <c r="A225" s="302">
        <v>1496</v>
      </c>
      <c r="B225" s="303" t="s">
        <v>419</v>
      </c>
      <c r="C225" s="304" t="s">
        <v>234</v>
      </c>
      <c r="D225" s="304" t="s">
        <v>111</v>
      </c>
      <c r="E225" s="304" t="s">
        <v>112</v>
      </c>
      <c r="F225" s="304" t="s">
        <v>116</v>
      </c>
      <c r="G225" s="304" t="s">
        <v>420</v>
      </c>
      <c r="H225" s="304" t="s">
        <v>114</v>
      </c>
      <c r="I225" s="301"/>
      <c r="J225" s="301">
        <v>540</v>
      </c>
      <c r="K225" s="304" t="s">
        <v>422</v>
      </c>
      <c r="L225" s="301">
        <v>370472.39999999997</v>
      </c>
      <c r="M225" s="301">
        <v>540</v>
      </c>
      <c r="N225" s="301">
        <v>0</v>
      </c>
      <c r="O225" s="166">
        <f t="shared" si="5"/>
        <v>1</v>
      </c>
    </row>
    <row r="226" spans="1:15" x14ac:dyDescent="0.25">
      <c r="A226" s="302">
        <v>1497</v>
      </c>
      <c r="B226" s="303" t="s">
        <v>428</v>
      </c>
      <c r="C226" s="304" t="s">
        <v>234</v>
      </c>
      <c r="D226" s="304" t="s">
        <v>111</v>
      </c>
      <c r="E226" s="304" t="s">
        <v>112</v>
      </c>
      <c r="F226" s="304" t="s">
        <v>117</v>
      </c>
      <c r="G226" s="304" t="s">
        <v>335</v>
      </c>
      <c r="H226" s="304" t="s">
        <v>114</v>
      </c>
      <c r="I226" s="301"/>
      <c r="J226" s="301">
        <v>1254</v>
      </c>
      <c r="K226" s="304" t="s">
        <v>429</v>
      </c>
      <c r="L226" s="301">
        <v>860319.23999999987</v>
      </c>
      <c r="M226" s="301">
        <v>1254</v>
      </c>
      <c r="N226" s="301">
        <v>0</v>
      </c>
      <c r="O226" s="166">
        <f t="shared" si="5"/>
        <v>1</v>
      </c>
    </row>
    <row r="227" spans="1:15" x14ac:dyDescent="0.25">
      <c r="A227" s="302">
        <v>1498</v>
      </c>
      <c r="B227" s="303" t="s">
        <v>432</v>
      </c>
      <c r="C227" s="304" t="s">
        <v>234</v>
      </c>
      <c r="D227" s="304" t="s">
        <v>111</v>
      </c>
      <c r="E227" s="304" t="s">
        <v>112</v>
      </c>
      <c r="F227" s="304" t="s">
        <v>113</v>
      </c>
      <c r="G227" s="304" t="s">
        <v>433</v>
      </c>
      <c r="H227" s="304" t="s">
        <v>114</v>
      </c>
      <c r="I227" s="301"/>
      <c r="J227" s="301">
        <v>228</v>
      </c>
      <c r="K227" s="304" t="s">
        <v>434</v>
      </c>
      <c r="L227" s="301">
        <v>156421.68</v>
      </c>
      <c r="M227" s="301">
        <v>228</v>
      </c>
      <c r="N227" s="301">
        <v>0</v>
      </c>
      <c r="O227" s="166">
        <f t="shared" si="5"/>
        <v>1</v>
      </c>
    </row>
    <row r="228" spans="1:15" x14ac:dyDescent="0.25">
      <c r="A228" s="302">
        <v>1499</v>
      </c>
      <c r="B228" s="303" t="s">
        <v>435</v>
      </c>
      <c r="C228" s="304" t="s">
        <v>234</v>
      </c>
      <c r="D228" s="304" t="s">
        <v>111</v>
      </c>
      <c r="E228" s="304" t="s">
        <v>112</v>
      </c>
      <c r="F228" s="304" t="s">
        <v>116</v>
      </c>
      <c r="G228" s="304" t="s">
        <v>436</v>
      </c>
      <c r="H228" s="304" t="s">
        <v>114</v>
      </c>
      <c r="I228" s="301"/>
      <c r="J228" s="301">
        <v>209</v>
      </c>
      <c r="K228" s="304" t="s">
        <v>437</v>
      </c>
      <c r="L228" s="301">
        <v>143386.53999999998</v>
      </c>
      <c r="M228" s="301">
        <v>209</v>
      </c>
      <c r="N228" s="301">
        <v>480241.99999999994</v>
      </c>
      <c r="O228" s="166">
        <f t="shared" si="5"/>
        <v>1</v>
      </c>
    </row>
    <row r="229" spans="1:15" x14ac:dyDescent="0.25">
      <c r="A229" s="302">
        <v>1500</v>
      </c>
      <c r="B229" s="303" t="s">
        <v>430</v>
      </c>
      <c r="C229" s="304" t="s">
        <v>234</v>
      </c>
      <c r="D229" s="304" t="s">
        <v>111</v>
      </c>
      <c r="E229" s="304" t="s">
        <v>112</v>
      </c>
      <c r="F229" s="304" t="s">
        <v>116</v>
      </c>
      <c r="G229" s="304" t="s">
        <v>420</v>
      </c>
      <c r="H229" s="304" t="s">
        <v>114</v>
      </c>
      <c r="I229" s="301"/>
      <c r="J229" s="301">
        <v>480</v>
      </c>
      <c r="K229" s="304" t="s">
        <v>431</v>
      </c>
      <c r="L229" s="301">
        <v>329308.79999999999</v>
      </c>
      <c r="M229" s="301">
        <v>480</v>
      </c>
      <c r="N229" s="301">
        <v>0</v>
      </c>
      <c r="O229" s="166">
        <f t="shared" si="5"/>
        <v>1</v>
      </c>
    </row>
    <row r="230" spans="1:15" x14ac:dyDescent="0.25">
      <c r="A230" s="302">
        <v>1501</v>
      </c>
      <c r="B230" s="303" t="s">
        <v>438</v>
      </c>
      <c r="C230" s="304" t="s">
        <v>234</v>
      </c>
      <c r="D230" s="304" t="s">
        <v>111</v>
      </c>
      <c r="E230" s="304" t="s">
        <v>112</v>
      </c>
      <c r="F230" s="304" t="s">
        <v>117</v>
      </c>
      <c r="G230" s="304" t="s">
        <v>439</v>
      </c>
      <c r="H230" s="304" t="s">
        <v>114</v>
      </c>
      <c r="I230" s="301"/>
      <c r="J230" s="301">
        <v>195</v>
      </c>
      <c r="K230" s="304" t="s">
        <v>440</v>
      </c>
      <c r="L230" s="301">
        <v>133781.69999999998</v>
      </c>
      <c r="M230" s="301">
        <v>195</v>
      </c>
      <c r="N230" s="301">
        <v>133781.69999999998</v>
      </c>
      <c r="O230" s="166">
        <f t="shared" si="5"/>
        <v>1</v>
      </c>
    </row>
    <row r="231" spans="1:15" x14ac:dyDescent="0.25">
      <c r="A231" s="302">
        <v>1502</v>
      </c>
      <c r="B231" s="303" t="s">
        <v>441</v>
      </c>
      <c r="C231" s="304" t="s">
        <v>233</v>
      </c>
      <c r="D231" s="304" t="s">
        <v>111</v>
      </c>
      <c r="E231" s="304" t="s">
        <v>115</v>
      </c>
      <c r="F231" s="304" t="s">
        <v>116</v>
      </c>
      <c r="G231" s="304" t="s">
        <v>442</v>
      </c>
      <c r="H231" s="304" t="s">
        <v>115</v>
      </c>
      <c r="I231" s="301">
        <v>180380</v>
      </c>
      <c r="J231" s="301"/>
      <c r="K231" s="304" t="s">
        <v>443</v>
      </c>
      <c r="L231" s="301">
        <v>180380</v>
      </c>
      <c r="M231" s="301">
        <v>262.92161035477949</v>
      </c>
      <c r="N231" s="301">
        <v>555277</v>
      </c>
      <c r="O231" s="166">
        <f t="shared" si="5"/>
        <v>1</v>
      </c>
    </row>
    <row r="232" spans="1:15" x14ac:dyDescent="0.25">
      <c r="A232" s="302">
        <v>1503</v>
      </c>
      <c r="B232" s="303" t="s">
        <v>444</v>
      </c>
      <c r="C232" s="304" t="s">
        <v>233</v>
      </c>
      <c r="D232" s="304" t="s">
        <v>111</v>
      </c>
      <c r="E232" s="304" t="s">
        <v>115</v>
      </c>
      <c r="F232" s="304" t="s">
        <v>116</v>
      </c>
      <c r="G232" s="304" t="s">
        <v>445</v>
      </c>
      <c r="H232" s="304" t="s">
        <v>115</v>
      </c>
      <c r="I232" s="301">
        <v>179333</v>
      </c>
      <c r="J232" s="301"/>
      <c r="K232" s="304" t="s">
        <v>446</v>
      </c>
      <c r="L232" s="301">
        <v>179333</v>
      </c>
      <c r="M232" s="301">
        <v>261.39550476634696</v>
      </c>
      <c r="N232" s="301">
        <v>375944</v>
      </c>
      <c r="O232" s="166">
        <f t="shared" si="5"/>
        <v>1</v>
      </c>
    </row>
    <row r="233" spans="1:15" x14ac:dyDescent="0.25">
      <c r="A233" s="302">
        <v>1504</v>
      </c>
      <c r="B233" s="303" t="s">
        <v>447</v>
      </c>
      <c r="C233" s="304" t="s">
        <v>234</v>
      </c>
      <c r="D233" s="304" t="s">
        <v>111</v>
      </c>
      <c r="E233" s="304" t="s">
        <v>112</v>
      </c>
      <c r="F233" s="304" t="s">
        <v>117</v>
      </c>
      <c r="G233" s="304" t="s">
        <v>448</v>
      </c>
      <c r="H233" s="304" t="s">
        <v>114</v>
      </c>
      <c r="I233" s="301"/>
      <c r="J233" s="301">
        <v>220</v>
      </c>
      <c r="K233" s="304" t="s">
        <v>449</v>
      </c>
      <c r="L233" s="301">
        <v>150933.19999999998</v>
      </c>
      <c r="M233" s="301">
        <v>220</v>
      </c>
      <c r="N233" s="301">
        <v>150933.19999999998</v>
      </c>
      <c r="O233" s="166">
        <f t="shared" si="5"/>
        <v>1</v>
      </c>
    </row>
    <row r="234" spans="1:15" x14ac:dyDescent="0.25">
      <c r="A234" s="302">
        <v>1505</v>
      </c>
      <c r="B234" s="303" t="s">
        <v>447</v>
      </c>
      <c r="C234" s="304" t="s">
        <v>234</v>
      </c>
      <c r="D234" s="304" t="s">
        <v>111</v>
      </c>
      <c r="E234" s="304" t="s">
        <v>112</v>
      </c>
      <c r="F234" s="304" t="s">
        <v>117</v>
      </c>
      <c r="G234" s="304" t="s">
        <v>450</v>
      </c>
      <c r="H234" s="304" t="s">
        <v>114</v>
      </c>
      <c r="I234" s="301"/>
      <c r="J234" s="301">
        <v>205</v>
      </c>
      <c r="K234" s="304" t="s">
        <v>451</v>
      </c>
      <c r="L234" s="301">
        <v>140642.29999999999</v>
      </c>
      <c r="M234" s="301">
        <v>205</v>
      </c>
      <c r="N234" s="301">
        <v>0</v>
      </c>
      <c r="O234" s="166">
        <f t="shared" si="5"/>
        <v>1</v>
      </c>
    </row>
    <row r="235" spans="1:15" x14ac:dyDescent="0.25">
      <c r="A235" s="302">
        <v>1506</v>
      </c>
      <c r="B235" s="303" t="s">
        <v>452</v>
      </c>
      <c r="C235" s="304" t="s">
        <v>233</v>
      </c>
      <c r="D235" s="304" t="s">
        <v>111</v>
      </c>
      <c r="E235" s="304" t="s">
        <v>115</v>
      </c>
      <c r="F235" s="304" t="s">
        <v>116</v>
      </c>
      <c r="G235" s="304" t="s">
        <v>350</v>
      </c>
      <c r="H235" s="304" t="s">
        <v>115</v>
      </c>
      <c r="I235" s="301">
        <v>1173816</v>
      </c>
      <c r="J235" s="301"/>
      <c r="K235" s="304" t="s">
        <v>453</v>
      </c>
      <c r="L235" s="301">
        <v>1173816</v>
      </c>
      <c r="M235" s="301">
        <v>1710.9523948342712</v>
      </c>
      <c r="N235" s="301">
        <v>0</v>
      </c>
      <c r="O235" s="166">
        <f t="shared" si="5"/>
        <v>1</v>
      </c>
    </row>
    <row r="236" spans="1:15" x14ac:dyDescent="0.25">
      <c r="A236" s="302">
        <v>1507</v>
      </c>
      <c r="B236" s="303" t="s">
        <v>454</v>
      </c>
      <c r="C236" s="304" t="s">
        <v>234</v>
      </c>
      <c r="D236" s="304" t="s">
        <v>111</v>
      </c>
      <c r="E236" s="304" t="s">
        <v>112</v>
      </c>
      <c r="F236" s="304" t="s">
        <v>117</v>
      </c>
      <c r="G236" s="304" t="s">
        <v>455</v>
      </c>
      <c r="H236" s="304" t="s">
        <v>114</v>
      </c>
      <c r="I236" s="301"/>
      <c r="J236" s="301">
        <v>220</v>
      </c>
      <c r="K236" s="304" t="s">
        <v>456</v>
      </c>
      <c r="L236" s="301">
        <v>150933.19999999998</v>
      </c>
      <c r="M236" s="301">
        <v>220</v>
      </c>
      <c r="N236" s="301">
        <v>768387.2</v>
      </c>
      <c r="O236" s="166">
        <f t="shared" si="5"/>
        <v>1</v>
      </c>
    </row>
    <row r="237" spans="1:15" x14ac:dyDescent="0.25">
      <c r="A237" s="302">
        <v>1508</v>
      </c>
      <c r="B237" s="303" t="s">
        <v>457</v>
      </c>
      <c r="C237" s="304" t="s">
        <v>234</v>
      </c>
      <c r="D237" s="304" t="s">
        <v>111</v>
      </c>
      <c r="E237" s="304" t="s">
        <v>112</v>
      </c>
      <c r="F237" s="304" t="s">
        <v>117</v>
      </c>
      <c r="G237" s="304" t="s">
        <v>458</v>
      </c>
      <c r="H237" s="304" t="s">
        <v>114</v>
      </c>
      <c r="I237" s="301"/>
      <c r="J237" s="301">
        <v>209</v>
      </c>
      <c r="K237" s="304" t="s">
        <v>459</v>
      </c>
      <c r="L237" s="301">
        <v>143386.53999999998</v>
      </c>
      <c r="M237" s="301">
        <v>209</v>
      </c>
      <c r="N237" s="301">
        <v>768387.2</v>
      </c>
      <c r="O237" s="166">
        <f t="shared" si="5"/>
        <v>1</v>
      </c>
    </row>
    <row r="238" spans="1:15" x14ac:dyDescent="0.25">
      <c r="A238" s="302">
        <v>1509</v>
      </c>
      <c r="B238" s="303" t="s">
        <v>460</v>
      </c>
      <c r="C238" s="304" t="s">
        <v>234</v>
      </c>
      <c r="D238" s="304" t="s">
        <v>111</v>
      </c>
      <c r="E238" s="304" t="s">
        <v>112</v>
      </c>
      <c r="F238" s="304" t="s">
        <v>116</v>
      </c>
      <c r="G238" s="304" t="s">
        <v>461</v>
      </c>
      <c r="H238" s="304" t="s">
        <v>114</v>
      </c>
      <c r="I238" s="301"/>
      <c r="J238" s="301">
        <v>418</v>
      </c>
      <c r="K238" s="304" t="s">
        <v>462</v>
      </c>
      <c r="L238" s="301">
        <v>286773.07999999996</v>
      </c>
      <c r="M238" s="301">
        <v>418</v>
      </c>
      <c r="N238" s="301">
        <v>0</v>
      </c>
      <c r="O238" s="166">
        <f t="shared" si="5"/>
        <v>1</v>
      </c>
    </row>
    <row r="239" spans="1:15" x14ac:dyDescent="0.25">
      <c r="A239" s="302">
        <v>1510</v>
      </c>
      <c r="B239" s="303" t="s">
        <v>463</v>
      </c>
      <c r="C239" s="304" t="s">
        <v>234</v>
      </c>
      <c r="D239" s="304" t="s">
        <v>111</v>
      </c>
      <c r="E239" s="304" t="s">
        <v>112</v>
      </c>
      <c r="F239" s="304" t="s">
        <v>116</v>
      </c>
      <c r="G239" s="304" t="s">
        <v>464</v>
      </c>
      <c r="H239" s="304" t="s">
        <v>114</v>
      </c>
      <c r="I239" s="301"/>
      <c r="J239" s="301">
        <v>240</v>
      </c>
      <c r="K239" s="304" t="s">
        <v>465</v>
      </c>
      <c r="L239" s="301">
        <v>164654.39999999999</v>
      </c>
      <c r="M239" s="301">
        <v>240</v>
      </c>
      <c r="N239" s="301">
        <v>0</v>
      </c>
      <c r="O239" s="166">
        <f t="shared" si="5"/>
        <v>1</v>
      </c>
    </row>
    <row r="240" spans="1:15" x14ac:dyDescent="0.25">
      <c r="A240" s="302">
        <v>1511</v>
      </c>
      <c r="B240" s="303" t="s">
        <v>466</v>
      </c>
      <c r="C240" s="304" t="s">
        <v>234</v>
      </c>
      <c r="D240" s="304" t="s">
        <v>111</v>
      </c>
      <c r="E240" s="304" t="s">
        <v>112</v>
      </c>
      <c r="F240" s="304" t="s">
        <v>117</v>
      </c>
      <c r="G240" s="304" t="s">
        <v>467</v>
      </c>
      <c r="H240" s="304" t="s">
        <v>114</v>
      </c>
      <c r="I240" s="301"/>
      <c r="J240" s="301">
        <v>228</v>
      </c>
      <c r="K240" s="304" t="s">
        <v>468</v>
      </c>
      <c r="L240" s="301">
        <v>156421.68</v>
      </c>
      <c r="M240" s="301">
        <v>228</v>
      </c>
      <c r="N240" s="301">
        <v>0</v>
      </c>
      <c r="O240" s="166">
        <f t="shared" si="5"/>
        <v>1</v>
      </c>
    </row>
    <row r="241" spans="1:17" x14ac:dyDescent="0.25">
      <c r="A241" s="302">
        <v>1512</v>
      </c>
      <c r="B241" s="303" t="s">
        <v>469</v>
      </c>
      <c r="C241" s="304" t="s">
        <v>233</v>
      </c>
      <c r="D241" s="304" t="s">
        <v>111</v>
      </c>
      <c r="E241" s="304" t="s">
        <v>115</v>
      </c>
      <c r="F241" s="304" t="s">
        <v>116</v>
      </c>
      <c r="G241" s="304" t="s">
        <v>470</v>
      </c>
      <c r="H241" s="304" t="s">
        <v>115</v>
      </c>
      <c r="I241" s="301">
        <v>158490</v>
      </c>
      <c r="J241" s="301"/>
      <c r="K241" s="304" t="s">
        <v>471</v>
      </c>
      <c r="L241" s="301">
        <v>158490</v>
      </c>
      <c r="M241" s="301">
        <v>231.01478004839228</v>
      </c>
      <c r="N241" s="301">
        <v>158490</v>
      </c>
      <c r="O241" s="166">
        <f t="shared" si="5"/>
        <v>1</v>
      </c>
      <c r="Q241" s="209">
        <v>1</v>
      </c>
    </row>
    <row r="242" spans="1:17" x14ac:dyDescent="0.25">
      <c r="A242" s="302">
        <v>1513</v>
      </c>
      <c r="B242" s="303" t="s">
        <v>474</v>
      </c>
      <c r="C242" s="304" t="s">
        <v>234</v>
      </c>
      <c r="D242" s="304" t="s">
        <v>111</v>
      </c>
      <c r="E242" s="304" t="s">
        <v>112</v>
      </c>
      <c r="F242" s="304" t="s">
        <v>117</v>
      </c>
      <c r="G242" s="304" t="s">
        <v>475</v>
      </c>
      <c r="H242" s="304" t="s">
        <v>114</v>
      </c>
      <c r="I242" s="301"/>
      <c r="J242" s="301">
        <v>205</v>
      </c>
      <c r="K242" s="304" t="s">
        <v>476</v>
      </c>
      <c r="L242" s="301">
        <v>140642.29999999999</v>
      </c>
      <c r="M242" s="301">
        <v>205</v>
      </c>
      <c r="N242" s="301">
        <v>281284.59999999998</v>
      </c>
      <c r="O242" s="166">
        <f t="shared" si="5"/>
        <v>1</v>
      </c>
    </row>
    <row r="243" spans="1:17" x14ac:dyDescent="0.25">
      <c r="A243" s="302">
        <v>1514</v>
      </c>
      <c r="B243" s="303" t="s">
        <v>477</v>
      </c>
      <c r="C243" s="304" t="s">
        <v>234</v>
      </c>
      <c r="D243" s="304" t="s">
        <v>111</v>
      </c>
      <c r="E243" s="304" t="s">
        <v>112</v>
      </c>
      <c r="F243" s="304" t="s">
        <v>116</v>
      </c>
      <c r="G243" s="304" t="s">
        <v>337</v>
      </c>
      <c r="H243" s="304" t="s">
        <v>114</v>
      </c>
      <c r="I243" s="301"/>
      <c r="J243" s="301">
        <v>1120</v>
      </c>
      <c r="K243" s="304" t="s">
        <v>478</v>
      </c>
      <c r="L243" s="301">
        <v>768387.2</v>
      </c>
      <c r="M243" s="301">
        <v>1120</v>
      </c>
      <c r="N243" s="301">
        <v>0</v>
      </c>
      <c r="O243" s="166">
        <f t="shared" si="5"/>
        <v>1</v>
      </c>
    </row>
    <row r="244" spans="1:17" x14ac:dyDescent="0.25">
      <c r="A244" s="302">
        <v>1515</v>
      </c>
      <c r="B244" s="303" t="s">
        <v>472</v>
      </c>
      <c r="C244" s="304" t="s">
        <v>234</v>
      </c>
      <c r="D244" s="304" t="s">
        <v>111</v>
      </c>
      <c r="E244" s="304" t="s">
        <v>112</v>
      </c>
      <c r="F244" s="304" t="s">
        <v>116</v>
      </c>
      <c r="G244" s="304" t="s">
        <v>353</v>
      </c>
      <c r="H244" s="304" t="s">
        <v>114</v>
      </c>
      <c r="I244" s="301"/>
      <c r="J244" s="301">
        <v>1120</v>
      </c>
      <c r="K244" s="304" t="s">
        <v>473</v>
      </c>
      <c r="L244" s="301">
        <v>768387.2</v>
      </c>
      <c r="M244" s="301">
        <v>1120</v>
      </c>
      <c r="N244" s="301">
        <v>0</v>
      </c>
      <c r="O244" s="166">
        <f t="shared" si="5"/>
        <v>1</v>
      </c>
    </row>
    <row r="245" spans="1:17" x14ac:dyDescent="0.25">
      <c r="A245" s="302">
        <v>1516</v>
      </c>
      <c r="B245" s="303" t="s">
        <v>479</v>
      </c>
      <c r="C245" s="304" t="s">
        <v>233</v>
      </c>
      <c r="D245" s="304" t="s">
        <v>111</v>
      </c>
      <c r="E245" s="304" t="s">
        <v>115</v>
      </c>
      <c r="F245" s="304" t="s">
        <v>116</v>
      </c>
      <c r="G245" s="304" t="s">
        <v>480</v>
      </c>
      <c r="H245" s="304" t="s">
        <v>115</v>
      </c>
      <c r="I245" s="301">
        <v>370623</v>
      </c>
      <c r="J245" s="301"/>
      <c r="K245" s="304" t="s">
        <v>481</v>
      </c>
      <c r="L245" s="301">
        <v>370623</v>
      </c>
      <c r="M245" s="301">
        <v>540.21951432819287</v>
      </c>
      <c r="N245" s="301">
        <v>0</v>
      </c>
      <c r="O245" s="166">
        <f t="shared" si="5"/>
        <v>1</v>
      </c>
    </row>
    <row r="246" spans="1:17" x14ac:dyDescent="0.25">
      <c r="A246" s="302">
        <v>1517</v>
      </c>
      <c r="B246" s="303" t="s">
        <v>482</v>
      </c>
      <c r="C246" s="304" t="s">
        <v>234</v>
      </c>
      <c r="D246" s="304" t="s">
        <v>111</v>
      </c>
      <c r="E246" s="304" t="s">
        <v>112</v>
      </c>
      <c r="F246" s="304" t="s">
        <v>117</v>
      </c>
      <c r="G246" s="304" t="s">
        <v>338</v>
      </c>
      <c r="H246" s="304" t="s">
        <v>114</v>
      </c>
      <c r="I246" s="301"/>
      <c r="J246" s="301">
        <v>680</v>
      </c>
      <c r="K246" s="304" t="s">
        <v>483</v>
      </c>
      <c r="L246" s="301">
        <v>466520.8</v>
      </c>
      <c r="M246" s="301">
        <v>680</v>
      </c>
      <c r="N246" s="301">
        <v>0</v>
      </c>
      <c r="O246" s="166">
        <f t="shared" si="5"/>
        <v>1</v>
      </c>
    </row>
    <row r="247" spans="1:17" x14ac:dyDescent="0.25">
      <c r="A247" s="302">
        <v>1518</v>
      </c>
      <c r="B247" s="303" t="s">
        <v>484</v>
      </c>
      <c r="C247" s="304" t="s">
        <v>234</v>
      </c>
      <c r="D247" s="304" t="s">
        <v>111</v>
      </c>
      <c r="E247" s="304" t="s">
        <v>112</v>
      </c>
      <c r="F247" s="304" t="s">
        <v>116</v>
      </c>
      <c r="G247" s="304" t="s">
        <v>485</v>
      </c>
      <c r="H247" s="304" t="s">
        <v>114</v>
      </c>
      <c r="I247" s="301"/>
      <c r="J247" s="301">
        <v>220</v>
      </c>
      <c r="K247" s="304" t="s">
        <v>486</v>
      </c>
      <c r="L247" s="301">
        <v>150933.19999999998</v>
      </c>
      <c r="M247" s="301">
        <v>220</v>
      </c>
      <c r="N247" s="301">
        <v>809550.79999999993</v>
      </c>
      <c r="O247" s="166">
        <f t="shared" si="5"/>
        <v>1</v>
      </c>
    </row>
    <row r="248" spans="1:17" x14ac:dyDescent="0.25">
      <c r="A248" s="302">
        <v>1519</v>
      </c>
      <c r="B248" s="303" t="s">
        <v>487</v>
      </c>
      <c r="C248" s="304" t="s">
        <v>234</v>
      </c>
      <c r="D248" s="304" t="s">
        <v>111</v>
      </c>
      <c r="E248" s="304" t="s">
        <v>112</v>
      </c>
      <c r="F248" s="304" t="s">
        <v>117</v>
      </c>
      <c r="G248" s="304" t="s">
        <v>488</v>
      </c>
      <c r="H248" s="304" t="s">
        <v>114</v>
      </c>
      <c r="I248" s="301"/>
      <c r="J248" s="301">
        <v>220</v>
      </c>
      <c r="K248" s="304" t="s">
        <v>489</v>
      </c>
      <c r="L248" s="301">
        <v>150933.19999999998</v>
      </c>
      <c r="M248" s="301">
        <v>220</v>
      </c>
      <c r="N248" s="301">
        <v>480241.99999999994</v>
      </c>
      <c r="O248" s="166">
        <f t="shared" si="5"/>
        <v>1</v>
      </c>
    </row>
    <row r="249" spans="1:17" x14ac:dyDescent="0.25">
      <c r="A249" s="302">
        <v>1520</v>
      </c>
      <c r="B249" s="303" t="s">
        <v>487</v>
      </c>
      <c r="C249" s="304" t="s">
        <v>234</v>
      </c>
      <c r="D249" s="304" t="s">
        <v>111</v>
      </c>
      <c r="E249" s="304" t="s">
        <v>112</v>
      </c>
      <c r="F249" s="304" t="s">
        <v>117</v>
      </c>
      <c r="G249" s="304" t="s">
        <v>488</v>
      </c>
      <c r="H249" s="304" t="s">
        <v>114</v>
      </c>
      <c r="I249" s="301"/>
      <c r="J249" s="301">
        <v>220</v>
      </c>
      <c r="K249" s="304" t="s">
        <v>490</v>
      </c>
      <c r="L249" s="301">
        <v>150933.19999999998</v>
      </c>
      <c r="M249" s="301">
        <v>220</v>
      </c>
      <c r="N249" s="301">
        <v>480241.99999999994</v>
      </c>
      <c r="O249" s="166">
        <f t="shared" si="5"/>
        <v>1</v>
      </c>
    </row>
    <row r="250" spans="1:17" x14ac:dyDescent="0.25">
      <c r="A250" s="302">
        <v>1521</v>
      </c>
      <c r="B250" s="303" t="s">
        <v>491</v>
      </c>
      <c r="C250" s="304" t="s">
        <v>233</v>
      </c>
      <c r="D250" s="304" t="s">
        <v>111</v>
      </c>
      <c r="E250" s="304" t="s">
        <v>115</v>
      </c>
      <c r="F250" s="304" t="s">
        <v>117</v>
      </c>
      <c r="G250" s="304" t="s">
        <v>492</v>
      </c>
      <c r="H250" s="304" t="s">
        <v>115</v>
      </c>
      <c r="I250" s="301">
        <v>194494</v>
      </c>
      <c r="J250" s="301"/>
      <c r="K250" s="304" t="s">
        <v>493</v>
      </c>
      <c r="L250" s="301">
        <v>194494</v>
      </c>
      <c r="M250" s="301">
        <v>283.49415503017229</v>
      </c>
      <c r="N250" s="301">
        <v>808820</v>
      </c>
      <c r="O250" s="166">
        <f t="shared" si="5"/>
        <v>1</v>
      </c>
    </row>
    <row r="251" spans="1:17" x14ac:dyDescent="0.25">
      <c r="A251" s="302">
        <v>1522</v>
      </c>
      <c r="B251" s="303" t="s">
        <v>494</v>
      </c>
      <c r="C251" s="304" t="s">
        <v>233</v>
      </c>
      <c r="D251" s="304" t="s">
        <v>111</v>
      </c>
      <c r="E251" s="304" t="s">
        <v>115</v>
      </c>
      <c r="F251" s="304" t="s">
        <v>116</v>
      </c>
      <c r="G251" s="304" t="s">
        <v>480</v>
      </c>
      <c r="H251" s="304" t="s">
        <v>115</v>
      </c>
      <c r="I251" s="301">
        <v>2000</v>
      </c>
      <c r="J251" s="301"/>
      <c r="K251" s="304" t="s">
        <v>495</v>
      </c>
      <c r="L251" s="301">
        <v>2000</v>
      </c>
      <c r="M251" s="301">
        <v>2.915196921552051</v>
      </c>
      <c r="N251" s="301">
        <v>0</v>
      </c>
      <c r="O251" s="166">
        <f t="shared" si="5"/>
        <v>1</v>
      </c>
    </row>
    <row r="252" spans="1:17" x14ac:dyDescent="0.25">
      <c r="A252" s="302">
        <v>1523</v>
      </c>
      <c r="B252" s="303" t="s">
        <v>496</v>
      </c>
      <c r="C252" s="304" t="s">
        <v>234</v>
      </c>
      <c r="D252" s="304" t="s">
        <v>111</v>
      </c>
      <c r="E252" s="304" t="s">
        <v>112</v>
      </c>
      <c r="F252" s="304" t="s">
        <v>116</v>
      </c>
      <c r="G252" s="304" t="s">
        <v>341</v>
      </c>
      <c r="H252" s="304" t="s">
        <v>114</v>
      </c>
      <c r="I252" s="301"/>
      <c r="J252" s="301">
        <v>270</v>
      </c>
      <c r="K252" s="304" t="s">
        <v>497</v>
      </c>
      <c r="L252" s="301">
        <v>185236.19999999998</v>
      </c>
      <c r="M252" s="301">
        <v>270</v>
      </c>
      <c r="N252" s="301">
        <v>0</v>
      </c>
      <c r="O252" s="166">
        <f t="shared" si="5"/>
        <v>1</v>
      </c>
    </row>
    <row r="253" spans="1:17" x14ac:dyDescent="0.25">
      <c r="A253" s="302">
        <v>1524</v>
      </c>
      <c r="B253" s="303" t="s">
        <v>498</v>
      </c>
      <c r="C253" s="304" t="s">
        <v>234</v>
      </c>
      <c r="D253" s="304" t="s">
        <v>111</v>
      </c>
      <c r="E253" s="304" t="s">
        <v>112</v>
      </c>
      <c r="F253" s="304" t="s">
        <v>116</v>
      </c>
      <c r="G253" s="304" t="s">
        <v>499</v>
      </c>
      <c r="H253" s="304" t="s">
        <v>114</v>
      </c>
      <c r="I253" s="301"/>
      <c r="J253" s="301">
        <v>240</v>
      </c>
      <c r="K253" s="304" t="s">
        <v>500</v>
      </c>
      <c r="L253" s="301">
        <v>164654.39999999999</v>
      </c>
      <c r="M253" s="301">
        <v>240</v>
      </c>
      <c r="N253" s="301">
        <v>627744.89999999991</v>
      </c>
      <c r="O253" s="166">
        <f t="shared" si="5"/>
        <v>1</v>
      </c>
    </row>
    <row r="254" spans="1:17" x14ac:dyDescent="0.25">
      <c r="A254" s="302">
        <v>1525</v>
      </c>
      <c r="B254" s="303" t="s">
        <v>501</v>
      </c>
      <c r="C254" s="304" t="s">
        <v>233</v>
      </c>
      <c r="D254" s="304" t="s">
        <v>111</v>
      </c>
      <c r="E254" s="304" t="s">
        <v>115</v>
      </c>
      <c r="F254" s="304" t="s">
        <v>117</v>
      </c>
      <c r="G254" s="304" t="s">
        <v>502</v>
      </c>
      <c r="H254" s="304" t="s">
        <v>115</v>
      </c>
      <c r="I254" s="301">
        <v>193922</v>
      </c>
      <c r="J254" s="301"/>
      <c r="K254" s="304" t="s">
        <v>503</v>
      </c>
      <c r="L254" s="301">
        <v>193922</v>
      </c>
      <c r="M254" s="301">
        <v>282.66040871060841</v>
      </c>
      <c r="N254" s="301">
        <v>598331</v>
      </c>
      <c r="O254" s="166">
        <f t="shared" si="5"/>
        <v>1</v>
      </c>
    </row>
    <row r="255" spans="1:17" x14ac:dyDescent="0.25">
      <c r="A255" s="302">
        <v>1526</v>
      </c>
      <c r="B255" s="303" t="s">
        <v>504</v>
      </c>
      <c r="C255" s="304" t="s">
        <v>234</v>
      </c>
      <c r="D255" s="304" t="s">
        <v>111</v>
      </c>
      <c r="E255" s="304" t="s">
        <v>112</v>
      </c>
      <c r="F255" s="304" t="s">
        <v>116</v>
      </c>
      <c r="G255" s="304" t="s">
        <v>505</v>
      </c>
      <c r="H255" s="304" t="s">
        <v>114</v>
      </c>
      <c r="I255" s="301"/>
      <c r="J255" s="301">
        <v>195</v>
      </c>
      <c r="K255" s="304" t="s">
        <v>506</v>
      </c>
      <c r="L255" s="301">
        <v>133781.69999999998</v>
      </c>
      <c r="M255" s="301">
        <v>195</v>
      </c>
      <c r="N255" s="301">
        <v>0</v>
      </c>
      <c r="O255" s="166">
        <f t="shared" si="5"/>
        <v>1</v>
      </c>
    </row>
    <row r="256" spans="1:17" x14ac:dyDescent="0.25">
      <c r="A256" s="302">
        <v>1527</v>
      </c>
      <c r="B256" s="303" t="s">
        <v>507</v>
      </c>
      <c r="C256" s="304" t="s">
        <v>234</v>
      </c>
      <c r="D256" s="304" t="s">
        <v>111</v>
      </c>
      <c r="E256" s="304" t="s">
        <v>112</v>
      </c>
      <c r="F256" s="304" t="s">
        <v>116</v>
      </c>
      <c r="G256" s="304" t="s">
        <v>508</v>
      </c>
      <c r="H256" s="304" t="s">
        <v>114</v>
      </c>
      <c r="I256" s="301"/>
      <c r="J256" s="301">
        <v>195</v>
      </c>
      <c r="K256" s="304" t="s">
        <v>509</v>
      </c>
      <c r="L256" s="301">
        <v>133781.69999999998</v>
      </c>
      <c r="M256" s="301">
        <v>195</v>
      </c>
      <c r="N256" s="301">
        <v>0</v>
      </c>
      <c r="O256" s="166">
        <f t="shared" si="5"/>
        <v>1</v>
      </c>
    </row>
    <row r="257" spans="1:16" x14ac:dyDescent="0.25">
      <c r="A257" s="302">
        <v>1528</v>
      </c>
      <c r="B257" s="303" t="s">
        <v>510</v>
      </c>
      <c r="C257" s="304" t="s">
        <v>234</v>
      </c>
      <c r="D257" s="304" t="s">
        <v>111</v>
      </c>
      <c r="E257" s="304" t="s">
        <v>112</v>
      </c>
      <c r="F257" s="304" t="s">
        <v>117</v>
      </c>
      <c r="G257" s="304" t="s">
        <v>511</v>
      </c>
      <c r="H257" s="304" t="s">
        <v>114</v>
      </c>
      <c r="I257" s="301"/>
      <c r="J257" s="301">
        <v>660</v>
      </c>
      <c r="K257" s="304" t="s">
        <v>512</v>
      </c>
      <c r="L257" s="301">
        <v>452799.6</v>
      </c>
      <c r="M257" s="301">
        <v>660</v>
      </c>
      <c r="N257" s="301">
        <v>0</v>
      </c>
      <c r="O257" s="166">
        <f t="shared" ref="O257:O273" si="6">+A257-A256</f>
        <v>1</v>
      </c>
    </row>
    <row r="258" spans="1:16" x14ac:dyDescent="0.25">
      <c r="A258" s="302">
        <v>1529</v>
      </c>
      <c r="B258" s="303" t="s">
        <v>513</v>
      </c>
      <c r="C258" s="304" t="s">
        <v>234</v>
      </c>
      <c r="D258" s="304" t="s">
        <v>111</v>
      </c>
      <c r="E258" s="304" t="s">
        <v>112</v>
      </c>
      <c r="F258" s="304" t="s">
        <v>116</v>
      </c>
      <c r="G258" s="304" t="s">
        <v>514</v>
      </c>
      <c r="H258" s="304" t="s">
        <v>114</v>
      </c>
      <c r="I258" s="301"/>
      <c r="J258" s="301">
        <v>220</v>
      </c>
      <c r="K258" s="304" t="s">
        <v>515</v>
      </c>
      <c r="L258" s="301">
        <v>150933.19999999998</v>
      </c>
      <c r="M258" s="301">
        <v>220</v>
      </c>
      <c r="N258" s="301">
        <v>0</v>
      </c>
      <c r="O258" s="166">
        <f t="shared" si="6"/>
        <v>1</v>
      </c>
    </row>
    <row r="259" spans="1:16" x14ac:dyDescent="0.25">
      <c r="A259" s="302">
        <v>1530</v>
      </c>
      <c r="B259" s="303" t="s">
        <v>516</v>
      </c>
      <c r="C259" s="304" t="s">
        <v>233</v>
      </c>
      <c r="D259" s="304" t="s">
        <v>111</v>
      </c>
      <c r="E259" s="304" t="s">
        <v>115</v>
      </c>
      <c r="F259" s="304" t="s">
        <v>116</v>
      </c>
      <c r="G259" s="304" t="s">
        <v>342</v>
      </c>
      <c r="H259" s="304" t="s">
        <v>115</v>
      </c>
      <c r="I259" s="301">
        <v>356572</v>
      </c>
      <c r="J259" s="301"/>
      <c r="K259" s="304" t="s">
        <v>517</v>
      </c>
      <c r="L259" s="301">
        <v>356572</v>
      </c>
      <c r="M259" s="301">
        <v>519.73879835582898</v>
      </c>
      <c r="N259" s="301">
        <v>0</v>
      </c>
      <c r="O259" s="166">
        <f t="shared" si="6"/>
        <v>1</v>
      </c>
      <c r="P259" s="53" t="s">
        <v>244</v>
      </c>
    </row>
    <row r="260" spans="1:16" x14ac:dyDescent="0.25">
      <c r="A260" s="302">
        <v>1531</v>
      </c>
      <c r="B260" s="303" t="s">
        <v>518</v>
      </c>
      <c r="C260" s="304" t="s">
        <v>234</v>
      </c>
      <c r="D260" s="304" t="s">
        <v>111</v>
      </c>
      <c r="E260" s="304" t="s">
        <v>112</v>
      </c>
      <c r="F260" s="304" t="s">
        <v>117</v>
      </c>
      <c r="G260" s="304" t="s">
        <v>343</v>
      </c>
      <c r="H260" s="304" t="s">
        <v>114</v>
      </c>
      <c r="I260" s="301"/>
      <c r="J260" s="301">
        <v>220</v>
      </c>
      <c r="K260" s="304" t="s">
        <v>519</v>
      </c>
      <c r="L260" s="301">
        <v>150933.19999999998</v>
      </c>
      <c r="M260" s="301">
        <v>220</v>
      </c>
      <c r="N260" s="301">
        <v>0</v>
      </c>
      <c r="O260" s="166">
        <f t="shared" si="6"/>
        <v>1</v>
      </c>
    </row>
    <row r="261" spans="1:16" x14ac:dyDescent="0.25">
      <c r="A261" s="302">
        <v>1532</v>
      </c>
      <c r="B261" s="303" t="s">
        <v>520</v>
      </c>
      <c r="C261" s="304" t="s">
        <v>233</v>
      </c>
      <c r="D261" s="304" t="s">
        <v>111</v>
      </c>
      <c r="E261" s="304" t="s">
        <v>115</v>
      </c>
      <c r="F261" s="304" t="s">
        <v>116</v>
      </c>
      <c r="G261" s="304" t="s">
        <v>382</v>
      </c>
      <c r="H261" s="304" t="s">
        <v>115</v>
      </c>
      <c r="I261" s="301">
        <v>178548</v>
      </c>
      <c r="J261" s="301"/>
      <c r="K261" s="304" t="s">
        <v>521</v>
      </c>
      <c r="L261" s="301">
        <v>178548</v>
      </c>
      <c r="M261" s="301">
        <v>260.25128997463781</v>
      </c>
      <c r="N261" s="301">
        <v>0</v>
      </c>
      <c r="O261" s="166">
        <f t="shared" si="6"/>
        <v>1</v>
      </c>
    </row>
    <row r="262" spans="1:16" x14ac:dyDescent="0.25">
      <c r="A262" s="302">
        <v>1533</v>
      </c>
      <c r="B262" s="303" t="s">
        <v>522</v>
      </c>
      <c r="C262" s="304" t="s">
        <v>234</v>
      </c>
      <c r="D262" s="304" t="s">
        <v>111</v>
      </c>
      <c r="E262" s="304" t="s">
        <v>112</v>
      </c>
      <c r="F262" s="304" t="s">
        <v>113</v>
      </c>
      <c r="G262" s="304" t="s">
        <v>523</v>
      </c>
      <c r="H262" s="304" t="s">
        <v>114</v>
      </c>
      <c r="I262" s="301"/>
      <c r="J262" s="301">
        <v>240</v>
      </c>
      <c r="K262" s="304" t="s">
        <v>524</v>
      </c>
      <c r="L262" s="301">
        <v>164654.39999999999</v>
      </c>
      <c r="M262" s="301">
        <v>240</v>
      </c>
      <c r="N262" s="301">
        <v>795829.6</v>
      </c>
      <c r="O262" s="166">
        <f t="shared" si="6"/>
        <v>1</v>
      </c>
    </row>
    <row r="263" spans="1:16" x14ac:dyDescent="0.25">
      <c r="A263" s="302">
        <v>1534</v>
      </c>
      <c r="B263" s="303" t="s">
        <v>525</v>
      </c>
      <c r="C263" s="304" t="s">
        <v>234</v>
      </c>
      <c r="D263" s="304" t="s">
        <v>111</v>
      </c>
      <c r="E263" s="304" t="s">
        <v>112</v>
      </c>
      <c r="F263" s="304" t="s">
        <v>117</v>
      </c>
      <c r="G263" s="304" t="s">
        <v>526</v>
      </c>
      <c r="H263" s="304" t="s">
        <v>114</v>
      </c>
      <c r="I263" s="301"/>
      <c r="J263" s="301">
        <v>480</v>
      </c>
      <c r="K263" s="304" t="s">
        <v>527</v>
      </c>
      <c r="L263" s="301">
        <v>329308.79999999999</v>
      </c>
      <c r="M263" s="301">
        <v>480</v>
      </c>
      <c r="N263" s="301">
        <v>926180.99999999988</v>
      </c>
      <c r="O263" s="166">
        <f t="shared" si="6"/>
        <v>1</v>
      </c>
    </row>
    <row r="264" spans="1:16" x14ac:dyDescent="0.25">
      <c r="A264" s="302">
        <v>1535</v>
      </c>
      <c r="B264" s="303" t="s">
        <v>528</v>
      </c>
      <c r="C264" s="304" t="s">
        <v>234</v>
      </c>
      <c r="D264" s="304" t="s">
        <v>111</v>
      </c>
      <c r="E264" s="304" t="s">
        <v>112</v>
      </c>
      <c r="F264" s="304" t="s">
        <v>117</v>
      </c>
      <c r="G264" s="304" t="s">
        <v>529</v>
      </c>
      <c r="H264" s="304" t="s">
        <v>114</v>
      </c>
      <c r="I264" s="301"/>
      <c r="J264" s="301">
        <v>195</v>
      </c>
      <c r="K264" s="304" t="s">
        <v>530</v>
      </c>
      <c r="L264" s="301">
        <v>133781.69999999998</v>
      </c>
      <c r="M264" s="301">
        <v>195</v>
      </c>
      <c r="N264" s="301">
        <v>401345.1</v>
      </c>
      <c r="O264" s="166">
        <f t="shared" si="6"/>
        <v>1</v>
      </c>
    </row>
    <row r="265" spans="1:16" x14ac:dyDescent="0.25">
      <c r="A265" s="302">
        <v>1536</v>
      </c>
      <c r="B265" s="303" t="s">
        <v>531</v>
      </c>
      <c r="C265" s="304" t="s">
        <v>233</v>
      </c>
      <c r="D265" s="304" t="s">
        <v>111</v>
      </c>
      <c r="E265" s="304" t="s">
        <v>115</v>
      </c>
      <c r="F265" s="304" t="s">
        <v>117</v>
      </c>
      <c r="G265" s="304" t="s">
        <v>340</v>
      </c>
      <c r="H265" s="304" t="s">
        <v>115</v>
      </c>
      <c r="I265" s="301">
        <v>56000</v>
      </c>
      <c r="J265" s="301"/>
      <c r="K265" s="304" t="s">
        <v>532</v>
      </c>
      <c r="L265" s="301">
        <v>56000</v>
      </c>
      <c r="M265" s="301">
        <v>81.625513803457423</v>
      </c>
      <c r="N265" s="301">
        <v>0</v>
      </c>
      <c r="O265" s="166">
        <f t="shared" si="6"/>
        <v>1</v>
      </c>
    </row>
    <row r="266" spans="1:16" x14ac:dyDescent="0.25">
      <c r="A266" s="302">
        <v>1537</v>
      </c>
      <c r="B266" s="303" t="s">
        <v>533</v>
      </c>
      <c r="C266" s="304" t="s">
        <v>234</v>
      </c>
      <c r="D266" s="304" t="s">
        <v>111</v>
      </c>
      <c r="E266" s="304" t="s">
        <v>112</v>
      </c>
      <c r="F266" s="304" t="s">
        <v>117</v>
      </c>
      <c r="G266" s="304" t="s">
        <v>534</v>
      </c>
      <c r="H266" s="304" t="s">
        <v>114</v>
      </c>
      <c r="I266" s="301"/>
      <c r="J266" s="301">
        <v>220</v>
      </c>
      <c r="K266" s="304" t="s">
        <v>535</v>
      </c>
      <c r="L266" s="301">
        <v>150933.19999999998</v>
      </c>
      <c r="M266" s="301">
        <v>220</v>
      </c>
      <c r="N266" s="301">
        <v>0</v>
      </c>
      <c r="O266" s="166">
        <f t="shared" si="6"/>
        <v>1</v>
      </c>
    </row>
    <row r="267" spans="1:16" x14ac:dyDescent="0.25">
      <c r="A267" s="302">
        <v>1538</v>
      </c>
      <c r="B267" s="303" t="s">
        <v>536</v>
      </c>
      <c r="C267" s="304" t="s">
        <v>234</v>
      </c>
      <c r="D267" s="304" t="s">
        <v>111</v>
      </c>
      <c r="E267" s="304" t="s">
        <v>112</v>
      </c>
      <c r="F267" s="304" t="s">
        <v>117</v>
      </c>
      <c r="G267" s="304" t="s">
        <v>537</v>
      </c>
      <c r="H267" s="304" t="s">
        <v>114</v>
      </c>
      <c r="I267" s="301"/>
      <c r="J267" s="301">
        <v>1760</v>
      </c>
      <c r="K267" s="304" t="s">
        <v>538</v>
      </c>
      <c r="L267" s="301">
        <v>1207465.5999999999</v>
      </c>
      <c r="M267" s="301">
        <v>1760</v>
      </c>
      <c r="N267" s="301">
        <v>0</v>
      </c>
      <c r="O267" s="166">
        <f t="shared" si="6"/>
        <v>1</v>
      </c>
    </row>
    <row r="268" spans="1:16" x14ac:dyDescent="0.25">
      <c r="A268" s="302">
        <v>1539</v>
      </c>
      <c r="B268" s="303" t="s">
        <v>539</v>
      </c>
      <c r="C268" s="304" t="s">
        <v>233</v>
      </c>
      <c r="D268" s="304" t="s">
        <v>111</v>
      </c>
      <c r="E268" s="304" t="s">
        <v>115</v>
      </c>
      <c r="F268" s="304" t="s">
        <v>116</v>
      </c>
      <c r="G268" s="304" t="s">
        <v>352</v>
      </c>
      <c r="H268" s="304" t="s">
        <v>115</v>
      </c>
      <c r="I268" s="301">
        <v>1189082</v>
      </c>
      <c r="J268" s="301"/>
      <c r="K268" s="304" t="s">
        <v>540</v>
      </c>
      <c r="L268" s="301">
        <v>1189082</v>
      </c>
      <c r="M268" s="301">
        <v>1733.204092936478</v>
      </c>
      <c r="N268" s="301">
        <v>0</v>
      </c>
      <c r="O268" s="166">
        <f t="shared" si="6"/>
        <v>1</v>
      </c>
    </row>
    <row r="269" spans="1:16" x14ac:dyDescent="0.25">
      <c r="A269" s="302">
        <v>1540</v>
      </c>
      <c r="B269" s="303" t="s">
        <v>541</v>
      </c>
      <c r="C269" s="304" t="s">
        <v>234</v>
      </c>
      <c r="D269" s="304" t="s">
        <v>111</v>
      </c>
      <c r="E269" s="304" t="s">
        <v>112</v>
      </c>
      <c r="F269" s="304" t="s">
        <v>117</v>
      </c>
      <c r="G269" s="304" t="s">
        <v>542</v>
      </c>
      <c r="H269" s="304" t="s">
        <v>114</v>
      </c>
      <c r="I269" s="301"/>
      <c r="J269" s="301">
        <v>195</v>
      </c>
      <c r="K269" s="304" t="s">
        <v>543</v>
      </c>
      <c r="L269" s="301">
        <v>133781.69999999998</v>
      </c>
      <c r="M269" s="301">
        <v>195</v>
      </c>
      <c r="N269" s="301">
        <v>133781.69999999998</v>
      </c>
      <c r="O269" s="166">
        <f t="shared" si="6"/>
        <v>1</v>
      </c>
    </row>
    <row r="270" spans="1:16" x14ac:dyDescent="0.25">
      <c r="A270" s="302">
        <v>1541</v>
      </c>
      <c r="B270" s="303" t="s">
        <v>544</v>
      </c>
      <c r="C270" s="304" t="s">
        <v>234</v>
      </c>
      <c r="D270" s="304" t="s">
        <v>111</v>
      </c>
      <c r="E270" s="304" t="s">
        <v>112</v>
      </c>
      <c r="F270" s="304" t="s">
        <v>117</v>
      </c>
      <c r="G270" s="304" t="s">
        <v>545</v>
      </c>
      <c r="H270" s="304" t="s">
        <v>114</v>
      </c>
      <c r="I270" s="301"/>
      <c r="J270" s="301">
        <v>195</v>
      </c>
      <c r="K270" s="304" t="s">
        <v>546</v>
      </c>
      <c r="L270" s="301">
        <v>133781.69999999998</v>
      </c>
      <c r="M270" s="301">
        <v>195</v>
      </c>
      <c r="N270" s="301">
        <v>0</v>
      </c>
      <c r="O270" s="166">
        <f t="shared" si="6"/>
        <v>1</v>
      </c>
    </row>
    <row r="271" spans="1:16" x14ac:dyDescent="0.25">
      <c r="A271" s="302">
        <v>1542</v>
      </c>
      <c r="B271" s="303" t="s">
        <v>547</v>
      </c>
      <c r="C271" s="304" t="s">
        <v>234</v>
      </c>
      <c r="D271" s="304" t="s">
        <v>111</v>
      </c>
      <c r="E271" s="304" t="s">
        <v>112</v>
      </c>
      <c r="F271" s="304" t="s">
        <v>117</v>
      </c>
      <c r="G271" s="304" t="s">
        <v>548</v>
      </c>
      <c r="H271" s="304" t="s">
        <v>114</v>
      </c>
      <c r="I271" s="301"/>
      <c r="J271" s="301">
        <v>195</v>
      </c>
      <c r="K271" s="304" t="s">
        <v>549</v>
      </c>
      <c r="L271" s="301">
        <v>133781.69999999998</v>
      </c>
      <c r="M271" s="301">
        <v>195</v>
      </c>
      <c r="N271" s="301">
        <v>0</v>
      </c>
      <c r="O271" s="166">
        <f t="shared" si="6"/>
        <v>1</v>
      </c>
    </row>
    <row r="272" spans="1:16" x14ac:dyDescent="0.25">
      <c r="A272" s="302">
        <v>1543</v>
      </c>
      <c r="B272" s="303" t="s">
        <v>550</v>
      </c>
      <c r="C272" s="304" t="s">
        <v>234</v>
      </c>
      <c r="D272" s="304" t="s">
        <v>111</v>
      </c>
      <c r="E272" s="304" t="s">
        <v>112</v>
      </c>
      <c r="F272" s="304" t="s">
        <v>117</v>
      </c>
      <c r="G272" s="304" t="s">
        <v>344</v>
      </c>
      <c r="H272" s="304" t="s">
        <v>114</v>
      </c>
      <c r="I272" s="301"/>
      <c r="J272" s="301">
        <v>3300</v>
      </c>
      <c r="K272" s="304" t="s">
        <v>551</v>
      </c>
      <c r="L272" s="301">
        <v>2263998</v>
      </c>
      <c r="M272" s="301">
        <v>3300.0000000000005</v>
      </c>
      <c r="N272" s="301">
        <v>0</v>
      </c>
      <c r="O272" s="166">
        <f t="shared" si="6"/>
        <v>1</v>
      </c>
    </row>
    <row r="273" spans="1:19" x14ac:dyDescent="0.25">
      <c r="A273" s="302">
        <v>1544</v>
      </c>
      <c r="B273" s="303" t="s">
        <v>552</v>
      </c>
      <c r="C273" s="304" t="s">
        <v>234</v>
      </c>
      <c r="D273" s="304" t="s">
        <v>111</v>
      </c>
      <c r="E273" s="304" t="s">
        <v>112</v>
      </c>
      <c r="F273" s="304" t="s">
        <v>117</v>
      </c>
      <c r="G273" s="304" t="s">
        <v>529</v>
      </c>
      <c r="H273" s="304" t="s">
        <v>114</v>
      </c>
      <c r="I273" s="301"/>
      <c r="J273" s="301">
        <v>195</v>
      </c>
      <c r="K273" s="304" t="s">
        <v>553</v>
      </c>
      <c r="L273" s="301">
        <v>133781.69999999998</v>
      </c>
      <c r="M273" s="301">
        <v>195</v>
      </c>
      <c r="N273" s="301">
        <v>0</v>
      </c>
      <c r="O273" s="166">
        <f t="shared" si="6"/>
        <v>1</v>
      </c>
    </row>
    <row r="274" spans="1:19" x14ac:dyDescent="0.25">
      <c r="A274" s="302">
        <v>1545</v>
      </c>
      <c r="B274" s="303" t="s">
        <v>554</v>
      </c>
      <c r="C274" s="304" t="s">
        <v>234</v>
      </c>
      <c r="D274" s="304" t="s">
        <v>111</v>
      </c>
      <c r="E274" s="304" t="s">
        <v>112</v>
      </c>
      <c r="F274" s="304" t="s">
        <v>117</v>
      </c>
      <c r="G274" s="304" t="s">
        <v>555</v>
      </c>
      <c r="H274" s="304" t="s">
        <v>114</v>
      </c>
      <c r="I274" s="301"/>
      <c r="J274" s="301">
        <v>220</v>
      </c>
      <c r="K274" s="304" t="s">
        <v>556</v>
      </c>
      <c r="L274" s="301">
        <v>150933.19999999998</v>
      </c>
      <c r="M274" s="301">
        <v>220</v>
      </c>
      <c r="N274" s="301">
        <v>905599.2</v>
      </c>
      <c r="O274" s="166">
        <f t="shared" ref="O274:O304" si="7">+A274-A273</f>
        <v>1</v>
      </c>
    </row>
    <row r="275" spans="1:19" x14ac:dyDescent="0.25">
      <c r="A275" s="302">
        <v>1546</v>
      </c>
      <c r="B275" s="303" t="s">
        <v>557</v>
      </c>
      <c r="C275" s="304" t="s">
        <v>234</v>
      </c>
      <c r="D275" s="304" t="s">
        <v>111</v>
      </c>
      <c r="E275" s="304" t="s">
        <v>112</v>
      </c>
      <c r="F275" s="304" t="s">
        <v>116</v>
      </c>
      <c r="G275" s="304" t="s">
        <v>558</v>
      </c>
      <c r="H275" s="304" t="s">
        <v>114</v>
      </c>
      <c r="I275" s="301"/>
      <c r="J275" s="301">
        <v>220</v>
      </c>
      <c r="K275" s="304" t="s">
        <v>559</v>
      </c>
      <c r="L275" s="301">
        <v>150933.19999999998</v>
      </c>
      <c r="M275" s="301">
        <v>220</v>
      </c>
      <c r="N275" s="301">
        <v>905599.2</v>
      </c>
      <c r="O275" s="166">
        <f t="shared" si="7"/>
        <v>1</v>
      </c>
    </row>
    <row r="276" spans="1:19" x14ac:dyDescent="0.25">
      <c r="A276" s="302">
        <v>1547</v>
      </c>
      <c r="B276" s="303" t="s">
        <v>560</v>
      </c>
      <c r="C276" s="304" t="s">
        <v>234</v>
      </c>
      <c r="D276" s="304" t="s">
        <v>111</v>
      </c>
      <c r="E276" s="304" t="s">
        <v>112</v>
      </c>
      <c r="F276" s="304" t="s">
        <v>116</v>
      </c>
      <c r="G276" s="304" t="s">
        <v>345</v>
      </c>
      <c r="H276" s="304" t="s">
        <v>114</v>
      </c>
      <c r="I276" s="301"/>
      <c r="J276" s="301">
        <v>1100</v>
      </c>
      <c r="K276" s="304" t="s">
        <v>561</v>
      </c>
      <c r="L276" s="301">
        <v>754665.99999999988</v>
      </c>
      <c r="M276" s="301">
        <v>1100</v>
      </c>
      <c r="N276" s="301">
        <v>0</v>
      </c>
      <c r="O276" s="166">
        <f t="shared" si="7"/>
        <v>1</v>
      </c>
    </row>
    <row r="277" spans="1:19" x14ac:dyDescent="0.25">
      <c r="A277" s="302">
        <v>1548</v>
      </c>
      <c r="B277" s="303" t="s">
        <v>562</v>
      </c>
      <c r="C277" s="304" t="s">
        <v>234</v>
      </c>
      <c r="D277" s="304" t="s">
        <v>111</v>
      </c>
      <c r="E277" s="304" t="s">
        <v>112</v>
      </c>
      <c r="F277" s="304" t="s">
        <v>117</v>
      </c>
      <c r="G277" s="304" t="s">
        <v>563</v>
      </c>
      <c r="H277" s="304" t="s">
        <v>114</v>
      </c>
      <c r="I277" s="301"/>
      <c r="J277" s="301">
        <v>185.25</v>
      </c>
      <c r="K277" s="304" t="s">
        <v>564</v>
      </c>
      <c r="L277" s="301">
        <v>127092.61499999999</v>
      </c>
      <c r="M277" s="301">
        <v>185.25</v>
      </c>
      <c r="N277" s="301">
        <v>480241.99999999994</v>
      </c>
      <c r="O277" s="166">
        <f t="shared" si="7"/>
        <v>1</v>
      </c>
    </row>
    <row r="278" spans="1:19" x14ac:dyDescent="0.25">
      <c r="A278" s="302">
        <v>1549</v>
      </c>
      <c r="B278" s="303" t="s">
        <v>565</v>
      </c>
      <c r="C278" s="304" t="s">
        <v>234</v>
      </c>
      <c r="D278" s="304" t="s">
        <v>111</v>
      </c>
      <c r="E278" s="304" t="s">
        <v>112</v>
      </c>
      <c r="F278" s="304" t="s">
        <v>116</v>
      </c>
      <c r="G278" s="304" t="s">
        <v>566</v>
      </c>
      <c r="H278" s="304" t="s">
        <v>114</v>
      </c>
      <c r="I278" s="301"/>
      <c r="J278" s="301">
        <v>195</v>
      </c>
      <c r="K278" s="304" t="s">
        <v>567</v>
      </c>
      <c r="L278" s="301">
        <v>133781.69999999998</v>
      </c>
      <c r="M278" s="301">
        <v>195</v>
      </c>
      <c r="N278" s="301">
        <v>133781.69999999998</v>
      </c>
      <c r="O278" s="166">
        <f t="shared" si="7"/>
        <v>1</v>
      </c>
    </row>
    <row r="279" spans="1:19" x14ac:dyDescent="0.25">
      <c r="A279" s="302">
        <v>1550</v>
      </c>
      <c r="B279" s="303" t="s">
        <v>568</v>
      </c>
      <c r="C279" s="304" t="s">
        <v>234</v>
      </c>
      <c r="D279" s="304" t="s">
        <v>111</v>
      </c>
      <c r="E279" s="304" t="s">
        <v>112</v>
      </c>
      <c r="F279" s="304" t="s">
        <v>116</v>
      </c>
      <c r="G279" s="304" t="s">
        <v>569</v>
      </c>
      <c r="H279" s="304" t="s">
        <v>114</v>
      </c>
      <c r="I279" s="301"/>
      <c r="J279" s="301">
        <v>220</v>
      </c>
      <c r="K279" s="304" t="s">
        <v>570</v>
      </c>
      <c r="L279" s="301">
        <v>150933.19999999998</v>
      </c>
      <c r="M279" s="301">
        <v>220</v>
      </c>
      <c r="N279" s="301">
        <v>1056532.3999999999</v>
      </c>
      <c r="O279" s="166">
        <f t="shared" si="7"/>
        <v>1</v>
      </c>
      <c r="R279" s="53" t="s">
        <v>168</v>
      </c>
      <c r="S279" s="53" t="s">
        <v>169</v>
      </c>
    </row>
    <row r="280" spans="1:19" x14ac:dyDescent="0.25">
      <c r="A280" s="302">
        <v>1551</v>
      </c>
      <c r="B280" s="303" t="s">
        <v>571</v>
      </c>
      <c r="C280" s="304" t="s">
        <v>234</v>
      </c>
      <c r="D280" s="304" t="s">
        <v>111</v>
      </c>
      <c r="E280" s="304" t="s">
        <v>112</v>
      </c>
      <c r="F280" s="304" t="s">
        <v>117</v>
      </c>
      <c r="G280" s="304" t="s">
        <v>572</v>
      </c>
      <c r="H280" s="304" t="s">
        <v>114</v>
      </c>
      <c r="I280" s="301"/>
      <c r="J280" s="301">
        <v>195</v>
      </c>
      <c r="K280" s="304" t="s">
        <v>573</v>
      </c>
      <c r="L280" s="301">
        <v>133781.69999999998</v>
      </c>
      <c r="M280" s="301">
        <v>195</v>
      </c>
      <c r="N280" s="301">
        <v>401345.1</v>
      </c>
      <c r="O280" s="166">
        <f t="shared" si="7"/>
        <v>1</v>
      </c>
    </row>
    <row r="281" spans="1:19" x14ac:dyDescent="0.25">
      <c r="A281" s="302">
        <v>1552</v>
      </c>
      <c r="B281" s="303" t="s">
        <v>574</v>
      </c>
      <c r="C281" s="304" t="s">
        <v>234</v>
      </c>
      <c r="D281" s="304" t="s">
        <v>111</v>
      </c>
      <c r="E281" s="304" t="s">
        <v>112</v>
      </c>
      <c r="F281" s="304" t="s">
        <v>117</v>
      </c>
      <c r="G281" s="304" t="s">
        <v>575</v>
      </c>
      <c r="H281" s="304" t="s">
        <v>114</v>
      </c>
      <c r="I281" s="301"/>
      <c r="J281" s="301">
        <v>1100</v>
      </c>
      <c r="K281" s="304" t="s">
        <v>576</v>
      </c>
      <c r="L281" s="301">
        <v>754665.99999999988</v>
      </c>
      <c r="M281" s="301">
        <v>1100</v>
      </c>
      <c r="N281" s="301">
        <v>0</v>
      </c>
      <c r="O281" s="166">
        <f t="shared" si="7"/>
        <v>1</v>
      </c>
    </row>
    <row r="282" spans="1:19" x14ac:dyDescent="0.25">
      <c r="A282" s="302">
        <v>1553</v>
      </c>
      <c r="B282" s="303" t="s">
        <v>577</v>
      </c>
      <c r="C282" s="304" t="s">
        <v>233</v>
      </c>
      <c r="D282" s="304" t="s">
        <v>111</v>
      </c>
      <c r="E282" s="304" t="s">
        <v>115</v>
      </c>
      <c r="F282" s="304" t="s">
        <v>578</v>
      </c>
      <c r="G282" s="304" t="s">
        <v>579</v>
      </c>
      <c r="H282" s="304" t="s">
        <v>580</v>
      </c>
      <c r="I282" s="301">
        <v>60000</v>
      </c>
      <c r="J282" s="301"/>
      <c r="K282" s="304" t="s">
        <v>581</v>
      </c>
      <c r="L282" s="301">
        <v>60000</v>
      </c>
      <c r="M282" s="301">
        <v>87.455907646561528</v>
      </c>
      <c r="N282" s="301">
        <v>0</v>
      </c>
      <c r="O282" s="166">
        <f t="shared" si="7"/>
        <v>1</v>
      </c>
    </row>
    <row r="283" spans="1:19" x14ac:dyDescent="0.25">
      <c r="A283" s="302">
        <v>1555</v>
      </c>
      <c r="B283" s="303" t="s">
        <v>582</v>
      </c>
      <c r="C283" s="304" t="s">
        <v>233</v>
      </c>
      <c r="D283" s="304" t="s">
        <v>111</v>
      </c>
      <c r="E283" s="304" t="s">
        <v>115</v>
      </c>
      <c r="F283" s="304" t="s">
        <v>113</v>
      </c>
      <c r="G283" s="304" t="s">
        <v>583</v>
      </c>
      <c r="H283" s="304" t="s">
        <v>115</v>
      </c>
      <c r="I283" s="301">
        <v>181689</v>
      </c>
      <c r="J283" s="301"/>
      <c r="K283" s="304" t="s">
        <v>584</v>
      </c>
      <c r="L283" s="301">
        <v>181689</v>
      </c>
      <c r="M283" s="301">
        <v>264.82960673993529</v>
      </c>
      <c r="N283" s="301">
        <v>565999.5</v>
      </c>
      <c r="O283" s="166">
        <f t="shared" si="7"/>
        <v>2</v>
      </c>
    </row>
    <row r="284" spans="1:19" x14ac:dyDescent="0.25">
      <c r="A284" s="302">
        <v>1556</v>
      </c>
      <c r="B284" s="303" t="s">
        <v>582</v>
      </c>
      <c r="C284" s="304" t="s">
        <v>234</v>
      </c>
      <c r="D284" s="304" t="s">
        <v>111</v>
      </c>
      <c r="E284" s="304" t="s">
        <v>112</v>
      </c>
      <c r="F284" s="304" t="s">
        <v>117</v>
      </c>
      <c r="G284" s="304" t="s">
        <v>346</v>
      </c>
      <c r="H284" s="304" t="s">
        <v>114</v>
      </c>
      <c r="I284" s="301"/>
      <c r="J284" s="301">
        <v>1320</v>
      </c>
      <c r="K284" s="304" t="s">
        <v>585</v>
      </c>
      <c r="L284" s="301">
        <v>905599.2</v>
      </c>
      <c r="M284" s="301">
        <v>1320</v>
      </c>
      <c r="N284" s="301">
        <v>557634</v>
      </c>
      <c r="O284" s="166">
        <f t="shared" si="7"/>
        <v>1</v>
      </c>
    </row>
    <row r="285" spans="1:19" x14ac:dyDescent="0.25">
      <c r="A285" s="302">
        <v>1554</v>
      </c>
      <c r="B285" s="303" t="s">
        <v>582</v>
      </c>
      <c r="C285" s="304" t="s">
        <v>234</v>
      </c>
      <c r="D285" s="304" t="s">
        <v>111</v>
      </c>
      <c r="E285" s="304" t="s">
        <v>112</v>
      </c>
      <c r="F285" s="304" t="s">
        <v>117</v>
      </c>
      <c r="G285" s="304" t="s">
        <v>586</v>
      </c>
      <c r="H285" s="304" t="s">
        <v>114</v>
      </c>
      <c r="I285" s="301"/>
      <c r="J285" s="301">
        <v>240</v>
      </c>
      <c r="K285" s="304" t="s">
        <v>587</v>
      </c>
      <c r="L285" s="301">
        <v>164654.39999999999</v>
      </c>
      <c r="M285" s="301">
        <v>240</v>
      </c>
      <c r="N285" s="301">
        <v>0</v>
      </c>
      <c r="O285" s="166">
        <f t="shared" si="7"/>
        <v>-2</v>
      </c>
    </row>
    <row r="286" spans="1:19" x14ac:dyDescent="0.25">
      <c r="A286" s="302">
        <v>1557</v>
      </c>
      <c r="B286" s="303" t="s">
        <v>588</v>
      </c>
      <c r="C286" s="304" t="s">
        <v>234</v>
      </c>
      <c r="D286" s="304" t="s">
        <v>111</v>
      </c>
      <c r="E286" s="304" t="s">
        <v>112</v>
      </c>
      <c r="F286" s="304" t="s">
        <v>117</v>
      </c>
      <c r="G286" s="304" t="s">
        <v>348</v>
      </c>
      <c r="H286" s="304" t="s">
        <v>114</v>
      </c>
      <c r="I286" s="301"/>
      <c r="J286" s="301">
        <v>627</v>
      </c>
      <c r="K286" s="304" t="s">
        <v>589</v>
      </c>
      <c r="L286" s="301">
        <v>430159.61999999994</v>
      </c>
      <c r="M286" s="301">
        <v>627</v>
      </c>
      <c r="N286" s="301">
        <v>0</v>
      </c>
      <c r="O286" s="166">
        <f t="shared" si="7"/>
        <v>3</v>
      </c>
    </row>
    <row r="287" spans="1:19" x14ac:dyDescent="0.25">
      <c r="A287" s="302">
        <v>1558</v>
      </c>
      <c r="B287" s="303" t="s">
        <v>590</v>
      </c>
      <c r="C287" s="304" t="s">
        <v>234</v>
      </c>
      <c r="D287" s="304" t="s">
        <v>111</v>
      </c>
      <c r="E287" s="304" t="s">
        <v>112</v>
      </c>
      <c r="F287" s="304" t="s">
        <v>117</v>
      </c>
      <c r="G287" s="304" t="s">
        <v>591</v>
      </c>
      <c r="H287" s="304" t="s">
        <v>114</v>
      </c>
      <c r="I287" s="301"/>
      <c r="J287" s="301">
        <v>220</v>
      </c>
      <c r="K287" s="304" t="s">
        <v>592</v>
      </c>
      <c r="L287" s="301">
        <v>150933.19999999998</v>
      </c>
      <c r="M287" s="301">
        <v>220</v>
      </c>
      <c r="N287" s="301">
        <v>603732.79999999993</v>
      </c>
      <c r="O287" s="166">
        <f t="shared" si="7"/>
        <v>1</v>
      </c>
    </row>
    <row r="288" spans="1:19" x14ac:dyDescent="0.25">
      <c r="A288" s="302">
        <v>1559</v>
      </c>
      <c r="B288" s="303" t="s">
        <v>593</v>
      </c>
      <c r="C288" s="304" t="s">
        <v>234</v>
      </c>
      <c r="D288" s="304" t="s">
        <v>111</v>
      </c>
      <c r="E288" s="304" t="s">
        <v>112</v>
      </c>
      <c r="F288" s="304" t="s">
        <v>116</v>
      </c>
      <c r="G288" s="304" t="s">
        <v>594</v>
      </c>
      <c r="H288" s="304" t="s">
        <v>114</v>
      </c>
      <c r="I288" s="301"/>
      <c r="J288" s="301">
        <v>220</v>
      </c>
      <c r="K288" s="304" t="s">
        <v>595</v>
      </c>
      <c r="L288" s="301">
        <v>150933.19999999998</v>
      </c>
      <c r="M288" s="301">
        <v>220</v>
      </c>
      <c r="N288" s="301">
        <v>452799.6</v>
      </c>
      <c r="O288" s="166">
        <f t="shared" si="7"/>
        <v>1</v>
      </c>
    </row>
    <row r="289" spans="1:17" x14ac:dyDescent="0.25">
      <c r="A289" s="302">
        <v>1560</v>
      </c>
      <c r="B289" s="303" t="s">
        <v>596</v>
      </c>
      <c r="C289" s="304" t="s">
        <v>234</v>
      </c>
      <c r="D289" s="304" t="s">
        <v>111</v>
      </c>
      <c r="E289" s="304" t="s">
        <v>112</v>
      </c>
      <c r="F289" s="304" t="s">
        <v>116</v>
      </c>
      <c r="G289" s="304" t="s">
        <v>505</v>
      </c>
      <c r="H289" s="304" t="s">
        <v>114</v>
      </c>
      <c r="I289" s="301"/>
      <c r="J289" s="301">
        <v>780</v>
      </c>
      <c r="K289" s="304" t="s">
        <v>597</v>
      </c>
      <c r="L289" s="301">
        <v>535126.79999999993</v>
      </c>
      <c r="M289" s="301">
        <v>780</v>
      </c>
      <c r="N289" s="301">
        <v>0</v>
      </c>
      <c r="O289" s="166">
        <f t="shared" si="7"/>
        <v>1</v>
      </c>
    </row>
    <row r="290" spans="1:17" x14ac:dyDescent="0.25">
      <c r="A290" s="302">
        <v>1561</v>
      </c>
      <c r="B290" s="303" t="s">
        <v>598</v>
      </c>
      <c r="C290" s="304" t="s">
        <v>234</v>
      </c>
      <c r="D290" s="304" t="s">
        <v>111</v>
      </c>
      <c r="E290" s="304" t="s">
        <v>112</v>
      </c>
      <c r="F290" s="304" t="s">
        <v>116</v>
      </c>
      <c r="G290" s="304" t="s">
        <v>351</v>
      </c>
      <c r="H290" s="304" t="s">
        <v>114</v>
      </c>
      <c r="I290" s="301"/>
      <c r="J290" s="301">
        <v>440</v>
      </c>
      <c r="K290" s="304" t="s">
        <v>599</v>
      </c>
      <c r="L290" s="301">
        <v>301866.39999999997</v>
      </c>
      <c r="M290" s="301">
        <v>440</v>
      </c>
      <c r="N290" s="301">
        <v>0</v>
      </c>
      <c r="O290" s="166">
        <f t="shared" si="7"/>
        <v>1</v>
      </c>
    </row>
    <row r="291" spans="1:17" x14ac:dyDescent="0.25">
      <c r="A291" s="302">
        <v>1562</v>
      </c>
      <c r="B291" s="303" t="s">
        <v>600</v>
      </c>
      <c r="C291" s="304" t="s">
        <v>234</v>
      </c>
      <c r="D291" s="304" t="s">
        <v>111</v>
      </c>
      <c r="E291" s="304" t="s">
        <v>112</v>
      </c>
      <c r="F291" s="304" t="s">
        <v>116</v>
      </c>
      <c r="G291" s="304" t="s">
        <v>508</v>
      </c>
      <c r="H291" s="304" t="s">
        <v>114</v>
      </c>
      <c r="I291" s="301"/>
      <c r="J291" s="301">
        <v>390</v>
      </c>
      <c r="K291" s="304" t="s">
        <v>601</v>
      </c>
      <c r="L291" s="301">
        <v>267563.39999999997</v>
      </c>
      <c r="M291" s="301">
        <v>390</v>
      </c>
      <c r="N291" s="301">
        <v>0</v>
      </c>
      <c r="O291" s="166">
        <f t="shared" si="7"/>
        <v>1</v>
      </c>
    </row>
    <row r="292" spans="1:17" x14ac:dyDescent="0.25">
      <c r="A292" s="302">
        <v>1563</v>
      </c>
      <c r="B292" s="303" t="s">
        <v>602</v>
      </c>
      <c r="C292" s="304" t="s">
        <v>234</v>
      </c>
      <c r="D292" s="304" t="s">
        <v>111</v>
      </c>
      <c r="E292" s="304" t="s">
        <v>112</v>
      </c>
      <c r="F292" s="304" t="s">
        <v>117</v>
      </c>
      <c r="G292" s="304" t="s">
        <v>603</v>
      </c>
      <c r="H292" s="304" t="s">
        <v>114</v>
      </c>
      <c r="I292" s="301"/>
      <c r="J292" s="301">
        <v>585</v>
      </c>
      <c r="K292" s="304" t="s">
        <v>604</v>
      </c>
      <c r="L292" s="301">
        <v>401345.1</v>
      </c>
      <c r="M292" s="301">
        <v>585</v>
      </c>
      <c r="N292" s="301">
        <v>0</v>
      </c>
      <c r="O292" s="166">
        <f t="shared" si="7"/>
        <v>1</v>
      </c>
      <c r="Q292" s="53" t="s">
        <v>199</v>
      </c>
    </row>
    <row r="293" spans="1:17" x14ac:dyDescent="0.25">
      <c r="A293" s="302">
        <v>1564</v>
      </c>
      <c r="B293" s="303" t="s">
        <v>605</v>
      </c>
      <c r="C293" s="304" t="s">
        <v>234</v>
      </c>
      <c r="D293" s="304" t="s">
        <v>111</v>
      </c>
      <c r="E293" s="304" t="s">
        <v>112</v>
      </c>
      <c r="F293" s="304" t="s">
        <v>113</v>
      </c>
      <c r="G293" s="304" t="s">
        <v>606</v>
      </c>
      <c r="H293" s="304" t="s">
        <v>114</v>
      </c>
      <c r="I293" s="301"/>
      <c r="J293" s="301">
        <v>220</v>
      </c>
      <c r="K293" s="304" t="s">
        <v>336</v>
      </c>
      <c r="L293" s="301">
        <v>150933.19999999998</v>
      </c>
      <c r="M293" s="301">
        <v>220</v>
      </c>
      <c r="N293" s="301">
        <v>452799.6</v>
      </c>
      <c r="O293" s="166">
        <f t="shared" si="7"/>
        <v>1</v>
      </c>
    </row>
    <row r="294" spans="1:17" x14ac:dyDescent="0.25">
      <c r="A294" s="302">
        <v>1565</v>
      </c>
      <c r="B294" s="303" t="s">
        <v>607</v>
      </c>
      <c r="C294" s="304" t="s">
        <v>234</v>
      </c>
      <c r="D294" s="304" t="s">
        <v>111</v>
      </c>
      <c r="E294" s="304" t="s">
        <v>112</v>
      </c>
      <c r="F294" s="304" t="s">
        <v>113</v>
      </c>
      <c r="G294" s="304" t="s">
        <v>608</v>
      </c>
      <c r="H294" s="304" t="s">
        <v>114</v>
      </c>
      <c r="I294" s="301"/>
      <c r="J294" s="301">
        <v>660</v>
      </c>
      <c r="K294" s="304" t="s">
        <v>609</v>
      </c>
      <c r="L294" s="301">
        <v>452799.6</v>
      </c>
      <c r="M294" s="301">
        <v>660</v>
      </c>
      <c r="N294" s="301">
        <v>0</v>
      </c>
      <c r="O294" s="166">
        <f t="shared" si="7"/>
        <v>1</v>
      </c>
    </row>
    <row r="295" spans="1:17" x14ac:dyDescent="0.25">
      <c r="A295" s="302">
        <v>1566</v>
      </c>
      <c r="B295" s="303" t="s">
        <v>610</v>
      </c>
      <c r="C295" s="304" t="s">
        <v>233</v>
      </c>
      <c r="D295" s="304" t="s">
        <v>111</v>
      </c>
      <c r="E295" s="304" t="s">
        <v>115</v>
      </c>
      <c r="F295" s="304" t="s">
        <v>578</v>
      </c>
      <c r="G295" s="304" t="s">
        <v>611</v>
      </c>
      <c r="H295" s="304" t="s">
        <v>580</v>
      </c>
      <c r="I295" s="301">
        <v>178024</v>
      </c>
      <c r="J295" s="301"/>
      <c r="K295" s="304" t="s">
        <v>612</v>
      </c>
      <c r="L295" s="301">
        <v>178024</v>
      </c>
      <c r="M295" s="301">
        <v>259.48750838119116</v>
      </c>
      <c r="N295" s="301">
        <v>0</v>
      </c>
      <c r="O295" s="166">
        <f t="shared" si="7"/>
        <v>1</v>
      </c>
    </row>
    <row r="296" spans="1:17" x14ac:dyDescent="0.25">
      <c r="A296" s="302">
        <v>1567</v>
      </c>
      <c r="B296" s="303" t="s">
        <v>613</v>
      </c>
      <c r="C296" s="304" t="s">
        <v>233</v>
      </c>
      <c r="D296" s="304" t="s">
        <v>111</v>
      </c>
      <c r="E296" s="304" t="s">
        <v>115</v>
      </c>
      <c r="F296" s="304" t="s">
        <v>117</v>
      </c>
      <c r="G296" s="304" t="s">
        <v>614</v>
      </c>
      <c r="H296" s="304" t="s">
        <v>115</v>
      </c>
      <c r="I296" s="301">
        <v>6000</v>
      </c>
      <c r="J296" s="301"/>
      <c r="K296" s="304" t="s">
        <v>615</v>
      </c>
      <c r="L296" s="301">
        <v>6000</v>
      </c>
      <c r="M296" s="301">
        <v>8.7455907646561535</v>
      </c>
      <c r="N296" s="301">
        <v>0</v>
      </c>
      <c r="O296" s="166">
        <f t="shared" si="7"/>
        <v>1</v>
      </c>
    </row>
    <row r="297" spans="1:17" x14ac:dyDescent="0.25">
      <c r="A297" s="302">
        <v>1568</v>
      </c>
      <c r="B297" s="303" t="s">
        <v>616</v>
      </c>
      <c r="C297" s="304" t="s">
        <v>234</v>
      </c>
      <c r="D297" s="304" t="s">
        <v>111</v>
      </c>
      <c r="E297" s="304" t="s">
        <v>112</v>
      </c>
      <c r="F297" s="304" t="s">
        <v>117</v>
      </c>
      <c r="G297" s="304" t="s">
        <v>617</v>
      </c>
      <c r="H297" s="304" t="s">
        <v>114</v>
      </c>
      <c r="I297" s="301"/>
      <c r="J297" s="301">
        <v>220</v>
      </c>
      <c r="K297" s="304" t="s">
        <v>618</v>
      </c>
      <c r="L297" s="301">
        <v>150933.19999999998</v>
      </c>
      <c r="M297" s="301">
        <v>220</v>
      </c>
      <c r="N297" s="301">
        <v>0</v>
      </c>
      <c r="O297" s="166">
        <f t="shared" si="7"/>
        <v>1</v>
      </c>
    </row>
    <row r="298" spans="1:17" x14ac:dyDescent="0.25">
      <c r="A298" s="302">
        <v>1569</v>
      </c>
      <c r="B298" s="303" t="s">
        <v>619</v>
      </c>
      <c r="C298" s="304" t="s">
        <v>234</v>
      </c>
      <c r="D298" s="304" t="s">
        <v>111</v>
      </c>
      <c r="E298" s="304" t="s">
        <v>112</v>
      </c>
      <c r="F298" s="304" t="s">
        <v>116</v>
      </c>
      <c r="G298" s="304" t="s">
        <v>620</v>
      </c>
      <c r="H298" s="304" t="s">
        <v>114</v>
      </c>
      <c r="I298" s="301"/>
      <c r="J298" s="301">
        <v>195</v>
      </c>
      <c r="K298" s="304" t="s">
        <v>621</v>
      </c>
      <c r="L298" s="301">
        <v>133781.69999999998</v>
      </c>
      <c r="M298" s="301">
        <v>195</v>
      </c>
      <c r="N298" s="301">
        <v>569429.79999999993</v>
      </c>
      <c r="O298" s="166">
        <f t="shared" si="7"/>
        <v>1</v>
      </c>
    </row>
    <row r="299" spans="1:17" x14ac:dyDescent="0.25">
      <c r="A299" s="302"/>
      <c r="B299" s="303"/>
      <c r="C299" s="304"/>
      <c r="D299" s="304"/>
      <c r="E299" s="304"/>
      <c r="F299" s="304"/>
      <c r="G299" s="304"/>
      <c r="H299" s="304"/>
      <c r="I299" s="301"/>
      <c r="J299" s="301"/>
      <c r="K299" s="304"/>
      <c r="L299" s="301"/>
      <c r="M299" s="301"/>
      <c r="N299" s="301"/>
      <c r="O299" s="166">
        <f t="shared" si="7"/>
        <v>-1569</v>
      </c>
    </row>
    <row r="300" spans="1:17" x14ac:dyDescent="0.25">
      <c r="A300" s="302"/>
      <c r="B300" s="303"/>
      <c r="C300" s="304"/>
      <c r="D300" s="304"/>
      <c r="E300" s="304"/>
      <c r="F300" s="304"/>
      <c r="G300" s="304"/>
      <c r="H300" s="304"/>
      <c r="I300" s="301"/>
      <c r="J300" s="301"/>
      <c r="K300" s="304"/>
      <c r="L300" s="301"/>
      <c r="M300" s="301"/>
      <c r="N300" s="301"/>
      <c r="O300" s="166">
        <f t="shared" si="7"/>
        <v>0</v>
      </c>
    </row>
    <row r="301" spans="1:17" x14ac:dyDescent="0.25">
      <c r="A301" s="302"/>
      <c r="B301" s="303"/>
      <c r="C301" s="304"/>
      <c r="D301" s="304"/>
      <c r="E301" s="304"/>
      <c r="F301" s="304"/>
      <c r="G301" s="304"/>
      <c r="H301" s="304"/>
      <c r="I301" s="301"/>
      <c r="J301" s="301"/>
      <c r="K301" s="304"/>
      <c r="L301" s="301"/>
      <c r="M301" s="301"/>
      <c r="N301" s="301"/>
      <c r="O301" s="166">
        <f t="shared" si="7"/>
        <v>0</v>
      </c>
    </row>
    <row r="302" spans="1:17" x14ac:dyDescent="0.25">
      <c r="A302" s="302"/>
      <c r="B302" s="303"/>
      <c r="C302" s="304"/>
      <c r="D302" s="304"/>
      <c r="E302" s="304"/>
      <c r="F302" s="304"/>
      <c r="G302" s="304"/>
      <c r="H302" s="304"/>
      <c r="I302" s="301"/>
      <c r="J302" s="301"/>
      <c r="K302" s="304"/>
      <c r="L302" s="301"/>
      <c r="M302" s="301"/>
      <c r="N302" s="301"/>
      <c r="O302" s="166">
        <f t="shared" si="7"/>
        <v>0</v>
      </c>
    </row>
    <row r="303" spans="1:17" x14ac:dyDescent="0.25">
      <c r="A303" s="302"/>
      <c r="B303" s="303"/>
      <c r="C303" s="304"/>
      <c r="D303" s="304"/>
      <c r="E303" s="304"/>
      <c r="F303" s="304"/>
      <c r="G303" s="304"/>
      <c r="H303" s="304"/>
      <c r="I303" s="301"/>
      <c r="J303" s="301"/>
      <c r="K303" s="304"/>
      <c r="L303" s="301"/>
      <c r="M303" s="301"/>
      <c r="N303" s="301"/>
      <c r="O303" s="166">
        <f t="shared" si="7"/>
        <v>0</v>
      </c>
    </row>
    <row r="304" spans="1:17" x14ac:dyDescent="0.25">
      <c r="A304" s="302"/>
      <c r="B304" s="303"/>
      <c r="C304" s="304"/>
      <c r="D304" s="304"/>
      <c r="E304" s="304"/>
      <c r="F304" s="304"/>
      <c r="G304" s="304"/>
      <c r="H304" s="304"/>
      <c r="I304" s="301"/>
      <c r="J304" s="301"/>
      <c r="K304" s="304"/>
      <c r="L304" s="301"/>
      <c r="M304" s="301"/>
      <c r="N304" s="301"/>
      <c r="O304" s="166">
        <f t="shared" si="7"/>
        <v>0</v>
      </c>
    </row>
    <row r="305" spans="1:16" x14ac:dyDescent="0.25">
      <c r="A305" s="302"/>
      <c r="B305" s="303"/>
      <c r="C305" s="304"/>
      <c r="D305" s="304"/>
      <c r="E305" s="304"/>
      <c r="F305" s="304"/>
      <c r="G305" s="304"/>
      <c r="H305" s="304"/>
      <c r="I305" s="301"/>
      <c r="J305" s="301"/>
      <c r="K305" s="304"/>
      <c r="L305" s="301"/>
      <c r="M305" s="301"/>
      <c r="N305" s="301"/>
      <c r="O305" s="166">
        <f t="shared" ref="O305:O366" si="8">+A305-A304</f>
        <v>0</v>
      </c>
    </row>
    <row r="306" spans="1:16" ht="15.75" x14ac:dyDescent="0.25">
      <c r="A306" s="302"/>
      <c r="B306" s="303"/>
      <c r="C306" s="304"/>
      <c r="D306" s="304"/>
      <c r="E306" s="304"/>
      <c r="F306" s="304"/>
      <c r="G306" s="304"/>
      <c r="H306" s="304"/>
      <c r="I306" s="301"/>
      <c r="J306" s="301"/>
      <c r="K306" s="304"/>
      <c r="L306" s="301"/>
      <c r="M306" s="301"/>
      <c r="N306" s="301"/>
      <c r="O306" s="166">
        <f t="shared" si="8"/>
        <v>0</v>
      </c>
      <c r="P306" s="285" t="s">
        <v>301</v>
      </c>
    </row>
    <row r="307" spans="1:16" ht="15.75" x14ac:dyDescent="0.25">
      <c r="A307" s="302"/>
      <c r="B307" s="303"/>
      <c r="C307" s="304"/>
      <c r="D307" s="304"/>
      <c r="E307" s="304"/>
      <c r="F307" s="304"/>
      <c r="G307" s="304"/>
      <c r="H307" s="304"/>
      <c r="I307" s="301"/>
      <c r="J307" s="301"/>
      <c r="K307" s="304"/>
      <c r="L307" s="301"/>
      <c r="M307" s="301"/>
      <c r="N307" s="301"/>
      <c r="O307" s="166">
        <f t="shared" si="8"/>
        <v>0</v>
      </c>
      <c r="P307" s="285"/>
    </row>
    <row r="308" spans="1:16" x14ac:dyDescent="0.25">
      <c r="A308" s="302"/>
      <c r="B308" s="303"/>
      <c r="C308" s="304"/>
      <c r="D308" s="304"/>
      <c r="E308" s="304"/>
      <c r="F308" s="304"/>
      <c r="G308" s="304"/>
      <c r="H308" s="304"/>
      <c r="I308" s="301"/>
      <c r="J308" s="301"/>
      <c r="K308" s="304"/>
      <c r="L308" s="301"/>
      <c r="M308" s="301"/>
      <c r="N308" s="301"/>
      <c r="O308" s="166">
        <f t="shared" si="8"/>
        <v>0</v>
      </c>
    </row>
    <row r="309" spans="1:16" x14ac:dyDescent="0.25">
      <c r="A309" s="302"/>
      <c r="B309" s="303"/>
      <c r="C309" s="304"/>
      <c r="D309" s="304"/>
      <c r="E309" s="304"/>
      <c r="F309" s="304"/>
      <c r="G309" s="304"/>
      <c r="H309" s="304"/>
      <c r="I309" s="301"/>
      <c r="J309" s="301"/>
      <c r="K309" s="304"/>
      <c r="L309" s="301"/>
      <c r="M309" s="301"/>
      <c r="N309" s="301"/>
      <c r="O309" s="166">
        <f t="shared" si="8"/>
        <v>0</v>
      </c>
    </row>
    <row r="310" spans="1:16" x14ac:dyDescent="0.25">
      <c r="A310" s="302"/>
      <c r="B310" s="303"/>
      <c r="C310" s="304"/>
      <c r="D310" s="304"/>
      <c r="E310" s="304"/>
      <c r="F310" s="304"/>
      <c r="G310" s="304"/>
      <c r="H310" s="304"/>
      <c r="I310" s="301"/>
      <c r="J310" s="301"/>
      <c r="K310" s="304"/>
      <c r="L310" s="301"/>
      <c r="M310" s="301"/>
      <c r="N310" s="301"/>
      <c r="O310" s="166">
        <f t="shared" si="8"/>
        <v>0</v>
      </c>
    </row>
    <row r="311" spans="1:16" x14ac:dyDescent="0.25">
      <c r="A311" s="302"/>
      <c r="B311" s="303"/>
      <c r="C311" s="304"/>
      <c r="D311" s="304"/>
      <c r="E311" s="304"/>
      <c r="F311" s="304"/>
      <c r="G311" s="304"/>
      <c r="H311" s="304"/>
      <c r="I311" s="301"/>
      <c r="J311" s="301"/>
      <c r="K311" s="304"/>
      <c r="L311" s="301"/>
      <c r="M311" s="301"/>
      <c r="N311" s="301"/>
      <c r="O311" s="166">
        <f t="shared" si="8"/>
        <v>0</v>
      </c>
    </row>
    <row r="312" spans="1:16" x14ac:dyDescent="0.25">
      <c r="A312" s="302"/>
      <c r="B312" s="303"/>
      <c r="C312" s="304"/>
      <c r="D312" s="304"/>
      <c r="E312" s="304"/>
      <c r="F312" s="304"/>
      <c r="G312" s="304"/>
      <c r="H312" s="304"/>
      <c r="I312" s="301"/>
      <c r="J312" s="301"/>
      <c r="K312" s="304"/>
      <c r="L312" s="301"/>
      <c r="M312" s="301"/>
      <c r="N312" s="301"/>
      <c r="O312" s="166">
        <f t="shared" si="8"/>
        <v>0</v>
      </c>
    </row>
    <row r="313" spans="1:16" x14ac:dyDescent="0.25">
      <c r="A313" s="302"/>
      <c r="B313" s="303"/>
      <c r="C313" s="304"/>
      <c r="D313" s="304"/>
      <c r="E313" s="304"/>
      <c r="F313" s="304"/>
      <c r="G313" s="304"/>
      <c r="H313" s="304"/>
      <c r="I313" s="301"/>
      <c r="J313" s="301"/>
      <c r="K313" s="304"/>
      <c r="L313" s="301"/>
      <c r="M313" s="301"/>
      <c r="N313" s="301"/>
      <c r="O313" s="166">
        <f t="shared" si="8"/>
        <v>0</v>
      </c>
    </row>
    <row r="314" spans="1:16" x14ac:dyDescent="0.25">
      <c r="A314" s="302"/>
      <c r="B314" s="303"/>
      <c r="C314" s="304"/>
      <c r="D314" s="304"/>
      <c r="E314" s="304"/>
      <c r="F314" s="304"/>
      <c r="G314" s="304"/>
      <c r="H314" s="304"/>
      <c r="I314" s="301"/>
      <c r="J314" s="301"/>
      <c r="K314" s="304"/>
      <c r="L314" s="301"/>
      <c r="M314" s="301"/>
      <c r="N314" s="301"/>
      <c r="O314" s="166">
        <f t="shared" si="8"/>
        <v>0</v>
      </c>
    </row>
    <row r="315" spans="1:16" x14ac:dyDescent="0.25">
      <c r="A315" s="302"/>
      <c r="B315" s="303"/>
      <c r="C315" s="304"/>
      <c r="D315" s="304"/>
      <c r="E315" s="304"/>
      <c r="F315" s="304"/>
      <c r="G315" s="304"/>
      <c r="H315" s="304"/>
      <c r="I315" s="301"/>
      <c r="J315" s="301"/>
      <c r="K315" s="304"/>
      <c r="L315" s="301"/>
      <c r="M315" s="301"/>
      <c r="N315" s="301"/>
      <c r="O315" s="166">
        <f t="shared" si="8"/>
        <v>0</v>
      </c>
    </row>
    <row r="316" spans="1:16" x14ac:dyDescent="0.25">
      <c r="A316" s="302"/>
      <c r="B316" s="303"/>
      <c r="C316" s="304"/>
      <c r="D316" s="304"/>
      <c r="E316" s="304"/>
      <c r="F316" s="304"/>
      <c r="G316" s="304"/>
      <c r="H316" s="304"/>
      <c r="I316" s="301"/>
      <c r="J316" s="301"/>
      <c r="K316" s="304"/>
      <c r="L316" s="301"/>
      <c r="M316" s="301"/>
      <c r="N316" s="301"/>
      <c r="O316" s="166">
        <f t="shared" si="8"/>
        <v>0</v>
      </c>
    </row>
    <row r="317" spans="1:16" x14ac:dyDescent="0.25">
      <c r="A317" s="302"/>
      <c r="B317" s="303"/>
      <c r="C317" s="304"/>
      <c r="D317" s="304"/>
      <c r="E317" s="304"/>
      <c r="F317" s="304"/>
      <c r="G317" s="304"/>
      <c r="H317" s="304"/>
      <c r="I317" s="301"/>
      <c r="J317" s="301"/>
      <c r="K317" s="304"/>
      <c r="L317" s="301"/>
      <c r="M317" s="301"/>
      <c r="N317" s="301"/>
      <c r="O317" s="166">
        <f t="shared" si="8"/>
        <v>0</v>
      </c>
    </row>
    <row r="318" spans="1:16" x14ac:dyDescent="0.25">
      <c r="A318" s="302"/>
      <c r="B318" s="303"/>
      <c r="C318" s="304"/>
      <c r="D318" s="304"/>
      <c r="E318" s="304"/>
      <c r="F318" s="304"/>
      <c r="G318" s="304"/>
      <c r="H318" s="304"/>
      <c r="I318" s="301"/>
      <c r="J318" s="301"/>
      <c r="K318" s="304"/>
      <c r="L318" s="301"/>
      <c r="M318" s="301"/>
      <c r="N318" s="301"/>
      <c r="O318" s="166">
        <f t="shared" si="8"/>
        <v>0</v>
      </c>
    </row>
    <row r="319" spans="1:16" x14ac:dyDescent="0.25">
      <c r="A319" s="302"/>
      <c r="B319" s="303"/>
      <c r="C319" s="304"/>
      <c r="D319" s="304"/>
      <c r="E319" s="304"/>
      <c r="F319" s="304"/>
      <c r="G319" s="304"/>
      <c r="H319" s="304"/>
      <c r="I319" s="301"/>
      <c r="J319" s="301"/>
      <c r="K319" s="304"/>
      <c r="L319" s="301"/>
      <c r="M319" s="301"/>
      <c r="N319" s="301"/>
      <c r="O319" s="166">
        <f t="shared" si="8"/>
        <v>0</v>
      </c>
    </row>
    <row r="320" spans="1:16" x14ac:dyDescent="0.25">
      <c r="A320" s="302"/>
      <c r="B320" s="303"/>
      <c r="C320" s="304"/>
      <c r="D320" s="304"/>
      <c r="E320" s="304"/>
      <c r="F320" s="304"/>
      <c r="G320" s="304"/>
      <c r="H320" s="304"/>
      <c r="I320" s="301"/>
      <c r="J320" s="301"/>
      <c r="K320" s="304"/>
      <c r="L320" s="301"/>
      <c r="M320" s="301"/>
      <c r="N320" s="301"/>
      <c r="O320" s="166">
        <f t="shared" si="8"/>
        <v>0</v>
      </c>
    </row>
    <row r="321" spans="1:17" x14ac:dyDescent="0.25">
      <c r="A321" s="302"/>
      <c r="B321" s="303"/>
      <c r="C321" s="304"/>
      <c r="D321" s="304"/>
      <c r="E321" s="304"/>
      <c r="F321" s="304"/>
      <c r="G321" s="304"/>
      <c r="H321" s="304"/>
      <c r="I321" s="301"/>
      <c r="J321" s="301"/>
      <c r="K321" s="304"/>
      <c r="L321" s="301"/>
      <c r="M321" s="301"/>
      <c r="N321" s="301"/>
      <c r="O321" s="166">
        <f t="shared" si="8"/>
        <v>0</v>
      </c>
    </row>
    <row r="322" spans="1:17" x14ac:dyDescent="0.25">
      <c r="A322" s="302"/>
      <c r="B322" s="303"/>
      <c r="C322" s="304"/>
      <c r="D322" s="304"/>
      <c r="E322" s="304"/>
      <c r="F322" s="304"/>
      <c r="G322" s="304"/>
      <c r="H322" s="304"/>
      <c r="I322" s="301"/>
      <c r="J322" s="301"/>
      <c r="K322" s="304"/>
      <c r="L322" s="301"/>
      <c r="M322" s="301"/>
      <c r="N322" s="301"/>
      <c r="O322" s="166">
        <f t="shared" si="8"/>
        <v>0</v>
      </c>
    </row>
    <row r="323" spans="1:17" x14ac:dyDescent="0.25">
      <c r="A323" s="302"/>
      <c r="B323" s="303"/>
      <c r="C323" s="304"/>
      <c r="D323" s="304"/>
      <c r="E323" s="304"/>
      <c r="F323" s="304"/>
      <c r="G323" s="304"/>
      <c r="H323" s="304"/>
      <c r="I323" s="301"/>
      <c r="J323" s="301"/>
      <c r="K323" s="304"/>
      <c r="L323" s="301"/>
      <c r="M323" s="301"/>
      <c r="N323" s="301"/>
      <c r="O323" s="166">
        <f t="shared" si="8"/>
        <v>0</v>
      </c>
    </row>
    <row r="324" spans="1:17" x14ac:dyDescent="0.25">
      <c r="A324" s="302"/>
      <c r="B324" s="303"/>
      <c r="C324" s="304"/>
      <c r="D324" s="304"/>
      <c r="E324" s="304"/>
      <c r="F324" s="304"/>
      <c r="G324" s="304"/>
      <c r="H324" s="304"/>
      <c r="I324" s="301"/>
      <c r="J324" s="301"/>
      <c r="K324" s="304"/>
      <c r="L324" s="301"/>
      <c r="M324" s="301"/>
      <c r="N324" s="301"/>
      <c r="O324" s="166">
        <f t="shared" si="8"/>
        <v>0</v>
      </c>
      <c r="Q324" s="223" t="str">
        <f t="shared" ref="Q324:Q328" si="9">CONCATENATE(MID(B324,1,2),"-",MID(B324,4,2),"-",MID(B324,7,4))</f>
        <v>--</v>
      </c>
    </row>
    <row r="325" spans="1:17" x14ac:dyDescent="0.25">
      <c r="A325" s="302"/>
      <c r="B325" s="303"/>
      <c r="C325" s="304"/>
      <c r="D325" s="304"/>
      <c r="E325" s="304"/>
      <c r="F325" s="304"/>
      <c r="G325" s="304"/>
      <c r="H325" s="304"/>
      <c r="I325" s="301"/>
      <c r="J325" s="301"/>
      <c r="K325" s="304"/>
      <c r="L325" s="301"/>
      <c r="M325" s="301"/>
      <c r="N325" s="301"/>
      <c r="O325" s="166">
        <f t="shared" si="8"/>
        <v>0</v>
      </c>
      <c r="Q325" s="223" t="str">
        <f t="shared" si="9"/>
        <v>--</v>
      </c>
    </row>
    <row r="326" spans="1:17" x14ac:dyDescent="0.25">
      <c r="A326" s="302"/>
      <c r="B326" s="303"/>
      <c r="C326" s="304"/>
      <c r="D326" s="304"/>
      <c r="E326" s="304"/>
      <c r="F326" s="304"/>
      <c r="G326" s="304"/>
      <c r="H326" s="304"/>
      <c r="I326" s="301"/>
      <c r="J326" s="301"/>
      <c r="K326" s="304"/>
      <c r="L326" s="301"/>
      <c r="M326" s="301"/>
      <c r="N326" s="301"/>
      <c r="O326" s="166">
        <f t="shared" si="8"/>
        <v>0</v>
      </c>
      <c r="Q326" s="223" t="str">
        <f t="shared" si="9"/>
        <v>--</v>
      </c>
    </row>
    <row r="327" spans="1:17" x14ac:dyDescent="0.25">
      <c r="A327" s="302"/>
      <c r="B327" s="303"/>
      <c r="C327" s="304"/>
      <c r="D327" s="304"/>
      <c r="E327" s="304"/>
      <c r="F327" s="304"/>
      <c r="G327" s="304"/>
      <c r="H327" s="304"/>
      <c r="I327" s="301"/>
      <c r="J327" s="301"/>
      <c r="K327" s="304"/>
      <c r="L327" s="301"/>
      <c r="M327" s="301"/>
      <c r="N327" s="301"/>
      <c r="O327" s="166">
        <f t="shared" si="8"/>
        <v>0</v>
      </c>
      <c r="Q327" s="223" t="str">
        <f t="shared" si="9"/>
        <v>--</v>
      </c>
    </row>
    <row r="328" spans="1:17" x14ac:dyDescent="0.25">
      <c r="A328" s="302"/>
      <c r="B328" s="303"/>
      <c r="C328" s="304"/>
      <c r="D328" s="304"/>
      <c r="E328" s="304"/>
      <c r="F328" s="304"/>
      <c r="G328" s="304"/>
      <c r="H328" s="304"/>
      <c r="I328" s="301"/>
      <c r="J328" s="301"/>
      <c r="K328" s="304"/>
      <c r="L328" s="301"/>
      <c r="M328" s="301"/>
      <c r="N328" s="301"/>
      <c r="O328" s="166">
        <f t="shared" si="8"/>
        <v>0</v>
      </c>
      <c r="Q328" s="223" t="str">
        <f t="shared" si="9"/>
        <v>--</v>
      </c>
    </row>
    <row r="329" spans="1:17" x14ac:dyDescent="0.25">
      <c r="A329" s="302"/>
      <c r="B329" s="303"/>
      <c r="C329" s="304"/>
      <c r="D329" s="304"/>
      <c r="E329" s="304"/>
      <c r="F329" s="304"/>
      <c r="G329" s="304"/>
      <c r="H329" s="304"/>
      <c r="I329" s="301"/>
      <c r="J329" s="301"/>
      <c r="K329" s="304"/>
      <c r="L329" s="301"/>
      <c r="M329" s="301"/>
      <c r="N329" s="301"/>
      <c r="O329" s="166">
        <f t="shared" si="8"/>
        <v>0</v>
      </c>
      <c r="Q329" s="223" t="str">
        <f>CONCATENATE(MID(B329,1,2),"-",MID(B329,4,2),"-",MID(B329,7,4))</f>
        <v>--</v>
      </c>
    </row>
    <row r="330" spans="1:17" x14ac:dyDescent="0.25">
      <c r="A330" s="302"/>
      <c r="B330" s="303"/>
      <c r="C330" s="304"/>
      <c r="D330" s="304"/>
      <c r="E330" s="304"/>
      <c r="F330" s="304"/>
      <c r="G330" s="304"/>
      <c r="H330" s="304"/>
      <c r="I330" s="301"/>
      <c r="J330" s="301"/>
      <c r="K330" s="304"/>
      <c r="L330" s="301"/>
      <c r="M330" s="301"/>
      <c r="N330" s="301"/>
      <c r="O330" s="166">
        <f t="shared" si="8"/>
        <v>0</v>
      </c>
    </row>
    <row r="331" spans="1:17" x14ac:dyDescent="0.25">
      <c r="A331" s="302"/>
      <c r="B331" s="303"/>
      <c r="C331" s="304"/>
      <c r="D331" s="304"/>
      <c r="E331" s="304"/>
      <c r="F331" s="304"/>
      <c r="G331" s="304"/>
      <c r="H331" s="304"/>
      <c r="I331" s="301"/>
      <c r="J331" s="301"/>
      <c r="K331" s="304"/>
      <c r="L331" s="301"/>
      <c r="M331" s="301"/>
      <c r="N331" s="301"/>
      <c r="O331" s="166">
        <f t="shared" si="8"/>
        <v>0</v>
      </c>
    </row>
    <row r="332" spans="1:17" x14ac:dyDescent="0.25">
      <c r="A332" s="302"/>
      <c r="B332" s="303"/>
      <c r="C332" s="304"/>
      <c r="D332" s="304"/>
      <c r="E332" s="304"/>
      <c r="F332" s="304"/>
      <c r="G332" s="304"/>
      <c r="H332" s="304"/>
      <c r="I332" s="301"/>
      <c r="J332" s="301"/>
      <c r="K332" s="304"/>
      <c r="L332" s="301"/>
      <c r="M332" s="301"/>
      <c r="N332" s="301"/>
      <c r="O332" s="166">
        <f t="shared" si="8"/>
        <v>0</v>
      </c>
    </row>
    <row r="333" spans="1:17" x14ac:dyDescent="0.25">
      <c r="A333" s="302"/>
      <c r="B333" s="303"/>
      <c r="C333" s="304"/>
      <c r="D333" s="304"/>
      <c r="E333" s="304"/>
      <c r="F333" s="304"/>
      <c r="G333" s="304"/>
      <c r="H333" s="304"/>
      <c r="I333" s="301"/>
      <c r="J333" s="301"/>
      <c r="K333" s="304"/>
      <c r="L333" s="301"/>
      <c r="M333" s="301"/>
      <c r="N333" s="301"/>
      <c r="O333" s="166">
        <f t="shared" si="8"/>
        <v>0</v>
      </c>
    </row>
    <row r="334" spans="1:17" x14ac:dyDescent="0.25">
      <c r="A334" s="302"/>
      <c r="B334" s="303"/>
      <c r="C334" s="304"/>
      <c r="D334" s="304"/>
      <c r="E334" s="304"/>
      <c r="F334" s="304"/>
      <c r="G334" s="304"/>
      <c r="H334" s="304"/>
      <c r="I334" s="301"/>
      <c r="J334" s="301"/>
      <c r="K334" s="304"/>
      <c r="L334" s="301"/>
      <c r="M334" s="301"/>
      <c r="N334" s="301"/>
      <c r="O334" s="166">
        <f t="shared" si="8"/>
        <v>0</v>
      </c>
    </row>
    <row r="335" spans="1:17" x14ac:dyDescent="0.25">
      <c r="A335" s="302"/>
      <c r="B335" s="303"/>
      <c r="C335" s="304"/>
      <c r="D335" s="304"/>
      <c r="E335" s="304"/>
      <c r="F335" s="304"/>
      <c r="G335" s="304"/>
      <c r="H335" s="304"/>
      <c r="I335" s="301"/>
      <c r="J335" s="301"/>
      <c r="K335" s="304"/>
      <c r="L335" s="301"/>
      <c r="M335" s="301"/>
      <c r="N335" s="301"/>
      <c r="O335" s="166">
        <f t="shared" si="8"/>
        <v>0</v>
      </c>
    </row>
    <row r="336" spans="1:17" x14ac:dyDescent="0.25">
      <c r="A336" s="302"/>
      <c r="B336" s="303"/>
      <c r="C336" s="304"/>
      <c r="D336" s="304"/>
      <c r="E336" s="304"/>
      <c r="F336" s="304"/>
      <c r="G336" s="304"/>
      <c r="H336" s="304"/>
      <c r="I336" s="301"/>
      <c r="J336" s="301"/>
      <c r="K336" s="304"/>
      <c r="L336" s="301"/>
      <c r="M336" s="301"/>
      <c r="N336" s="301"/>
      <c r="O336" s="166">
        <f t="shared" si="8"/>
        <v>0</v>
      </c>
    </row>
    <row r="337" spans="1:15" x14ac:dyDescent="0.25">
      <c r="A337" s="302"/>
      <c r="B337" s="303"/>
      <c r="C337" s="304"/>
      <c r="D337" s="304"/>
      <c r="E337" s="304"/>
      <c r="F337" s="304"/>
      <c r="G337" s="304"/>
      <c r="H337" s="304"/>
      <c r="I337" s="301"/>
      <c r="J337" s="301"/>
      <c r="K337" s="304"/>
      <c r="L337" s="301"/>
      <c r="M337" s="301"/>
      <c r="N337" s="301"/>
      <c r="O337" s="166">
        <f t="shared" si="8"/>
        <v>0</v>
      </c>
    </row>
    <row r="338" spans="1:15" x14ac:dyDescent="0.25">
      <c r="A338" s="302"/>
      <c r="B338" s="303"/>
      <c r="C338" s="304"/>
      <c r="D338" s="304"/>
      <c r="E338" s="304"/>
      <c r="F338" s="304"/>
      <c r="G338" s="304"/>
      <c r="H338" s="304"/>
      <c r="I338" s="301"/>
      <c r="J338" s="301"/>
      <c r="K338" s="304"/>
      <c r="L338" s="301"/>
      <c r="M338" s="301"/>
      <c r="N338" s="301"/>
      <c r="O338" s="166">
        <f t="shared" si="8"/>
        <v>0</v>
      </c>
    </row>
    <row r="339" spans="1:15" x14ac:dyDescent="0.25">
      <c r="A339" s="302"/>
      <c r="B339" s="303"/>
      <c r="C339" s="304"/>
      <c r="D339" s="304"/>
      <c r="E339" s="304"/>
      <c r="F339" s="304"/>
      <c r="G339" s="304"/>
      <c r="H339" s="304"/>
      <c r="I339" s="301"/>
      <c r="J339" s="301"/>
      <c r="K339" s="304"/>
      <c r="L339" s="301"/>
      <c r="M339" s="301"/>
      <c r="N339" s="301"/>
      <c r="O339" s="166">
        <f t="shared" si="8"/>
        <v>0</v>
      </c>
    </row>
    <row r="340" spans="1:15" x14ac:dyDescent="0.25">
      <c r="A340" s="302"/>
      <c r="B340" s="303"/>
      <c r="C340" s="304"/>
      <c r="D340" s="304"/>
      <c r="E340" s="304"/>
      <c r="F340" s="304"/>
      <c r="G340" s="304"/>
      <c r="H340" s="304"/>
      <c r="I340" s="301"/>
      <c r="J340" s="301"/>
      <c r="K340" s="304"/>
      <c r="L340" s="301"/>
      <c r="M340" s="301"/>
      <c r="N340" s="301"/>
      <c r="O340" s="166">
        <f t="shared" si="8"/>
        <v>0</v>
      </c>
    </row>
    <row r="341" spans="1:15" x14ac:dyDescent="0.25">
      <c r="A341" s="302"/>
      <c r="B341" s="303"/>
      <c r="C341" s="304"/>
      <c r="D341" s="304"/>
      <c r="E341" s="304"/>
      <c r="F341" s="304"/>
      <c r="G341" s="304"/>
      <c r="H341" s="304"/>
      <c r="I341" s="301"/>
      <c r="J341" s="301"/>
      <c r="K341" s="304"/>
      <c r="L341" s="301"/>
      <c r="M341" s="301"/>
      <c r="N341" s="301"/>
      <c r="O341" s="166">
        <f t="shared" si="8"/>
        <v>0</v>
      </c>
    </row>
    <row r="342" spans="1:15" x14ac:dyDescent="0.25">
      <c r="A342" s="302"/>
      <c r="B342" s="303"/>
      <c r="C342" s="304"/>
      <c r="D342" s="304"/>
      <c r="E342" s="304"/>
      <c r="F342" s="304"/>
      <c r="G342" s="304"/>
      <c r="H342" s="304"/>
      <c r="I342" s="301"/>
      <c r="J342" s="301"/>
      <c r="K342" s="304"/>
      <c r="L342" s="301"/>
      <c r="M342" s="301"/>
      <c r="N342" s="301"/>
      <c r="O342" s="166">
        <f t="shared" si="8"/>
        <v>0</v>
      </c>
    </row>
    <row r="343" spans="1:15" x14ac:dyDescent="0.25">
      <c r="A343" s="302"/>
      <c r="B343" s="303"/>
      <c r="C343" s="304"/>
      <c r="D343" s="304"/>
      <c r="E343" s="304"/>
      <c r="F343" s="304"/>
      <c r="G343" s="304"/>
      <c r="H343" s="304"/>
      <c r="I343" s="301"/>
      <c r="J343" s="301"/>
      <c r="K343" s="304"/>
      <c r="L343" s="301"/>
      <c r="M343" s="301"/>
      <c r="N343" s="301"/>
      <c r="O343" s="166">
        <f t="shared" si="8"/>
        <v>0</v>
      </c>
    </row>
    <row r="344" spans="1:15" x14ac:dyDescent="0.25">
      <c r="A344" s="302"/>
      <c r="B344" s="303"/>
      <c r="C344" s="304"/>
      <c r="D344" s="304"/>
      <c r="E344" s="304"/>
      <c r="F344" s="304"/>
      <c r="G344" s="304"/>
      <c r="H344" s="304"/>
      <c r="I344" s="301"/>
      <c r="J344" s="301"/>
      <c r="K344" s="304"/>
      <c r="L344" s="301"/>
      <c r="M344" s="301"/>
      <c r="N344" s="301"/>
      <c r="O344" s="166">
        <f t="shared" si="8"/>
        <v>0</v>
      </c>
    </row>
    <row r="345" spans="1:15" x14ac:dyDescent="0.25">
      <c r="A345" s="302"/>
      <c r="B345" s="303"/>
      <c r="C345" s="304"/>
      <c r="D345" s="304"/>
      <c r="E345" s="304"/>
      <c r="F345" s="304"/>
      <c r="G345" s="304"/>
      <c r="H345" s="304"/>
      <c r="I345" s="301"/>
      <c r="J345" s="301"/>
      <c r="K345" s="304"/>
      <c r="L345" s="301"/>
      <c r="M345" s="301"/>
      <c r="N345" s="301"/>
      <c r="O345" s="166">
        <f t="shared" si="8"/>
        <v>0</v>
      </c>
    </row>
    <row r="346" spans="1:15" x14ac:dyDescent="0.25">
      <c r="A346" s="302"/>
      <c r="B346" s="303"/>
      <c r="C346" s="304"/>
      <c r="D346" s="304"/>
      <c r="E346" s="304"/>
      <c r="F346" s="304"/>
      <c r="G346" s="304"/>
      <c r="H346" s="304"/>
      <c r="I346" s="301"/>
      <c r="J346" s="301"/>
      <c r="K346" s="304"/>
      <c r="L346" s="301"/>
      <c r="M346" s="301"/>
      <c r="N346" s="301"/>
      <c r="O346" s="166">
        <f t="shared" si="8"/>
        <v>0</v>
      </c>
    </row>
    <row r="347" spans="1:15" x14ac:dyDescent="0.25">
      <c r="A347" s="302"/>
      <c r="B347" s="303"/>
      <c r="C347" s="304"/>
      <c r="D347" s="304"/>
      <c r="E347" s="304"/>
      <c r="F347" s="304"/>
      <c r="G347" s="304"/>
      <c r="H347" s="304"/>
      <c r="I347" s="301"/>
      <c r="J347" s="301"/>
      <c r="K347" s="304"/>
      <c r="L347" s="301"/>
      <c r="M347" s="301"/>
      <c r="N347" s="301"/>
      <c r="O347" s="166">
        <f t="shared" si="8"/>
        <v>0</v>
      </c>
    </row>
    <row r="348" spans="1:15" x14ac:dyDescent="0.25">
      <c r="A348" s="302"/>
      <c r="B348" s="303"/>
      <c r="C348" s="304"/>
      <c r="D348" s="304"/>
      <c r="E348" s="304"/>
      <c r="F348" s="304"/>
      <c r="G348" s="304"/>
      <c r="H348" s="304"/>
      <c r="I348" s="301"/>
      <c r="J348" s="301"/>
      <c r="K348" s="304"/>
      <c r="L348" s="301"/>
      <c r="M348" s="301"/>
      <c r="N348" s="301"/>
      <c r="O348" s="166">
        <f t="shared" si="8"/>
        <v>0</v>
      </c>
    </row>
    <row r="349" spans="1:15" x14ac:dyDescent="0.25">
      <c r="A349" s="302"/>
      <c r="B349" s="303"/>
      <c r="C349" s="304"/>
      <c r="D349" s="304"/>
      <c r="E349" s="304"/>
      <c r="F349" s="304"/>
      <c r="G349" s="304"/>
      <c r="H349" s="304"/>
      <c r="I349" s="301"/>
      <c r="J349" s="301"/>
      <c r="K349" s="304"/>
      <c r="L349" s="301"/>
      <c r="M349" s="301"/>
      <c r="N349" s="301"/>
      <c r="O349" s="166">
        <f t="shared" si="8"/>
        <v>0</v>
      </c>
    </row>
    <row r="350" spans="1:15" x14ac:dyDescent="0.25">
      <c r="A350" s="302"/>
      <c r="B350" s="303"/>
      <c r="C350" s="304"/>
      <c r="D350" s="304"/>
      <c r="E350" s="304"/>
      <c r="F350" s="304"/>
      <c r="G350" s="304"/>
      <c r="H350" s="304"/>
      <c r="I350" s="301"/>
      <c r="J350" s="301"/>
      <c r="K350" s="304"/>
      <c r="L350" s="301"/>
      <c r="M350" s="301"/>
      <c r="N350" s="301"/>
      <c r="O350" s="166">
        <f t="shared" si="8"/>
        <v>0</v>
      </c>
    </row>
    <row r="351" spans="1:15" x14ac:dyDescent="0.25">
      <c r="A351" s="302"/>
      <c r="B351" s="303"/>
      <c r="C351" s="304"/>
      <c r="D351" s="304"/>
      <c r="E351" s="304"/>
      <c r="F351" s="304"/>
      <c r="G351" s="304"/>
      <c r="H351" s="304"/>
      <c r="I351" s="301"/>
      <c r="J351" s="301"/>
      <c r="K351" s="304"/>
      <c r="L351" s="301"/>
      <c r="M351" s="301"/>
      <c r="N351" s="301"/>
      <c r="O351" s="166">
        <f t="shared" si="8"/>
        <v>0</v>
      </c>
    </row>
    <row r="352" spans="1:15" x14ac:dyDescent="0.25">
      <c r="A352" s="302"/>
      <c r="B352" s="303"/>
      <c r="C352" s="304"/>
      <c r="D352" s="304"/>
      <c r="E352" s="304"/>
      <c r="F352" s="304"/>
      <c r="G352" s="304"/>
      <c r="H352" s="304"/>
      <c r="I352" s="301"/>
      <c r="J352" s="301"/>
      <c r="K352" s="304"/>
      <c r="L352" s="301"/>
      <c r="M352" s="301"/>
      <c r="N352" s="301"/>
      <c r="O352" s="166">
        <f t="shared" si="8"/>
        <v>0</v>
      </c>
    </row>
    <row r="353" spans="1:15" x14ac:dyDescent="0.25">
      <c r="A353" s="302"/>
      <c r="B353" s="303"/>
      <c r="C353" s="304"/>
      <c r="D353" s="304"/>
      <c r="E353" s="304"/>
      <c r="F353" s="304"/>
      <c r="G353" s="304"/>
      <c r="H353" s="304"/>
      <c r="I353" s="301"/>
      <c r="J353" s="301"/>
      <c r="K353" s="304"/>
      <c r="L353" s="301"/>
      <c r="M353" s="301"/>
      <c r="N353" s="301"/>
      <c r="O353" s="166">
        <f t="shared" si="8"/>
        <v>0</v>
      </c>
    </row>
    <row r="354" spans="1:15" x14ac:dyDescent="0.25">
      <c r="A354" s="302"/>
      <c r="B354" s="303"/>
      <c r="C354" s="304"/>
      <c r="D354" s="304"/>
      <c r="E354" s="304"/>
      <c r="F354" s="304"/>
      <c r="G354" s="304"/>
      <c r="H354" s="304"/>
      <c r="I354" s="301"/>
      <c r="J354" s="301"/>
      <c r="K354" s="304"/>
      <c r="L354" s="301"/>
      <c r="M354" s="301"/>
      <c r="N354" s="301"/>
      <c r="O354" s="166">
        <f t="shared" si="8"/>
        <v>0</v>
      </c>
    </row>
    <row r="355" spans="1:15" x14ac:dyDescent="0.25">
      <c r="A355" s="302"/>
      <c r="B355" s="303"/>
      <c r="C355" s="304"/>
      <c r="D355" s="304"/>
      <c r="E355" s="304"/>
      <c r="F355" s="304"/>
      <c r="G355" s="304"/>
      <c r="H355" s="304"/>
      <c r="I355" s="301"/>
      <c r="J355" s="301"/>
      <c r="K355" s="304"/>
      <c r="L355" s="305"/>
      <c r="M355" s="301"/>
      <c r="N355" s="301"/>
      <c r="O355" s="166">
        <f t="shared" si="8"/>
        <v>0</v>
      </c>
    </row>
    <row r="356" spans="1:15" x14ac:dyDescent="0.25">
      <c r="A356" s="302"/>
      <c r="B356" s="303"/>
      <c r="C356" s="304"/>
      <c r="D356" s="304"/>
      <c r="E356" s="304"/>
      <c r="F356" s="304"/>
      <c r="G356" s="304"/>
      <c r="H356" s="304"/>
      <c r="I356" s="301"/>
      <c r="J356" s="301"/>
      <c r="K356" s="304"/>
      <c r="L356" s="305"/>
      <c r="M356" s="301"/>
      <c r="N356" s="301"/>
      <c r="O356" s="166">
        <f t="shared" si="8"/>
        <v>0</v>
      </c>
    </row>
    <row r="357" spans="1:15" x14ac:dyDescent="0.25">
      <c r="A357" s="302"/>
      <c r="B357" s="303"/>
      <c r="C357" s="304"/>
      <c r="D357" s="304"/>
      <c r="E357" s="304"/>
      <c r="F357" s="304"/>
      <c r="G357" s="304"/>
      <c r="H357" s="304"/>
      <c r="I357" s="301"/>
      <c r="J357" s="301"/>
      <c r="K357" s="304"/>
      <c r="L357" s="305"/>
      <c r="M357" s="301"/>
      <c r="N357" s="301"/>
      <c r="O357" s="166">
        <f t="shared" si="8"/>
        <v>0</v>
      </c>
    </row>
    <row r="358" spans="1:15" x14ac:dyDescent="0.25">
      <c r="A358" s="196"/>
      <c r="B358" s="197"/>
      <c r="C358" s="198"/>
      <c r="D358" s="198"/>
      <c r="E358" s="198"/>
      <c r="F358" s="198"/>
      <c r="G358" s="198"/>
      <c r="H358" s="198"/>
      <c r="I358" s="199"/>
      <c r="J358" s="199"/>
      <c r="K358" s="198"/>
      <c r="L358" s="287"/>
      <c r="M358" s="286"/>
      <c r="N358" s="286"/>
      <c r="O358" s="166">
        <f t="shared" si="8"/>
        <v>0</v>
      </c>
    </row>
    <row r="359" spans="1:15" x14ac:dyDescent="0.25">
      <c r="A359" s="196"/>
      <c r="B359" s="197"/>
      <c r="C359" s="198"/>
      <c r="D359" s="198"/>
      <c r="E359" s="198"/>
      <c r="F359" s="198"/>
      <c r="G359" s="198"/>
      <c r="H359" s="198"/>
      <c r="I359" s="199"/>
      <c r="J359" s="199"/>
      <c r="K359" s="198"/>
      <c r="L359" s="287"/>
      <c r="M359" s="286"/>
      <c r="N359" s="286"/>
      <c r="O359" s="166">
        <f t="shared" si="8"/>
        <v>0</v>
      </c>
    </row>
    <row r="360" spans="1:15" x14ac:dyDescent="0.25">
      <c r="A360" s="196"/>
      <c r="B360" s="197"/>
      <c r="C360" s="198"/>
      <c r="D360" s="198"/>
      <c r="E360" s="198"/>
      <c r="F360" s="198"/>
      <c r="G360" s="198"/>
      <c r="H360" s="198"/>
      <c r="I360" s="199"/>
      <c r="J360" s="199"/>
      <c r="K360" s="198"/>
      <c r="L360" s="287"/>
      <c r="M360" s="286"/>
      <c r="N360" s="286"/>
      <c r="O360" s="166">
        <f t="shared" si="8"/>
        <v>0</v>
      </c>
    </row>
    <row r="361" spans="1:15" x14ac:dyDescent="0.25">
      <c r="A361" s="196"/>
      <c r="B361" s="197"/>
      <c r="C361" s="198"/>
      <c r="D361" s="198"/>
      <c r="E361" s="198"/>
      <c r="F361" s="198"/>
      <c r="G361" s="198"/>
      <c r="H361" s="198"/>
      <c r="I361" s="199"/>
      <c r="J361" s="199"/>
      <c r="K361" s="198"/>
      <c r="L361" s="287"/>
      <c r="M361" s="286"/>
      <c r="N361" s="286"/>
      <c r="O361" s="166">
        <f t="shared" si="8"/>
        <v>0</v>
      </c>
    </row>
    <row r="362" spans="1:15" x14ac:dyDescent="0.25">
      <c r="A362" s="196"/>
      <c r="B362" s="197"/>
      <c r="C362" s="198"/>
      <c r="D362" s="198"/>
      <c r="E362" s="198"/>
      <c r="F362" s="198"/>
      <c r="G362" s="198"/>
      <c r="H362" s="198"/>
      <c r="I362" s="199"/>
      <c r="J362" s="199"/>
      <c r="K362" s="198"/>
      <c r="L362" s="287"/>
      <c r="M362" s="286"/>
      <c r="N362" s="286"/>
      <c r="O362" s="166">
        <f t="shared" si="8"/>
        <v>0</v>
      </c>
    </row>
    <row r="363" spans="1:15" x14ac:dyDescent="0.25">
      <c r="A363" s="196"/>
      <c r="B363" s="197"/>
      <c r="C363" s="198"/>
      <c r="D363" s="198"/>
      <c r="E363" s="198"/>
      <c r="F363" s="198"/>
      <c r="G363" s="198"/>
      <c r="H363" s="198"/>
      <c r="I363" s="199"/>
      <c r="J363" s="199"/>
      <c r="K363" s="198"/>
      <c r="L363" s="287"/>
      <c r="M363" s="286"/>
      <c r="N363" s="286"/>
      <c r="O363" s="166">
        <f t="shared" si="8"/>
        <v>0</v>
      </c>
    </row>
    <row r="364" spans="1:15" x14ac:dyDescent="0.25">
      <c r="A364" s="196"/>
      <c r="B364" s="197"/>
      <c r="C364" s="198"/>
      <c r="D364" s="198"/>
      <c r="E364" s="198"/>
      <c r="F364" s="198"/>
      <c r="G364" s="198"/>
      <c r="H364" s="198"/>
      <c r="I364" s="199"/>
      <c r="J364" s="199"/>
      <c r="K364" s="198"/>
      <c r="L364" s="287"/>
      <c r="M364" s="286"/>
      <c r="N364" s="286"/>
      <c r="O364" s="166">
        <f t="shared" si="8"/>
        <v>0</v>
      </c>
    </row>
    <row r="365" spans="1:15" x14ac:dyDescent="0.25">
      <c r="A365" s="196"/>
      <c r="B365" s="197"/>
      <c r="C365" s="198"/>
      <c r="D365" s="198"/>
      <c r="E365" s="198"/>
      <c r="F365" s="198"/>
      <c r="G365" s="198"/>
      <c r="H365" s="198"/>
      <c r="I365" s="199"/>
      <c r="J365" s="199"/>
      <c r="K365" s="198"/>
      <c r="L365" s="287"/>
      <c r="M365" s="286"/>
      <c r="N365" s="286"/>
      <c r="O365" s="166">
        <f t="shared" si="8"/>
        <v>0</v>
      </c>
    </row>
    <row r="366" spans="1:15" x14ac:dyDescent="0.25">
      <c r="A366" s="196"/>
      <c r="B366" s="197"/>
      <c r="C366" s="198"/>
      <c r="D366" s="198"/>
      <c r="E366" s="198"/>
      <c r="F366" s="198"/>
      <c r="G366" s="198"/>
      <c r="H366" s="198"/>
      <c r="I366" s="199"/>
      <c r="J366" s="199"/>
      <c r="K366" s="198"/>
      <c r="L366" s="287"/>
      <c r="M366" s="286"/>
      <c r="N366" s="286"/>
      <c r="O366" s="166">
        <f t="shared" si="8"/>
        <v>0</v>
      </c>
    </row>
    <row r="367" spans="1:15" x14ac:dyDescent="0.25">
      <c r="A367" s="108"/>
      <c r="B367" s="105"/>
      <c r="C367" s="94"/>
      <c r="D367" s="94"/>
      <c r="E367" s="94"/>
      <c r="F367" s="94"/>
      <c r="G367" s="94"/>
      <c r="H367" s="94"/>
      <c r="I367" s="95"/>
      <c r="J367" s="95"/>
      <c r="K367" s="94"/>
      <c r="L367" s="152"/>
      <c r="M367" s="96"/>
      <c r="N367" s="96"/>
    </row>
    <row r="368" spans="1:15" x14ac:dyDescent="0.25">
      <c r="A368" s="108"/>
      <c r="B368" s="105"/>
      <c r="C368" s="94"/>
      <c r="D368" s="94"/>
      <c r="E368" s="94"/>
      <c r="F368" s="94"/>
      <c r="G368" s="94"/>
      <c r="H368" s="94"/>
      <c r="I368" s="95"/>
      <c r="J368" s="95"/>
      <c r="K368" s="94"/>
      <c r="L368" s="152"/>
      <c r="M368" s="96"/>
      <c r="N368" s="96"/>
    </row>
    <row r="369" spans="1:14" x14ac:dyDescent="0.25">
      <c r="A369" s="108"/>
      <c r="B369" s="105"/>
      <c r="C369" s="94"/>
      <c r="D369" s="94"/>
      <c r="E369" s="94"/>
      <c r="F369" s="94"/>
      <c r="G369" s="94"/>
      <c r="H369" s="94"/>
      <c r="I369" s="95"/>
      <c r="J369" s="95"/>
      <c r="K369" s="94"/>
      <c r="L369" s="152"/>
      <c r="M369" s="96"/>
      <c r="N369" s="96"/>
    </row>
    <row r="370" spans="1:14" x14ac:dyDescent="0.25">
      <c r="A370" s="108"/>
      <c r="B370" s="105"/>
      <c r="C370" s="94"/>
      <c r="D370" s="94"/>
      <c r="E370" s="94"/>
      <c r="F370" s="94"/>
      <c r="G370" s="94"/>
      <c r="H370" s="94"/>
      <c r="I370" s="95"/>
      <c r="J370" s="95"/>
      <c r="K370" s="94"/>
      <c r="L370" s="152"/>
      <c r="M370" s="96"/>
      <c r="N370" s="96"/>
    </row>
    <row r="371" spans="1:14" x14ac:dyDescent="0.25">
      <c r="A371" s="108"/>
      <c r="B371" s="105"/>
      <c r="C371" s="94"/>
      <c r="D371" s="94"/>
      <c r="E371" s="94"/>
      <c r="F371" s="94"/>
      <c r="G371" s="94"/>
      <c r="H371" s="94"/>
      <c r="I371" s="95"/>
      <c r="J371" s="95"/>
      <c r="K371" s="94"/>
      <c r="L371" s="152"/>
      <c r="M371" s="96"/>
      <c r="N371" s="96"/>
    </row>
    <row r="372" spans="1:14" x14ac:dyDescent="0.25">
      <c r="A372" s="108"/>
      <c r="B372" s="105"/>
      <c r="C372" s="94"/>
      <c r="D372" s="94"/>
      <c r="E372" s="94"/>
      <c r="F372" s="94"/>
      <c r="G372" s="94"/>
      <c r="H372" s="94"/>
      <c r="I372" s="95"/>
      <c r="J372" s="95"/>
      <c r="K372" s="94"/>
      <c r="L372" s="152"/>
      <c r="M372" s="96"/>
      <c r="N372" s="96"/>
    </row>
    <row r="373" spans="1:14" x14ac:dyDescent="0.25">
      <c r="A373" s="108"/>
      <c r="B373" s="105"/>
      <c r="C373" s="94"/>
      <c r="D373" s="94"/>
      <c r="E373" s="94"/>
      <c r="F373" s="94"/>
      <c r="G373" s="94"/>
      <c r="H373" s="94"/>
      <c r="I373" s="95"/>
      <c r="J373" s="95"/>
      <c r="K373" s="94"/>
      <c r="L373" s="152"/>
      <c r="M373" s="96"/>
      <c r="N373" s="96"/>
    </row>
    <row r="374" spans="1:14" x14ac:dyDescent="0.25">
      <c r="A374" s="108"/>
      <c r="B374" s="105"/>
      <c r="C374" s="94"/>
      <c r="D374" s="94"/>
      <c r="E374" s="94"/>
      <c r="F374" s="94"/>
      <c r="G374" s="94"/>
      <c r="H374" s="94"/>
      <c r="I374" s="95"/>
      <c r="J374" s="95"/>
      <c r="K374" s="94"/>
      <c r="L374" s="152"/>
      <c r="M374" s="96"/>
      <c r="N374" s="96"/>
    </row>
    <row r="375" spans="1:14" x14ac:dyDescent="0.25">
      <c r="A375" s="108"/>
      <c r="B375" s="105"/>
      <c r="C375" s="94"/>
      <c r="D375" s="94"/>
      <c r="E375" s="94"/>
      <c r="F375" s="94"/>
      <c r="G375" s="94"/>
      <c r="H375" s="94"/>
      <c r="I375" s="95"/>
      <c r="J375" s="95"/>
      <c r="K375" s="94"/>
      <c r="L375" s="152"/>
      <c r="M375" s="96"/>
      <c r="N375" s="96"/>
    </row>
    <row r="376" spans="1:14" x14ac:dyDescent="0.25">
      <c r="A376" s="108"/>
      <c r="B376" s="105"/>
      <c r="C376" s="94"/>
      <c r="D376" s="94"/>
      <c r="E376" s="94"/>
      <c r="F376" s="94"/>
      <c r="G376" s="94"/>
      <c r="H376" s="94"/>
      <c r="I376" s="95"/>
      <c r="J376" s="95"/>
      <c r="K376" s="94"/>
      <c r="L376" s="152"/>
      <c r="M376" s="96"/>
      <c r="N376" s="96"/>
    </row>
    <row r="377" spans="1:14" x14ac:dyDescent="0.25">
      <c r="A377" s="108"/>
      <c r="B377" s="105"/>
      <c r="C377" s="94"/>
      <c r="D377" s="94"/>
      <c r="E377" s="94"/>
      <c r="F377" s="94"/>
      <c r="G377" s="94"/>
      <c r="H377" s="94"/>
      <c r="I377" s="95"/>
      <c r="J377" s="95"/>
      <c r="K377" s="94"/>
      <c r="L377" s="152"/>
      <c r="M377" s="96"/>
      <c r="N377" s="96"/>
    </row>
    <row r="378" spans="1:14" x14ac:dyDescent="0.25">
      <c r="A378" s="108"/>
      <c r="B378" s="105"/>
      <c r="C378" s="94"/>
      <c r="D378" s="94"/>
      <c r="E378" s="94"/>
      <c r="F378" s="94"/>
      <c r="G378" s="94"/>
      <c r="H378" s="94"/>
      <c r="I378" s="95"/>
      <c r="J378" s="95"/>
      <c r="K378" s="94"/>
      <c r="L378" s="152"/>
      <c r="M378" s="96"/>
      <c r="N378" s="96"/>
    </row>
    <row r="379" spans="1:14" x14ac:dyDescent="0.25">
      <c r="A379" s="108"/>
      <c r="B379" s="105"/>
      <c r="C379" s="94"/>
      <c r="D379" s="94"/>
      <c r="E379" s="94"/>
      <c r="F379" s="94"/>
      <c r="G379" s="94"/>
      <c r="H379" s="94"/>
      <c r="I379" s="95"/>
      <c r="J379" s="95"/>
      <c r="K379" s="94"/>
      <c r="L379" s="152"/>
      <c r="M379" s="96"/>
      <c r="N379" s="96"/>
    </row>
    <row r="380" spans="1:14" x14ac:dyDescent="0.25">
      <c r="A380" s="108"/>
      <c r="B380" s="105"/>
      <c r="C380" s="94"/>
      <c r="D380" s="94"/>
      <c r="E380" s="94"/>
      <c r="F380" s="94"/>
      <c r="G380" s="94"/>
      <c r="H380" s="94"/>
      <c r="I380" s="95"/>
      <c r="J380" s="95"/>
      <c r="K380" s="94"/>
      <c r="L380" s="152"/>
      <c r="M380" s="96"/>
      <c r="N380" s="96"/>
    </row>
    <row r="381" spans="1:14" x14ac:dyDescent="0.25">
      <c r="A381" s="108"/>
      <c r="B381" s="105"/>
      <c r="C381" s="94"/>
      <c r="D381" s="94"/>
      <c r="E381" s="94"/>
      <c r="F381" s="94"/>
      <c r="G381" s="94"/>
      <c r="H381" s="94"/>
      <c r="I381" s="95"/>
      <c r="J381" s="95"/>
      <c r="K381" s="94"/>
      <c r="L381" s="152"/>
      <c r="M381" s="96"/>
      <c r="N381" s="96"/>
    </row>
    <row r="382" spans="1:14" x14ac:dyDescent="0.25">
      <c r="A382" s="108"/>
      <c r="B382" s="105"/>
      <c r="C382" s="94"/>
      <c r="D382" s="94"/>
      <c r="E382" s="94"/>
      <c r="F382" s="94"/>
      <c r="G382" s="94"/>
      <c r="H382" s="94"/>
      <c r="I382" s="95"/>
      <c r="J382" s="95"/>
      <c r="K382" s="94"/>
      <c r="L382" s="152"/>
      <c r="M382" s="96"/>
      <c r="N382" s="96"/>
    </row>
    <row r="383" spans="1:14" x14ac:dyDescent="0.25">
      <c r="A383" s="108"/>
      <c r="B383" s="105"/>
      <c r="C383" s="94"/>
      <c r="D383" s="94"/>
      <c r="E383" s="94"/>
      <c r="F383" s="94"/>
      <c r="G383" s="94"/>
      <c r="H383" s="94"/>
      <c r="I383" s="95"/>
      <c r="J383" s="95"/>
      <c r="K383" s="94"/>
      <c r="L383" s="152"/>
      <c r="M383" s="96"/>
      <c r="N383" s="96"/>
    </row>
    <row r="384" spans="1:14" x14ac:dyDescent="0.25">
      <c r="A384" s="108"/>
      <c r="B384" s="105"/>
      <c r="C384" s="94"/>
      <c r="D384" s="94"/>
      <c r="E384" s="94"/>
      <c r="F384" s="94"/>
      <c r="G384" s="94"/>
      <c r="H384" s="94"/>
      <c r="I384" s="95"/>
      <c r="J384" s="95"/>
      <c r="K384" s="94"/>
      <c r="L384" s="152"/>
      <c r="M384" s="96"/>
      <c r="N384" s="96"/>
    </row>
    <row r="385" spans="1:21" x14ac:dyDescent="0.25">
      <c r="A385" s="108"/>
      <c r="B385" s="105"/>
      <c r="C385" s="94"/>
      <c r="D385" s="94"/>
      <c r="E385" s="94"/>
      <c r="F385" s="94"/>
      <c r="G385" s="94"/>
      <c r="H385" s="94"/>
      <c r="I385" s="95"/>
      <c r="J385" s="95"/>
      <c r="K385" s="94"/>
      <c r="L385" s="152"/>
      <c r="M385" s="96"/>
      <c r="N385" s="96"/>
    </row>
    <row r="386" spans="1:21" x14ac:dyDescent="0.25">
      <c r="A386" s="200"/>
      <c r="B386" s="201"/>
      <c r="C386" s="202"/>
      <c r="D386" s="202"/>
      <c r="E386" s="202"/>
      <c r="F386" s="202"/>
      <c r="G386" s="202"/>
      <c r="H386" s="202"/>
      <c r="I386" s="203"/>
      <c r="J386" s="203"/>
      <c r="K386" s="202"/>
      <c r="L386" s="152"/>
      <c r="M386" s="96"/>
      <c r="N386" s="96"/>
    </row>
    <row r="387" spans="1:21" x14ac:dyDescent="0.25">
      <c r="A387" s="200"/>
      <c r="B387" s="201"/>
      <c r="C387" s="202"/>
      <c r="D387" s="202"/>
      <c r="E387" s="202"/>
      <c r="F387" s="202"/>
      <c r="G387" s="202"/>
      <c r="H387" s="202"/>
      <c r="I387" s="203"/>
      <c r="J387" s="203"/>
      <c r="K387" s="202"/>
      <c r="L387" s="152"/>
      <c r="M387" s="96"/>
      <c r="N387" s="96"/>
    </row>
    <row r="388" spans="1:21" x14ac:dyDescent="0.25">
      <c r="A388" s="200"/>
      <c r="B388" s="201"/>
      <c r="C388" s="202"/>
      <c r="D388" s="202"/>
      <c r="E388" s="202"/>
      <c r="F388" s="202"/>
      <c r="G388" s="202"/>
      <c r="H388" s="202"/>
      <c r="I388" s="203"/>
      <c r="J388" s="203"/>
      <c r="K388" s="202"/>
      <c r="L388" s="152"/>
      <c r="M388" s="96"/>
      <c r="N388" s="96"/>
    </row>
    <row r="389" spans="1:21" x14ac:dyDescent="0.25">
      <c r="A389" s="200"/>
      <c r="B389" s="201"/>
      <c r="C389" s="202"/>
      <c r="D389" s="202"/>
      <c r="E389" s="202"/>
      <c r="F389" s="202"/>
      <c r="G389" s="202"/>
      <c r="H389" s="202"/>
      <c r="I389" s="203"/>
      <c r="J389" s="203"/>
      <c r="K389" s="202"/>
      <c r="L389" s="152"/>
      <c r="M389" s="96"/>
      <c r="N389" s="96"/>
      <c r="U389" s="53" t="s">
        <v>200</v>
      </c>
    </row>
    <row r="390" spans="1:21" x14ac:dyDescent="0.25">
      <c r="A390" s="108"/>
      <c r="B390" s="105"/>
      <c r="C390" s="94"/>
      <c r="D390" s="94"/>
      <c r="E390" s="94"/>
      <c r="F390" s="94"/>
      <c r="G390" s="94"/>
      <c r="H390" s="94"/>
      <c r="I390" s="95"/>
      <c r="J390" s="95"/>
      <c r="K390" s="94"/>
      <c r="L390" s="152">
        <f>I390+J390*EERR!$D$2</f>
        <v>0</v>
      </c>
      <c r="M390" s="96">
        <f>L390/EERR!$D$2</f>
        <v>0</v>
      </c>
      <c r="N390" s="96" t="e">
        <f>SUMIF(Ago!#REF!,A390,Ago!$T$3:$T$116)+SUMIF(Ago!$B$3:$B$116,A390,Ago!$T$3:$T$116)</f>
        <v>#REF!</v>
      </c>
    </row>
    <row r="391" spans="1:21" x14ac:dyDescent="0.25">
      <c r="A391" s="108"/>
      <c r="B391" s="105"/>
      <c r="C391" s="94"/>
      <c r="D391" s="94"/>
      <c r="E391" s="94"/>
      <c r="F391" s="94"/>
      <c r="G391" s="94"/>
      <c r="H391" s="94"/>
      <c r="I391" s="95"/>
      <c r="J391" s="95"/>
      <c r="K391" s="94"/>
      <c r="L391" s="152">
        <f>I391+J391*EERR!$D$2</f>
        <v>0</v>
      </c>
      <c r="M391" s="96">
        <f>L391/EERR!$D$2</f>
        <v>0</v>
      </c>
      <c r="N391" s="96" t="e">
        <f>SUMIF(Ago!#REF!,A391,Ago!$T$3:$T$116)+SUMIF(Ago!$B$3:$B$116,A391,Ago!$T$3:$T$116)</f>
        <v>#REF!</v>
      </c>
    </row>
    <row r="392" spans="1:21" x14ac:dyDescent="0.25">
      <c r="A392" s="108"/>
      <c r="B392" s="105"/>
      <c r="C392" s="94"/>
      <c r="D392" s="94"/>
      <c r="E392" s="94"/>
      <c r="F392" s="94"/>
      <c r="G392" s="94"/>
      <c r="H392" s="94"/>
      <c r="I392" s="95"/>
      <c r="J392" s="95"/>
      <c r="K392" s="94"/>
      <c r="L392" s="152">
        <f>I392+J392*EERR!$D$2</f>
        <v>0</v>
      </c>
      <c r="M392" s="96">
        <f>L392/EERR!$D$2</f>
        <v>0</v>
      </c>
      <c r="N392" s="96" t="e">
        <f>SUMIF(Ago!#REF!,A392,Ago!$T$3:$T$116)+SUMIF(Ago!$B$3:$B$116,A392,Ago!$T$3:$T$116)</f>
        <v>#REF!</v>
      </c>
    </row>
    <row r="393" spans="1:21" x14ac:dyDescent="0.25">
      <c r="A393" s="108"/>
      <c r="B393" s="105"/>
      <c r="C393" s="94"/>
      <c r="D393" s="94"/>
      <c r="E393" s="94"/>
      <c r="F393" s="94"/>
      <c r="G393" s="94"/>
      <c r="H393" s="94"/>
      <c r="I393" s="95"/>
      <c r="J393" s="95"/>
      <c r="K393" s="94"/>
      <c r="L393" s="152">
        <f>I393+J393*EERR!$D$2</f>
        <v>0</v>
      </c>
      <c r="M393" s="96">
        <f>L393/EERR!$D$2</f>
        <v>0</v>
      </c>
      <c r="N393" s="96" t="e">
        <f>SUMIF(Ago!#REF!,A393,Ago!$T$3:$T$116)+SUMIF(Ago!$B$3:$B$116,A393,Ago!$T$3:$T$116)</f>
        <v>#REF!</v>
      </c>
    </row>
    <row r="394" spans="1:21" x14ac:dyDescent="0.25">
      <c r="A394" s="108"/>
      <c r="B394" s="105"/>
      <c r="C394" s="94"/>
      <c r="D394" s="94"/>
      <c r="E394" s="94"/>
      <c r="F394" s="94"/>
      <c r="G394" s="94"/>
      <c r="H394" s="94"/>
      <c r="I394" s="95">
        <f>SUM(I199:I393)</f>
        <v>5064759</v>
      </c>
      <c r="J394" s="95">
        <f>SUM(J199:J393)</f>
        <v>36790.75</v>
      </c>
      <c r="K394" s="94"/>
      <c r="L394" s="152">
        <f>I394+J394*EERR!$D$2</f>
        <v>31303921.900000002</v>
      </c>
      <c r="M394" s="96">
        <f>L394/EERR!$D$2</f>
        <v>43892.206814357822</v>
      </c>
      <c r="N394" s="96" t="e">
        <f>SUMIF(Ago!#REF!,A394,Ago!$T$3:$T$116)+SUMIF(Ago!$B$3:$B$116,A394,Ago!$T$3:$T$116)</f>
        <v>#REF!</v>
      </c>
    </row>
    <row r="398" spans="1:21" x14ac:dyDescent="0.25">
      <c r="A398" s="146"/>
      <c r="B398" s="146"/>
      <c r="C398" s="146"/>
      <c r="D398" s="146"/>
      <c r="E398" s="146"/>
      <c r="F398" s="146"/>
      <c r="G398" s="146"/>
      <c r="H398" s="146"/>
      <c r="I398" s="170"/>
      <c r="J398" s="170"/>
      <c r="K398" s="146"/>
      <c r="L398" s="170">
        <f>Ago!L117</f>
        <v>0</v>
      </c>
      <c r="M398" s="146"/>
      <c r="N398" s="146"/>
    </row>
    <row r="399" spans="1:21" x14ac:dyDescent="0.25">
      <c r="A399" s="146"/>
      <c r="B399" s="171"/>
      <c r="C399" s="146"/>
      <c r="D399" s="146"/>
      <c r="E399" s="146"/>
      <c r="F399" s="146"/>
      <c r="G399" s="146"/>
      <c r="H399" s="146"/>
      <c r="I399" s="170"/>
      <c r="J399" s="170"/>
      <c r="K399" s="146"/>
      <c r="L399" s="147" t="e">
        <f>SUM(L192:L398)</f>
        <v>#VALUE!</v>
      </c>
    </row>
    <row r="400" spans="1:21" x14ac:dyDescent="0.25">
      <c r="A400" s="146"/>
      <c r="B400" s="171"/>
      <c r="C400" s="146"/>
      <c r="D400" s="146"/>
      <c r="E400" s="146"/>
      <c r="F400" s="146"/>
      <c r="G400" s="146"/>
      <c r="H400" s="146"/>
      <c r="I400" s="170"/>
      <c r="J400" s="170"/>
      <c r="K400" s="146"/>
    </row>
    <row r="401" spans="1:12" x14ac:dyDescent="0.25">
      <c r="A401" s="172"/>
      <c r="B401" s="172"/>
      <c r="C401" s="172"/>
      <c r="D401" s="172"/>
      <c r="E401" s="172"/>
      <c r="F401" s="172"/>
      <c r="G401" s="172" t="s">
        <v>98</v>
      </c>
      <c r="H401" s="172"/>
      <c r="I401" s="173">
        <f>I192</f>
        <v>5277333</v>
      </c>
      <c r="J401" s="173">
        <f>J192</f>
        <v>33063.85</v>
      </c>
      <c r="K401" s="172"/>
      <c r="L401" s="147">
        <v>51431551.622000001</v>
      </c>
    </row>
    <row r="402" spans="1:12" x14ac:dyDescent="0.25">
      <c r="A402" s="172"/>
      <c r="B402" s="172"/>
      <c r="C402" s="172"/>
      <c r="D402" s="172"/>
      <c r="E402" s="172"/>
      <c r="F402" s="172"/>
      <c r="G402" s="172" t="s">
        <v>99</v>
      </c>
      <c r="H402" s="172"/>
      <c r="I402" s="174"/>
      <c r="J402" s="174"/>
      <c r="K402" s="172"/>
    </row>
    <row r="403" spans="1:12" x14ac:dyDescent="0.25">
      <c r="A403" s="172"/>
      <c r="B403" s="172"/>
      <c r="C403" s="172"/>
      <c r="D403" s="172"/>
      <c r="E403" s="172"/>
      <c r="F403" s="172"/>
      <c r="G403" s="172"/>
      <c r="H403" s="172"/>
      <c r="K403" s="147"/>
    </row>
    <row r="404" spans="1:12" x14ac:dyDescent="0.25">
      <c r="A404" s="172"/>
      <c r="B404" s="172"/>
      <c r="C404" s="172"/>
      <c r="D404" s="172"/>
      <c r="E404" s="172"/>
      <c r="F404" s="172"/>
      <c r="G404" s="172"/>
      <c r="H404" s="172"/>
      <c r="I404" s="175"/>
      <c r="J404" s="175"/>
      <c r="K404" s="172"/>
    </row>
    <row r="405" spans="1:12" x14ac:dyDescent="0.25">
      <c r="A405" s="133" t="s">
        <v>87</v>
      </c>
      <c r="B405" s="172"/>
      <c r="C405" s="172"/>
      <c r="D405" s="172"/>
      <c r="E405" s="172"/>
      <c r="F405" s="172"/>
      <c r="G405" s="172"/>
      <c r="H405" s="172"/>
      <c r="I405" s="175"/>
      <c r="J405" s="175"/>
      <c r="K405" s="172"/>
    </row>
    <row r="406" spans="1:12" x14ac:dyDescent="0.25">
      <c r="A406" s="94"/>
      <c r="B406" s="172"/>
      <c r="C406" s="172"/>
      <c r="D406" s="172"/>
      <c r="E406" s="172"/>
      <c r="F406" s="172"/>
      <c r="G406" s="172"/>
      <c r="H406" s="172"/>
      <c r="I406" s="175"/>
      <c r="J406" s="175"/>
      <c r="K406" s="172"/>
    </row>
    <row r="407" spans="1:12" x14ac:dyDescent="0.25">
      <c r="A407" s="94"/>
      <c r="B407" s="172"/>
      <c r="C407" s="172"/>
      <c r="D407" s="172"/>
      <c r="E407" s="172"/>
      <c r="F407" s="172"/>
      <c r="G407" s="172"/>
      <c r="H407" s="172"/>
      <c r="I407" s="175"/>
      <c r="J407" s="175"/>
      <c r="K407" s="172"/>
    </row>
    <row r="408" spans="1:12" x14ac:dyDescent="0.25">
      <c r="A408" s="94"/>
      <c r="B408" s="172"/>
      <c r="C408" s="172"/>
      <c r="D408" s="172"/>
      <c r="E408" s="172"/>
      <c r="F408" s="172"/>
      <c r="G408" s="172"/>
      <c r="H408" s="172"/>
      <c r="I408" s="175"/>
      <c r="J408" s="175"/>
      <c r="K408" s="172"/>
    </row>
    <row r="409" spans="1:12" x14ac:dyDescent="0.25">
      <c r="A409" s="94"/>
      <c r="B409" s="172"/>
      <c r="C409" s="172"/>
      <c r="D409" s="172"/>
      <c r="E409" s="172"/>
      <c r="F409" s="172"/>
      <c r="G409" s="172"/>
      <c r="H409" s="172"/>
      <c r="I409" s="175"/>
      <c r="J409" s="175"/>
      <c r="K409" s="172"/>
    </row>
    <row r="410" spans="1:12" x14ac:dyDescent="0.25">
      <c r="A410" s="94"/>
    </row>
    <row r="411" spans="1:12" x14ac:dyDescent="0.25">
      <c r="A411" s="94"/>
    </row>
    <row r="412" spans="1:12" x14ac:dyDescent="0.25">
      <c r="A412" s="94"/>
    </row>
    <row r="413" spans="1:12" x14ac:dyDescent="0.25">
      <c r="A413" s="94"/>
    </row>
    <row r="414" spans="1:12" x14ac:dyDescent="0.25">
      <c r="A414" s="94"/>
    </row>
    <row r="415" spans="1:12" x14ac:dyDescent="0.25">
      <c r="A415" s="94"/>
    </row>
    <row r="416" spans="1:12" x14ac:dyDescent="0.25">
      <c r="A416" s="94"/>
    </row>
    <row r="417" spans="1:1" x14ac:dyDescent="0.25">
      <c r="A417" s="94"/>
    </row>
    <row r="418" spans="1:1" x14ac:dyDescent="0.25">
      <c r="A418" s="94"/>
    </row>
    <row r="419" spans="1:1" x14ac:dyDescent="0.25">
      <c r="A419" s="94"/>
    </row>
    <row r="420" spans="1:1" x14ac:dyDescent="0.25">
      <c r="A420" s="94"/>
    </row>
  </sheetData>
  <autoFilter ref="A1:P395"/>
  <sortState ref="A2:K101">
    <sortCondition ref="A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I207"/>
  <sheetViews>
    <sheetView topLeftCell="E74" zoomScale="85" zoomScaleNormal="85" workbookViewId="0">
      <selection activeCell="J37" sqref="J37"/>
    </sheetView>
  </sheetViews>
  <sheetFormatPr baseColWidth="10" defaultRowHeight="14.25" x14ac:dyDescent="0.2"/>
  <cols>
    <col min="1" max="1" width="3.85546875" style="18" customWidth="1"/>
    <col min="2" max="2" width="18.7109375" style="18" customWidth="1"/>
    <col min="3" max="3" width="20.28515625" style="18" customWidth="1"/>
    <col min="4" max="4" width="39.7109375" style="18" customWidth="1"/>
    <col min="5" max="5" width="26.42578125" style="18" customWidth="1"/>
    <col min="6" max="6" width="15" style="18" customWidth="1"/>
    <col min="7" max="7" width="15.7109375" style="18" customWidth="1"/>
    <col min="8" max="8" width="14.85546875" style="18" customWidth="1"/>
    <col min="9" max="9" width="24" style="40" customWidth="1"/>
    <col min="10" max="10" width="30.85546875" style="40" customWidth="1"/>
    <col min="11" max="11" width="35" style="18" customWidth="1"/>
    <col min="12" max="12" width="23.42578125" style="18" customWidth="1"/>
    <col min="13" max="13" width="18.140625" style="18" customWidth="1"/>
    <col min="14" max="14" width="7.28515625" style="18" customWidth="1"/>
    <col min="15" max="15" width="13.28515625" style="91" customWidth="1"/>
    <col min="16" max="16" width="11.5703125" style="40" customWidth="1"/>
    <col min="17" max="17" width="18" style="40" customWidth="1"/>
    <col min="18" max="18" width="11.140625" style="40" customWidth="1"/>
    <col min="19" max="19" width="15.42578125" style="92" customWidth="1"/>
    <col min="20" max="20" width="11.140625" style="92" customWidth="1"/>
    <col min="21" max="21" width="11.140625" style="40" customWidth="1"/>
    <col min="22" max="22" width="40.28515625" style="40" customWidth="1"/>
    <col min="23" max="23" width="29.7109375" style="40"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30"/>
      <c r="N1" s="52"/>
      <c r="O1" s="114" t="s">
        <v>102</v>
      </c>
      <c r="P1" s="115"/>
      <c r="Q1" s="115"/>
      <c r="R1" s="115"/>
      <c r="S1" s="116"/>
      <c r="T1" s="116"/>
      <c r="U1" s="115"/>
      <c r="V1" s="115"/>
      <c r="W1" s="115"/>
    </row>
    <row r="2" spans="1:25" ht="18" customHeight="1" x14ac:dyDescent="0.25">
      <c r="A2" s="26"/>
      <c r="B2" s="54" t="s">
        <v>5</v>
      </c>
      <c r="C2" s="54" t="s">
        <v>25</v>
      </c>
      <c r="D2" s="54" t="s">
        <v>26</v>
      </c>
      <c r="E2" s="54" t="s">
        <v>27</v>
      </c>
      <c r="F2" s="54" t="s">
        <v>28</v>
      </c>
      <c r="G2" s="54" t="s">
        <v>29</v>
      </c>
      <c r="H2" s="54" t="s">
        <v>46</v>
      </c>
      <c r="I2" s="55" t="s">
        <v>36</v>
      </c>
      <c r="J2" s="55" t="s">
        <v>155</v>
      </c>
      <c r="K2" s="55" t="s">
        <v>103</v>
      </c>
      <c r="L2" s="103"/>
      <c r="M2" s="130"/>
      <c r="N2" s="97"/>
      <c r="O2" s="189" t="s">
        <v>5</v>
      </c>
      <c r="P2" s="189" t="s">
        <v>180</v>
      </c>
      <c r="Q2" s="189" t="s">
        <v>181</v>
      </c>
      <c r="R2" s="189" t="s">
        <v>182</v>
      </c>
      <c r="S2" s="189" t="s">
        <v>183</v>
      </c>
      <c r="T2" s="189" t="s">
        <v>100</v>
      </c>
      <c r="U2" s="189" t="s">
        <v>59</v>
      </c>
      <c r="V2" s="189" t="s">
        <v>184</v>
      </c>
      <c r="W2" s="189" t="s">
        <v>185</v>
      </c>
    </row>
    <row r="3" spans="1:25" ht="18" customHeight="1" x14ac:dyDescent="0.3">
      <c r="A3" s="26"/>
      <c r="B3" s="144" t="s">
        <v>1030</v>
      </c>
      <c r="C3" s="145" t="s">
        <v>123</v>
      </c>
      <c r="D3" s="145" t="s">
        <v>124</v>
      </c>
      <c r="E3" s="145" t="s">
        <v>150</v>
      </c>
      <c r="F3" s="145">
        <v>133059</v>
      </c>
      <c r="G3" s="145">
        <v>0</v>
      </c>
      <c r="H3" s="145">
        <v>6309254</v>
      </c>
      <c r="I3" s="176" t="s">
        <v>175</v>
      </c>
      <c r="J3" s="129" t="str">
        <f>IFERROR(VLOOKUP(-F3,$T$3:$W$50,4,FALSE),"")</f>
        <v>fact 705970</v>
      </c>
      <c r="K3" s="129" t="str">
        <f>IFERROR(VLOOKUP(-F3,$T$3:$W$50,3,FALSE),"")</f>
        <v xml:space="preserve">Acepta.com                                   </v>
      </c>
      <c r="L3" s="155"/>
      <c r="M3" s="97"/>
      <c r="N3" s="97"/>
      <c r="O3" s="210" t="s">
        <v>1030</v>
      </c>
      <c r="P3" s="211" t="s">
        <v>1058</v>
      </c>
      <c r="Q3" s="211" t="s">
        <v>302</v>
      </c>
      <c r="R3" s="211" t="s">
        <v>145</v>
      </c>
      <c r="S3" s="212" t="s">
        <v>303</v>
      </c>
      <c r="T3" s="258">
        <v>-133059</v>
      </c>
      <c r="U3" s="211" t="s">
        <v>144</v>
      </c>
      <c r="V3" s="211" t="s">
        <v>304</v>
      </c>
      <c r="W3" s="213" t="s">
        <v>1059</v>
      </c>
      <c r="Y3" s="320"/>
    </row>
    <row r="4" spans="1:25" ht="18" customHeight="1" x14ac:dyDescent="0.3">
      <c r="A4" s="26"/>
      <c r="B4" s="144" t="s">
        <v>1030</v>
      </c>
      <c r="C4" s="145" t="s">
        <v>123</v>
      </c>
      <c r="D4" s="145" t="s">
        <v>1031</v>
      </c>
      <c r="E4" s="145" t="s">
        <v>150</v>
      </c>
      <c r="F4" s="145">
        <v>220577</v>
      </c>
      <c r="G4" s="145">
        <v>0</v>
      </c>
      <c r="H4" s="145">
        <v>6442313</v>
      </c>
      <c r="I4" s="176"/>
      <c r="J4" s="129" t="str">
        <f t="shared" ref="J4:J67" si="0">IFERROR(VLOOKUP(-F4,$T$3:$W$50,4,FALSE),"")</f>
        <v/>
      </c>
      <c r="K4" s="129" t="str">
        <f t="shared" ref="K4:K67" si="1">IFERROR(VLOOKUP(-F4,$T$3:$W$50,3,FALSE),"")</f>
        <v/>
      </c>
      <c r="L4" s="155"/>
      <c r="M4" s="97"/>
      <c r="N4" s="97"/>
      <c r="O4" s="214" t="s">
        <v>1030</v>
      </c>
      <c r="P4" s="211" t="s">
        <v>1060</v>
      </c>
      <c r="Q4" s="211" t="s">
        <v>164</v>
      </c>
      <c r="R4" s="211" t="s">
        <v>147</v>
      </c>
      <c r="S4" s="212" t="s">
        <v>219</v>
      </c>
      <c r="T4" s="258">
        <v>-2800000</v>
      </c>
      <c r="U4" s="211" t="s">
        <v>144</v>
      </c>
      <c r="V4" s="211" t="s">
        <v>165</v>
      </c>
      <c r="W4" s="213" t="s">
        <v>179</v>
      </c>
      <c r="Y4" s="320"/>
    </row>
    <row r="5" spans="1:25" ht="18" customHeight="1" x14ac:dyDescent="0.3">
      <c r="A5" s="26"/>
      <c r="B5" s="144" t="s">
        <v>1030</v>
      </c>
      <c r="C5" s="145" t="s">
        <v>123</v>
      </c>
      <c r="D5" s="145" t="s">
        <v>127</v>
      </c>
      <c r="E5" s="145" t="s">
        <v>150</v>
      </c>
      <c r="F5" s="145">
        <v>2800000</v>
      </c>
      <c r="G5" s="145">
        <v>0</v>
      </c>
      <c r="H5" s="145">
        <v>6662890</v>
      </c>
      <c r="I5" s="176" t="s">
        <v>173</v>
      </c>
      <c r="J5" s="129" t="str">
        <f t="shared" si="0"/>
        <v xml:space="preserve"> </v>
      </c>
      <c r="K5" s="129" t="str">
        <f t="shared" si="1"/>
        <v>SOCIEDAD HOTELERA ZAMORA RAMIREZ HERMANOS LIM</v>
      </c>
      <c r="L5" s="155"/>
      <c r="M5" s="97"/>
      <c r="N5" s="97"/>
      <c r="O5" s="214" t="s">
        <v>1032</v>
      </c>
      <c r="P5" s="211" t="s">
        <v>1061</v>
      </c>
      <c r="Q5" s="211" t="s">
        <v>322</v>
      </c>
      <c r="R5" s="211" t="s">
        <v>145</v>
      </c>
      <c r="S5" s="212" t="s">
        <v>323</v>
      </c>
      <c r="T5" s="258">
        <v>-307782</v>
      </c>
      <c r="U5" s="211" t="s">
        <v>144</v>
      </c>
      <c r="V5" s="211" t="s">
        <v>324</v>
      </c>
      <c r="W5" s="213" t="s">
        <v>1062</v>
      </c>
      <c r="Y5" s="320"/>
    </row>
    <row r="6" spans="1:25" ht="18" customHeight="1" x14ac:dyDescent="0.3">
      <c r="A6" s="26"/>
      <c r="B6" s="144" t="s">
        <v>1030</v>
      </c>
      <c r="C6" s="145" t="s">
        <v>123</v>
      </c>
      <c r="D6" s="145" t="s">
        <v>128</v>
      </c>
      <c r="E6" s="145" t="s">
        <v>150</v>
      </c>
      <c r="F6" s="145">
        <v>0</v>
      </c>
      <c r="G6" s="145">
        <v>5000000</v>
      </c>
      <c r="H6" s="145">
        <v>9462890</v>
      </c>
      <c r="I6" s="176" t="s">
        <v>135</v>
      </c>
      <c r="J6" s="129" t="str">
        <f t="shared" si="0"/>
        <v/>
      </c>
      <c r="K6" s="129" t="str">
        <f t="shared" si="1"/>
        <v/>
      </c>
      <c r="L6" s="155"/>
      <c r="M6" s="97"/>
      <c r="N6" s="97"/>
      <c r="O6" s="214" t="s">
        <v>1032</v>
      </c>
      <c r="P6" s="211" t="s">
        <v>1063</v>
      </c>
      <c r="Q6" s="211" t="s">
        <v>631</v>
      </c>
      <c r="R6" s="211" t="s">
        <v>145</v>
      </c>
      <c r="S6" s="212" t="s">
        <v>632</v>
      </c>
      <c r="T6" s="258">
        <v>-92730</v>
      </c>
      <c r="U6" s="211" t="s">
        <v>144</v>
      </c>
      <c r="V6" s="211" t="s">
        <v>633</v>
      </c>
      <c r="W6" s="213" t="s">
        <v>1064</v>
      </c>
      <c r="Y6" s="320"/>
    </row>
    <row r="7" spans="1:25" s="85" customFormat="1" ht="18" customHeight="1" x14ac:dyDescent="0.3">
      <c r="A7" s="26"/>
      <c r="B7" s="144" t="s">
        <v>1030</v>
      </c>
      <c r="C7" s="145" t="s">
        <v>123</v>
      </c>
      <c r="D7" s="145" t="s">
        <v>128</v>
      </c>
      <c r="E7" s="145" t="s">
        <v>150</v>
      </c>
      <c r="F7" s="145">
        <v>0</v>
      </c>
      <c r="G7" s="145">
        <v>196493</v>
      </c>
      <c r="H7" s="145">
        <v>4462890</v>
      </c>
      <c r="I7" s="176" t="s">
        <v>177</v>
      </c>
      <c r="J7" s="129" t="str">
        <f t="shared" si="0"/>
        <v/>
      </c>
      <c r="K7" s="129" t="str">
        <f t="shared" si="1"/>
        <v/>
      </c>
      <c r="L7" s="155" t="s">
        <v>1163</v>
      </c>
      <c r="M7" s="97"/>
      <c r="N7" s="97"/>
      <c r="O7" s="214" t="s">
        <v>1032</v>
      </c>
      <c r="P7" s="211" t="s">
        <v>1065</v>
      </c>
      <c r="Q7" s="211" t="s">
        <v>296</v>
      </c>
      <c r="R7" s="211" t="s">
        <v>297</v>
      </c>
      <c r="S7" s="212" t="s">
        <v>298</v>
      </c>
      <c r="T7" s="258">
        <v>-149690</v>
      </c>
      <c r="U7" s="211" t="s">
        <v>144</v>
      </c>
      <c r="V7" s="211" t="s">
        <v>299</v>
      </c>
      <c r="W7" s="213" t="s">
        <v>1066</v>
      </c>
      <c r="Y7" s="320"/>
    </row>
    <row r="8" spans="1:25" ht="18" customHeight="1" x14ac:dyDescent="0.3">
      <c r="A8" s="26"/>
      <c r="B8" s="144" t="s">
        <v>1032</v>
      </c>
      <c r="C8" s="145" t="s">
        <v>123</v>
      </c>
      <c r="D8" s="145" t="s">
        <v>124</v>
      </c>
      <c r="E8" s="145" t="s">
        <v>150</v>
      </c>
      <c r="F8" s="145">
        <v>149690</v>
      </c>
      <c r="G8" s="145">
        <v>0</v>
      </c>
      <c r="H8" s="145">
        <v>5759052</v>
      </c>
      <c r="I8" s="176" t="s">
        <v>174</v>
      </c>
      <c r="J8" s="129" t="str">
        <f t="shared" si="0"/>
        <v>fact 264589</v>
      </c>
      <c r="K8" s="129" t="str">
        <f t="shared" si="1"/>
        <v xml:space="preserve">Truly Nolen Chile SA                         </v>
      </c>
      <c r="L8" s="155"/>
      <c r="M8" s="97"/>
      <c r="N8" s="97"/>
      <c r="O8" s="210" t="s">
        <v>1035</v>
      </c>
      <c r="P8" s="211" t="s">
        <v>1067</v>
      </c>
      <c r="Q8" s="211" t="s">
        <v>1068</v>
      </c>
      <c r="R8" s="211" t="s">
        <v>147</v>
      </c>
      <c r="S8" s="212" t="s">
        <v>1069</v>
      </c>
      <c r="T8" s="258">
        <v>-194130</v>
      </c>
      <c r="U8" s="211" t="s">
        <v>144</v>
      </c>
      <c r="V8" s="211" t="s">
        <v>1070</v>
      </c>
      <c r="W8" s="213" t="s">
        <v>1071</v>
      </c>
      <c r="Y8" s="320"/>
    </row>
    <row r="9" spans="1:25" ht="18" customHeight="1" x14ac:dyDescent="0.3">
      <c r="A9" s="26"/>
      <c r="B9" s="144" t="s">
        <v>1032</v>
      </c>
      <c r="C9" s="145" t="s">
        <v>123</v>
      </c>
      <c r="D9" s="145" t="s">
        <v>124</v>
      </c>
      <c r="E9" s="145" t="s">
        <v>150</v>
      </c>
      <c r="F9" s="145">
        <v>307782</v>
      </c>
      <c r="G9" s="145">
        <v>0</v>
      </c>
      <c r="H9" s="145">
        <v>5908742</v>
      </c>
      <c r="I9" s="176" t="s">
        <v>8</v>
      </c>
      <c r="J9" s="129" t="str">
        <f t="shared" si="0"/>
        <v>fact 637, 894</v>
      </c>
      <c r="K9" s="129" t="str">
        <f t="shared" si="1"/>
        <v xml:space="preserve">MIGUEL ANGEL NIEVAS                          </v>
      </c>
      <c r="L9" s="155"/>
      <c r="M9" s="97"/>
      <c r="N9" s="97"/>
      <c r="O9" s="210" t="s">
        <v>1036</v>
      </c>
      <c r="P9" s="211" t="s">
        <v>1072</v>
      </c>
      <c r="Q9" s="211" t="s">
        <v>1073</v>
      </c>
      <c r="R9" s="211" t="s">
        <v>146</v>
      </c>
      <c r="S9" s="212" t="s">
        <v>1074</v>
      </c>
      <c r="T9" s="258">
        <v>-128000</v>
      </c>
      <c r="U9" s="211" t="s">
        <v>144</v>
      </c>
      <c r="V9" s="211" t="s">
        <v>1075</v>
      </c>
      <c r="W9" s="213" t="s">
        <v>1076</v>
      </c>
      <c r="Y9" s="320"/>
    </row>
    <row r="10" spans="1:25" ht="18" customHeight="1" x14ac:dyDescent="0.3">
      <c r="A10" s="26"/>
      <c r="B10" s="144" t="s">
        <v>1032</v>
      </c>
      <c r="C10" s="145" t="s">
        <v>123</v>
      </c>
      <c r="D10" s="145" t="s">
        <v>124</v>
      </c>
      <c r="E10" s="145" t="s">
        <v>150</v>
      </c>
      <c r="F10" s="145">
        <v>92730</v>
      </c>
      <c r="G10" s="145">
        <v>0</v>
      </c>
      <c r="H10" s="145">
        <v>6216524</v>
      </c>
      <c r="I10" s="176" t="s">
        <v>8</v>
      </c>
      <c r="J10" s="129" t="str">
        <f t="shared" si="0"/>
        <v>fact 1486438</v>
      </c>
      <c r="K10" s="129" t="str">
        <f t="shared" si="1"/>
        <v xml:space="preserve">ECOLAB                                       </v>
      </c>
      <c r="L10" s="155"/>
      <c r="M10" s="97"/>
      <c r="N10" s="97"/>
      <c r="O10" s="210" t="s">
        <v>1037</v>
      </c>
      <c r="P10" s="211" t="s">
        <v>1077</v>
      </c>
      <c r="Q10" s="211" t="s">
        <v>164</v>
      </c>
      <c r="R10" s="211" t="s">
        <v>147</v>
      </c>
      <c r="S10" s="212" t="s">
        <v>219</v>
      </c>
      <c r="T10" s="258">
        <v>-390000</v>
      </c>
      <c r="U10" s="211" t="s">
        <v>144</v>
      </c>
      <c r="V10" s="211" t="s">
        <v>165</v>
      </c>
      <c r="W10" s="213" t="s">
        <v>179</v>
      </c>
      <c r="Y10" s="320"/>
    </row>
    <row r="11" spans="1:25" ht="18" customHeight="1" x14ac:dyDescent="0.3">
      <c r="A11" s="26"/>
      <c r="B11" s="144" t="s">
        <v>1033</v>
      </c>
      <c r="C11" s="145" t="s">
        <v>125</v>
      </c>
      <c r="D11" s="145" t="s">
        <v>354</v>
      </c>
      <c r="E11" s="145" t="s">
        <v>150</v>
      </c>
      <c r="F11" s="145">
        <v>49897</v>
      </c>
      <c r="G11" s="145">
        <v>0</v>
      </c>
      <c r="H11" s="145">
        <v>7471655</v>
      </c>
      <c r="I11" s="176" t="s">
        <v>172</v>
      </c>
      <c r="J11" s="129" t="str">
        <f t="shared" si="0"/>
        <v/>
      </c>
      <c r="K11" s="129" t="str">
        <f t="shared" si="1"/>
        <v/>
      </c>
      <c r="L11" s="155"/>
      <c r="M11" s="97"/>
      <c r="N11" s="97"/>
      <c r="O11" s="210" t="s">
        <v>1038</v>
      </c>
      <c r="P11" s="211" t="s">
        <v>1078</v>
      </c>
      <c r="Q11" s="211" t="s">
        <v>270</v>
      </c>
      <c r="R11" s="211" t="s">
        <v>147</v>
      </c>
      <c r="S11" s="212" t="s">
        <v>271</v>
      </c>
      <c r="T11" s="258">
        <v>-240263</v>
      </c>
      <c r="U11" s="211" t="s">
        <v>144</v>
      </c>
      <c r="V11" s="211" t="s">
        <v>272</v>
      </c>
      <c r="W11" s="213" t="s">
        <v>1079</v>
      </c>
      <c r="Y11" s="320"/>
    </row>
    <row r="12" spans="1:25" ht="18" customHeight="1" x14ac:dyDescent="0.3">
      <c r="A12" s="26"/>
      <c r="B12" s="144" t="s">
        <v>1033</v>
      </c>
      <c r="C12" s="145" t="s">
        <v>123</v>
      </c>
      <c r="D12" s="145" t="s">
        <v>128</v>
      </c>
      <c r="E12" s="145" t="s">
        <v>150</v>
      </c>
      <c r="F12" s="145">
        <v>0</v>
      </c>
      <c r="G12" s="145">
        <v>1762500</v>
      </c>
      <c r="H12" s="145">
        <v>7521552</v>
      </c>
      <c r="I12" s="176" t="s">
        <v>135</v>
      </c>
      <c r="J12" s="129" t="str">
        <f t="shared" si="0"/>
        <v/>
      </c>
      <c r="K12" s="129" t="str">
        <f t="shared" si="1"/>
        <v/>
      </c>
      <c r="L12" s="155" t="s">
        <v>1162</v>
      </c>
      <c r="M12" s="97"/>
      <c r="N12" s="97"/>
      <c r="O12" s="210" t="s">
        <v>1080</v>
      </c>
      <c r="P12" s="211" t="s">
        <v>1081</v>
      </c>
      <c r="Q12" s="211" t="s">
        <v>292</v>
      </c>
      <c r="R12" s="211" t="s">
        <v>293</v>
      </c>
      <c r="S12" s="212" t="s">
        <v>294</v>
      </c>
      <c r="T12" s="258">
        <v>-4129345</v>
      </c>
      <c r="U12" s="211" t="s">
        <v>144</v>
      </c>
      <c r="V12" s="211" t="s">
        <v>295</v>
      </c>
      <c r="W12" s="213" t="s">
        <v>1082</v>
      </c>
      <c r="Y12" s="320"/>
    </row>
    <row r="13" spans="1:25" ht="18" customHeight="1" x14ac:dyDescent="0.3">
      <c r="A13" s="26"/>
      <c r="B13" s="144" t="s">
        <v>1034</v>
      </c>
      <c r="C13" s="145" t="s">
        <v>125</v>
      </c>
      <c r="D13" s="145" t="s">
        <v>126</v>
      </c>
      <c r="E13" s="145" t="s">
        <v>150</v>
      </c>
      <c r="F13" s="145">
        <v>11754</v>
      </c>
      <c r="G13" s="145">
        <v>0</v>
      </c>
      <c r="H13" s="145">
        <v>3110475</v>
      </c>
      <c r="I13" s="176" t="s">
        <v>172</v>
      </c>
      <c r="J13" s="129" t="str">
        <f t="shared" si="0"/>
        <v/>
      </c>
      <c r="K13" s="129" t="str">
        <f t="shared" si="1"/>
        <v/>
      </c>
      <c r="L13" s="155"/>
      <c r="M13" s="97"/>
      <c r="N13" s="97"/>
      <c r="O13" s="210" t="s">
        <v>1080</v>
      </c>
      <c r="P13" s="211" t="s">
        <v>1083</v>
      </c>
      <c r="Q13" s="211" t="s">
        <v>254</v>
      </c>
      <c r="R13" s="211" t="s">
        <v>255</v>
      </c>
      <c r="S13" s="212" t="s">
        <v>256</v>
      </c>
      <c r="T13" s="258">
        <v>-489997</v>
      </c>
      <c r="U13" s="211" t="s">
        <v>144</v>
      </c>
      <c r="V13" s="211" t="s">
        <v>257</v>
      </c>
      <c r="W13" s="213" t="s">
        <v>1084</v>
      </c>
      <c r="Y13" s="320"/>
    </row>
    <row r="14" spans="1:25" ht="18" customHeight="1" x14ac:dyDescent="0.3">
      <c r="A14" s="26"/>
      <c r="B14" s="144" t="s">
        <v>1034</v>
      </c>
      <c r="C14" s="145" t="s">
        <v>129</v>
      </c>
      <c r="D14" s="145" t="s">
        <v>130</v>
      </c>
      <c r="E14" s="145" t="s">
        <v>150</v>
      </c>
      <c r="F14" s="257">
        <v>4349426</v>
      </c>
      <c r="G14" s="145">
        <v>0</v>
      </c>
      <c r="H14" s="145">
        <v>3122229</v>
      </c>
      <c r="I14" s="176" t="s">
        <v>19</v>
      </c>
      <c r="J14" s="129" t="str">
        <f t="shared" si="0"/>
        <v/>
      </c>
      <c r="K14" s="129" t="str">
        <f t="shared" si="1"/>
        <v/>
      </c>
      <c r="L14" s="155"/>
      <c r="M14" s="97"/>
      <c r="N14" s="97"/>
      <c r="O14" s="210" t="s">
        <v>1080</v>
      </c>
      <c r="P14" s="211" t="s">
        <v>1085</v>
      </c>
      <c r="Q14" s="211" t="s">
        <v>201</v>
      </c>
      <c r="R14" s="211" t="s">
        <v>146</v>
      </c>
      <c r="S14" s="212" t="s">
        <v>220</v>
      </c>
      <c r="T14" s="258">
        <v>-200000</v>
      </c>
      <c r="U14" s="211" t="s">
        <v>144</v>
      </c>
      <c r="V14" s="211" t="s">
        <v>237</v>
      </c>
      <c r="W14" s="213" t="s">
        <v>1076</v>
      </c>
      <c r="Y14" s="320"/>
    </row>
    <row r="15" spans="1:25" ht="18" customHeight="1" x14ac:dyDescent="0.3">
      <c r="A15" s="26"/>
      <c r="B15" s="144" t="s">
        <v>1035</v>
      </c>
      <c r="C15" s="145" t="s">
        <v>123</v>
      </c>
      <c r="D15" s="145" t="s">
        <v>127</v>
      </c>
      <c r="E15" s="145" t="s">
        <v>150</v>
      </c>
      <c r="F15" s="257">
        <v>194130</v>
      </c>
      <c r="G15" s="145">
        <v>0</v>
      </c>
      <c r="H15" s="145">
        <v>2916345</v>
      </c>
      <c r="I15" s="176" t="s">
        <v>174</v>
      </c>
      <c r="J15" s="129" t="str">
        <f t="shared" si="0"/>
        <v>Cotizacin 725934</v>
      </c>
      <c r="K15" s="129" t="str">
        <f t="shared" si="1"/>
        <v xml:space="preserve">Comercial Anwo SA                            </v>
      </c>
      <c r="L15" s="155" t="s">
        <v>1165</v>
      </c>
      <c r="M15" s="97"/>
      <c r="N15" s="97"/>
      <c r="O15" s="210" t="s">
        <v>1041</v>
      </c>
      <c r="P15" s="211" t="s">
        <v>1086</v>
      </c>
      <c r="Q15" s="211" t="s">
        <v>634</v>
      </c>
      <c r="R15" s="211" t="s">
        <v>311</v>
      </c>
      <c r="S15" s="212" t="s">
        <v>635</v>
      </c>
      <c r="T15" s="258">
        <v>-250000</v>
      </c>
      <c r="U15" s="211" t="s">
        <v>144</v>
      </c>
      <c r="V15" s="211" t="s">
        <v>636</v>
      </c>
      <c r="W15" s="213" t="s">
        <v>1087</v>
      </c>
      <c r="Y15" s="320"/>
    </row>
    <row r="16" spans="1:25" ht="18" customHeight="1" x14ac:dyDescent="0.3">
      <c r="A16" s="26"/>
      <c r="B16" s="144" t="s">
        <v>1036</v>
      </c>
      <c r="C16" s="145" t="s">
        <v>123</v>
      </c>
      <c r="D16" s="145" t="s">
        <v>124</v>
      </c>
      <c r="E16" s="145" t="s">
        <v>150</v>
      </c>
      <c r="F16" s="257">
        <v>128000</v>
      </c>
      <c r="G16" s="145">
        <v>0</v>
      </c>
      <c r="H16" s="145">
        <v>2788345</v>
      </c>
      <c r="I16" s="176" t="s">
        <v>30</v>
      </c>
      <c r="J16" s="129" t="str">
        <f t="shared" si="0"/>
        <v>Sueldo Ago 19</v>
      </c>
      <c r="K16" s="129" t="str">
        <f t="shared" si="1"/>
        <v xml:space="preserve">Carolin Mariela Cabezas Muñoz                </v>
      </c>
      <c r="L16" s="155"/>
      <c r="M16" s="97"/>
      <c r="N16" s="97"/>
      <c r="O16" s="210" t="s">
        <v>1041</v>
      </c>
      <c r="P16" s="211" t="s">
        <v>1088</v>
      </c>
      <c r="Q16" s="211" t="s">
        <v>1089</v>
      </c>
      <c r="R16" s="211" t="s">
        <v>311</v>
      </c>
      <c r="S16" s="212" t="s">
        <v>1090</v>
      </c>
      <c r="T16" s="258">
        <v>-456791</v>
      </c>
      <c r="U16" s="211" t="s">
        <v>144</v>
      </c>
      <c r="V16" s="211" t="s">
        <v>1091</v>
      </c>
      <c r="W16" s="213" t="s">
        <v>1092</v>
      </c>
      <c r="Y16" s="320"/>
    </row>
    <row r="17" spans="1:25" ht="18" customHeight="1" x14ac:dyDescent="0.3">
      <c r="A17" s="26"/>
      <c r="B17" s="144" t="s">
        <v>1037</v>
      </c>
      <c r="C17" s="145" t="s">
        <v>123</v>
      </c>
      <c r="D17" s="145" t="s">
        <v>127</v>
      </c>
      <c r="E17" s="145" t="s">
        <v>150</v>
      </c>
      <c r="F17" s="257">
        <v>390000</v>
      </c>
      <c r="G17" s="145">
        <v>0</v>
      </c>
      <c r="H17" s="145">
        <v>2398345</v>
      </c>
      <c r="I17" s="176" t="s">
        <v>173</v>
      </c>
      <c r="J17" s="129" t="str">
        <f t="shared" si="0"/>
        <v xml:space="preserve"> </v>
      </c>
      <c r="K17" s="129" t="str">
        <f t="shared" si="1"/>
        <v>SOCIEDAD HOTELERA ZAMORA RAMIREZ HERMANOS LIM</v>
      </c>
      <c r="L17" s="14"/>
      <c r="M17" s="97"/>
      <c r="N17" s="97"/>
      <c r="O17" s="210" t="s">
        <v>1044</v>
      </c>
      <c r="P17" s="211" t="s">
        <v>1093</v>
      </c>
      <c r="Q17" s="211" t="s">
        <v>1094</v>
      </c>
      <c r="R17" s="211" t="s">
        <v>1095</v>
      </c>
      <c r="S17" s="212" t="s">
        <v>1096</v>
      </c>
      <c r="T17" s="258">
        <v>-253276</v>
      </c>
      <c r="U17" s="211" t="s">
        <v>144</v>
      </c>
      <c r="V17" s="211" t="s">
        <v>1097</v>
      </c>
      <c r="W17" s="213" t="s">
        <v>1076</v>
      </c>
      <c r="Y17" s="320"/>
    </row>
    <row r="18" spans="1:25" ht="18" customHeight="1" x14ac:dyDescent="0.3">
      <c r="A18" s="26"/>
      <c r="B18" s="144" t="s">
        <v>1038</v>
      </c>
      <c r="C18" s="145" t="s">
        <v>123</v>
      </c>
      <c r="D18" s="145" t="s">
        <v>1039</v>
      </c>
      <c r="E18" s="145" t="s">
        <v>150</v>
      </c>
      <c r="F18" s="257">
        <v>61621</v>
      </c>
      <c r="G18" s="145">
        <v>0</v>
      </c>
      <c r="H18" s="145">
        <v>2236724</v>
      </c>
      <c r="I18" s="176"/>
      <c r="J18" s="129" t="str">
        <f t="shared" si="0"/>
        <v/>
      </c>
      <c r="K18" s="129" t="str">
        <f t="shared" si="1"/>
        <v/>
      </c>
      <c r="L18" s="155"/>
      <c r="M18" s="97"/>
      <c r="N18" s="97"/>
      <c r="O18" s="210" t="s">
        <v>1044</v>
      </c>
      <c r="P18" s="211" t="s">
        <v>1098</v>
      </c>
      <c r="Q18" s="211" t="s">
        <v>221</v>
      </c>
      <c r="R18" s="211" t="s">
        <v>146</v>
      </c>
      <c r="S18" s="212" t="s">
        <v>222</v>
      </c>
      <c r="T18" s="258">
        <v>-1301874</v>
      </c>
      <c r="U18" s="211" t="s">
        <v>144</v>
      </c>
      <c r="V18" s="211" t="s">
        <v>223</v>
      </c>
      <c r="W18" s="213" t="s">
        <v>1076</v>
      </c>
      <c r="Y18" s="320"/>
    </row>
    <row r="19" spans="1:25" ht="18" customHeight="1" x14ac:dyDescent="0.3">
      <c r="A19" s="26"/>
      <c r="B19" s="144" t="s">
        <v>1038</v>
      </c>
      <c r="C19" s="145" t="s">
        <v>131</v>
      </c>
      <c r="D19" s="145" t="s">
        <v>151</v>
      </c>
      <c r="E19" s="145" t="s">
        <v>150</v>
      </c>
      <c r="F19" s="224">
        <v>100000</v>
      </c>
      <c r="G19" s="145">
        <v>0</v>
      </c>
      <c r="H19" s="145">
        <v>2298345</v>
      </c>
      <c r="I19" s="176" t="s">
        <v>175</v>
      </c>
      <c r="J19" s="129" t="str">
        <f t="shared" si="0"/>
        <v/>
      </c>
      <c r="K19" s="129" t="str">
        <f t="shared" si="1"/>
        <v/>
      </c>
      <c r="L19" s="155"/>
      <c r="M19" s="97"/>
      <c r="N19" s="97"/>
      <c r="O19" s="210" t="s">
        <v>1044</v>
      </c>
      <c r="P19" s="211" t="s">
        <v>1099</v>
      </c>
      <c r="Q19" s="211" t="s">
        <v>204</v>
      </c>
      <c r="R19" s="211" t="s">
        <v>229</v>
      </c>
      <c r="S19" s="212" t="s">
        <v>287</v>
      </c>
      <c r="T19" s="258">
        <v>-608051</v>
      </c>
      <c r="U19" s="211" t="s">
        <v>144</v>
      </c>
      <c r="V19" s="211" t="s">
        <v>288</v>
      </c>
      <c r="W19" s="213" t="s">
        <v>1076</v>
      </c>
      <c r="Y19" s="320"/>
    </row>
    <row r="20" spans="1:25" ht="18" customHeight="1" x14ac:dyDescent="0.3">
      <c r="A20" s="26"/>
      <c r="B20" s="144" t="s">
        <v>1040</v>
      </c>
      <c r="C20" s="145" t="s">
        <v>123</v>
      </c>
      <c r="D20" s="145" t="s">
        <v>124</v>
      </c>
      <c r="E20" s="145" t="s">
        <v>150</v>
      </c>
      <c r="F20" s="257">
        <v>4129345</v>
      </c>
      <c r="G20" s="145">
        <v>0</v>
      </c>
      <c r="H20" s="145">
        <v>7177119</v>
      </c>
      <c r="I20" s="176" t="s">
        <v>31</v>
      </c>
      <c r="J20" s="129" t="str">
        <f t="shared" si="0"/>
        <v>Factura 1542542813</v>
      </c>
      <c r="K20" s="129" t="str">
        <f t="shared" si="1"/>
        <v xml:space="preserve">Pagos y Servicios Astropay Ltda              </v>
      </c>
      <c r="L20" s="155"/>
      <c r="M20" s="225"/>
      <c r="N20" s="97"/>
      <c r="O20" s="210" t="s">
        <v>1044</v>
      </c>
      <c r="P20" s="211" t="s">
        <v>1100</v>
      </c>
      <c r="Q20" s="211" t="s">
        <v>152</v>
      </c>
      <c r="R20" s="211" t="s">
        <v>146</v>
      </c>
      <c r="S20" s="212" t="s">
        <v>225</v>
      </c>
      <c r="T20" s="258">
        <v>-572047</v>
      </c>
      <c r="U20" s="211" t="s">
        <v>144</v>
      </c>
      <c r="V20" s="211" t="s">
        <v>153</v>
      </c>
      <c r="W20" s="213" t="s">
        <v>1076</v>
      </c>
      <c r="Y20" s="320"/>
    </row>
    <row r="21" spans="1:25" ht="18" customHeight="1" x14ac:dyDescent="0.3">
      <c r="A21" s="26"/>
      <c r="B21" s="144" t="s">
        <v>1040</v>
      </c>
      <c r="C21" s="145" t="s">
        <v>123</v>
      </c>
      <c r="D21" s="145" t="s">
        <v>124</v>
      </c>
      <c r="E21" s="145" t="s">
        <v>150</v>
      </c>
      <c r="F21" s="224">
        <v>489997</v>
      </c>
      <c r="G21" s="145">
        <v>0</v>
      </c>
      <c r="H21" s="145">
        <v>11306464</v>
      </c>
      <c r="I21" s="176" t="s">
        <v>101</v>
      </c>
      <c r="J21" s="129" t="str">
        <f t="shared" si="0"/>
        <v>Factura 1920812253</v>
      </c>
      <c r="K21" s="129" t="str">
        <f t="shared" si="1"/>
        <v xml:space="preserve">EXP Chile Limitada                           </v>
      </c>
      <c r="L21" s="155"/>
      <c r="M21" s="97"/>
      <c r="N21" s="97"/>
      <c r="O21" s="210" t="s">
        <v>1044</v>
      </c>
      <c r="P21" s="211" t="s">
        <v>1101</v>
      </c>
      <c r="Q21" s="211" t="s">
        <v>251</v>
      </c>
      <c r="R21" s="211" t="s">
        <v>146</v>
      </c>
      <c r="S21" s="212" t="s">
        <v>252</v>
      </c>
      <c r="T21" s="258">
        <v>-552939</v>
      </c>
      <c r="U21" s="211" t="s">
        <v>144</v>
      </c>
      <c r="V21" s="211" t="s">
        <v>253</v>
      </c>
      <c r="W21" s="213" t="s">
        <v>1076</v>
      </c>
      <c r="Y21" s="320"/>
    </row>
    <row r="22" spans="1:25" ht="18" customHeight="1" x14ac:dyDescent="0.3">
      <c r="A22" s="26"/>
      <c r="B22" s="144" t="s">
        <v>1040</v>
      </c>
      <c r="C22" s="145" t="s">
        <v>123</v>
      </c>
      <c r="D22" s="145" t="s">
        <v>124</v>
      </c>
      <c r="E22" s="145" t="s">
        <v>150</v>
      </c>
      <c r="F22" s="224">
        <v>200000</v>
      </c>
      <c r="G22" s="145">
        <v>0</v>
      </c>
      <c r="H22" s="145">
        <v>11796461</v>
      </c>
      <c r="I22" s="176" t="s">
        <v>30</v>
      </c>
      <c r="J22" s="129" t="str">
        <f t="shared" si="0"/>
        <v>Sueldo Ago 19</v>
      </c>
      <c r="K22" s="129" t="str">
        <f t="shared" si="1"/>
        <v xml:space="preserve">Luis Arias                                   </v>
      </c>
      <c r="L22" s="155"/>
      <c r="M22" s="97"/>
      <c r="N22" s="97"/>
      <c r="O22" s="210" t="s">
        <v>1044</v>
      </c>
      <c r="P22" s="211" t="s">
        <v>1102</v>
      </c>
      <c r="Q22" s="211" t="s">
        <v>241</v>
      </c>
      <c r="R22" s="211" t="s">
        <v>146</v>
      </c>
      <c r="S22" s="212" t="s">
        <v>242</v>
      </c>
      <c r="T22" s="258">
        <v>-597446</v>
      </c>
      <c r="U22" s="211" t="s">
        <v>144</v>
      </c>
      <c r="V22" s="211" t="s">
        <v>243</v>
      </c>
      <c r="W22" s="213" t="s">
        <v>1076</v>
      </c>
      <c r="Y22" s="320"/>
    </row>
    <row r="23" spans="1:25" ht="18" customHeight="1" x14ac:dyDescent="0.3">
      <c r="A23" s="26"/>
      <c r="B23" s="144" t="s">
        <v>1040</v>
      </c>
      <c r="C23" s="145" t="s">
        <v>123</v>
      </c>
      <c r="D23" s="145" t="s">
        <v>128</v>
      </c>
      <c r="E23" s="145" t="s">
        <v>150</v>
      </c>
      <c r="F23" s="224">
        <v>0</v>
      </c>
      <c r="G23" s="145">
        <v>5000000</v>
      </c>
      <c r="H23" s="145">
        <v>11996461</v>
      </c>
      <c r="I23" s="176" t="s">
        <v>135</v>
      </c>
      <c r="J23" s="129" t="str">
        <f t="shared" si="0"/>
        <v/>
      </c>
      <c r="K23" s="129" t="str">
        <f t="shared" si="1"/>
        <v/>
      </c>
      <c r="L23" s="155"/>
      <c r="M23" s="97"/>
      <c r="N23" s="97"/>
      <c r="O23" s="210" t="s">
        <v>1044</v>
      </c>
      <c r="P23" s="211" t="s">
        <v>1103</v>
      </c>
      <c r="Q23" s="211" t="s">
        <v>206</v>
      </c>
      <c r="R23" s="211" t="s">
        <v>146</v>
      </c>
      <c r="S23" s="212" t="s">
        <v>224</v>
      </c>
      <c r="T23" s="258">
        <v>-535948</v>
      </c>
      <c r="U23" s="211" t="s">
        <v>144</v>
      </c>
      <c r="V23" s="211" t="s">
        <v>207</v>
      </c>
      <c r="W23" s="213" t="s">
        <v>1076</v>
      </c>
      <c r="Y23" s="320"/>
    </row>
    <row r="24" spans="1:25" s="111" customFormat="1" ht="18" customHeight="1" x14ac:dyDescent="0.3">
      <c r="A24" s="26"/>
      <c r="B24" s="144" t="s">
        <v>1040</v>
      </c>
      <c r="C24" s="145" t="s">
        <v>123</v>
      </c>
      <c r="D24" s="145" t="s">
        <v>128</v>
      </c>
      <c r="E24" s="145" t="s">
        <v>150</v>
      </c>
      <c r="F24" s="224">
        <v>0</v>
      </c>
      <c r="G24" s="145">
        <v>5000000</v>
      </c>
      <c r="H24" s="145">
        <v>6996461</v>
      </c>
      <c r="I24" s="176" t="s">
        <v>135</v>
      </c>
      <c r="J24" s="129" t="str">
        <f t="shared" si="0"/>
        <v/>
      </c>
      <c r="K24" s="129" t="str">
        <f t="shared" si="1"/>
        <v/>
      </c>
      <c r="L24" s="155"/>
      <c r="M24" s="97"/>
      <c r="N24" s="97"/>
      <c r="O24" s="210" t="s">
        <v>1044</v>
      </c>
      <c r="P24" s="211" t="s">
        <v>1104</v>
      </c>
      <c r="Q24" s="211" t="s">
        <v>308</v>
      </c>
      <c r="R24" s="211" t="s">
        <v>146</v>
      </c>
      <c r="S24" s="212" t="s">
        <v>309</v>
      </c>
      <c r="T24" s="258">
        <v>-524187</v>
      </c>
      <c r="U24" s="211" t="s">
        <v>144</v>
      </c>
      <c r="V24" s="211" t="s">
        <v>310</v>
      </c>
      <c r="W24" s="213" t="s">
        <v>1076</v>
      </c>
      <c r="Y24" s="320"/>
    </row>
    <row r="25" spans="1:25" s="111" customFormat="1" ht="18" customHeight="1" x14ac:dyDescent="0.3">
      <c r="A25" s="26"/>
      <c r="B25" s="144" t="s">
        <v>1040</v>
      </c>
      <c r="C25" s="145" t="s">
        <v>123</v>
      </c>
      <c r="D25" s="145" t="s">
        <v>127</v>
      </c>
      <c r="E25" s="145" t="s">
        <v>150</v>
      </c>
      <c r="F25" s="224">
        <v>240263</v>
      </c>
      <c r="G25" s="145">
        <v>0</v>
      </c>
      <c r="H25" s="145">
        <v>1996461</v>
      </c>
      <c r="I25" s="176" t="s">
        <v>176</v>
      </c>
      <c r="J25" s="129" t="str">
        <f t="shared" si="0"/>
        <v>factura 17350</v>
      </c>
      <c r="K25" s="129" t="str">
        <f t="shared" si="1"/>
        <v xml:space="preserve">Comite de Agua San Pedro de Atacama          </v>
      </c>
      <c r="L25" s="155"/>
      <c r="M25" s="97"/>
      <c r="N25" s="97"/>
      <c r="O25" s="210" t="s">
        <v>1044</v>
      </c>
      <c r="P25" s="211" t="s">
        <v>1105</v>
      </c>
      <c r="Q25" s="211" t="s">
        <v>201</v>
      </c>
      <c r="R25" s="211" t="s">
        <v>146</v>
      </c>
      <c r="S25" s="212" t="s">
        <v>220</v>
      </c>
      <c r="T25" s="258">
        <v>-225310</v>
      </c>
      <c r="U25" s="211" t="s">
        <v>144</v>
      </c>
      <c r="V25" s="211" t="s">
        <v>237</v>
      </c>
      <c r="W25" s="213" t="s">
        <v>1076</v>
      </c>
      <c r="Y25" s="320"/>
    </row>
    <row r="26" spans="1:25" s="111" customFormat="1" ht="18" customHeight="1" x14ac:dyDescent="0.3">
      <c r="A26" s="26"/>
      <c r="B26" s="316" t="s">
        <v>1041</v>
      </c>
      <c r="C26" s="317" t="s">
        <v>123</v>
      </c>
      <c r="D26" s="317" t="s">
        <v>133</v>
      </c>
      <c r="E26" s="317" t="s">
        <v>150</v>
      </c>
      <c r="F26" s="318">
        <v>1215553</v>
      </c>
      <c r="G26" s="317">
        <v>0</v>
      </c>
      <c r="H26" s="317">
        <v>5961566</v>
      </c>
      <c r="I26" s="319"/>
      <c r="J26" s="129" t="str">
        <f t="shared" si="0"/>
        <v/>
      </c>
      <c r="K26" s="129" t="str">
        <f t="shared" si="1"/>
        <v/>
      </c>
      <c r="L26" s="155"/>
      <c r="M26" s="97"/>
      <c r="N26" s="97"/>
      <c r="O26" s="210" t="s">
        <v>1044</v>
      </c>
      <c r="P26" s="211" t="s">
        <v>1106</v>
      </c>
      <c r="Q26" s="211" t="s">
        <v>640</v>
      </c>
      <c r="R26" s="211" t="s">
        <v>146</v>
      </c>
      <c r="S26" s="212" t="s">
        <v>641</v>
      </c>
      <c r="T26" s="258">
        <v>-112000</v>
      </c>
      <c r="U26" s="211" t="s">
        <v>144</v>
      </c>
      <c r="V26" s="211" t="s">
        <v>642</v>
      </c>
      <c r="W26" s="213" t="s">
        <v>1076</v>
      </c>
      <c r="Y26" s="320"/>
    </row>
    <row r="27" spans="1:25" s="111" customFormat="1" ht="18" customHeight="1" x14ac:dyDescent="0.3">
      <c r="A27" s="26"/>
      <c r="B27" s="144" t="s">
        <v>1042</v>
      </c>
      <c r="C27" s="145" t="s">
        <v>123</v>
      </c>
      <c r="D27" s="145" t="s">
        <v>124</v>
      </c>
      <c r="E27" s="145" t="s">
        <v>150</v>
      </c>
      <c r="F27" s="224">
        <v>250000</v>
      </c>
      <c r="G27" s="145">
        <v>0</v>
      </c>
      <c r="H27" s="145">
        <v>5254775</v>
      </c>
      <c r="I27" s="176" t="s">
        <v>175</v>
      </c>
      <c r="J27" s="129" t="str">
        <f t="shared" si="0"/>
        <v>Contable jul19</v>
      </c>
      <c r="K27" s="129" t="str">
        <f t="shared" si="1"/>
        <v xml:space="preserve">Jorge Baez Rojas                             </v>
      </c>
      <c r="L27" s="155"/>
      <c r="M27" s="97"/>
      <c r="N27" s="97"/>
      <c r="O27" s="210" t="s">
        <v>1044</v>
      </c>
      <c r="P27" s="211" t="s">
        <v>1107</v>
      </c>
      <c r="Q27" s="211" t="s">
        <v>238</v>
      </c>
      <c r="R27" s="211" t="s">
        <v>146</v>
      </c>
      <c r="S27" s="212" t="s">
        <v>239</v>
      </c>
      <c r="T27" s="258">
        <v>-164795</v>
      </c>
      <c r="U27" s="211" t="s">
        <v>144</v>
      </c>
      <c r="V27" s="211" t="s">
        <v>240</v>
      </c>
      <c r="W27" s="213" t="s">
        <v>1076</v>
      </c>
      <c r="Y27" s="320"/>
    </row>
    <row r="28" spans="1:25" s="111" customFormat="1" ht="18" customHeight="1" x14ac:dyDescent="0.3">
      <c r="A28" s="26"/>
      <c r="B28" s="144" t="s">
        <v>1042</v>
      </c>
      <c r="C28" s="145" t="s">
        <v>123</v>
      </c>
      <c r="D28" s="145" t="s">
        <v>124</v>
      </c>
      <c r="E28" s="145" t="s">
        <v>150</v>
      </c>
      <c r="F28" s="224">
        <v>456791</v>
      </c>
      <c r="G28" s="145">
        <v>0</v>
      </c>
      <c r="H28" s="145">
        <v>5504775</v>
      </c>
      <c r="I28" s="176" t="s">
        <v>176</v>
      </c>
      <c r="J28" s="129" t="str">
        <f t="shared" si="0"/>
        <v>Entel Jul19</v>
      </c>
      <c r="K28" s="129" t="str">
        <f t="shared" si="1"/>
        <v xml:space="preserve">Sergio Zamora                                </v>
      </c>
      <c r="L28" s="155"/>
      <c r="M28" s="97"/>
      <c r="N28" s="97"/>
      <c r="O28" s="210" t="s">
        <v>1044</v>
      </c>
      <c r="P28" s="211" t="s">
        <v>1108</v>
      </c>
      <c r="Q28" s="211" t="s">
        <v>313</v>
      </c>
      <c r="R28" s="211" t="s">
        <v>147</v>
      </c>
      <c r="S28" s="212" t="s">
        <v>314</v>
      </c>
      <c r="T28" s="258">
        <v>-234000</v>
      </c>
      <c r="U28" s="211" t="s">
        <v>144</v>
      </c>
      <c r="V28" s="211" t="s">
        <v>315</v>
      </c>
      <c r="W28" s="213" t="s">
        <v>1076</v>
      </c>
      <c r="Y28" s="320"/>
    </row>
    <row r="29" spans="1:25" s="111" customFormat="1" ht="18" customHeight="1" x14ac:dyDescent="0.3">
      <c r="A29" s="26"/>
      <c r="B29" s="144" t="s">
        <v>1043</v>
      </c>
      <c r="C29" s="145" t="s">
        <v>205</v>
      </c>
      <c r="D29" s="145" t="s">
        <v>226</v>
      </c>
      <c r="E29" s="145" t="s">
        <v>150</v>
      </c>
      <c r="F29" s="224">
        <v>0</v>
      </c>
      <c r="G29" s="145">
        <v>403000</v>
      </c>
      <c r="H29" s="145">
        <v>5657775</v>
      </c>
      <c r="I29" s="176" t="s">
        <v>177</v>
      </c>
      <c r="J29" s="129" t="str">
        <f t="shared" si="0"/>
        <v/>
      </c>
      <c r="K29" s="129" t="str">
        <f t="shared" si="1"/>
        <v/>
      </c>
      <c r="L29" s="155"/>
      <c r="M29" s="97"/>
      <c r="N29" s="97"/>
      <c r="O29" s="210" t="s">
        <v>1044</v>
      </c>
      <c r="P29" s="211" t="s">
        <v>1109</v>
      </c>
      <c r="Q29" s="211" t="s">
        <v>289</v>
      </c>
      <c r="R29" s="211" t="s">
        <v>147</v>
      </c>
      <c r="S29" s="212" t="s">
        <v>290</v>
      </c>
      <c r="T29" s="258">
        <v>-99276</v>
      </c>
      <c r="U29" s="211" t="s">
        <v>144</v>
      </c>
      <c r="V29" s="211" t="s">
        <v>291</v>
      </c>
      <c r="W29" s="213" t="s">
        <v>1110</v>
      </c>
      <c r="Y29" s="320"/>
    </row>
    <row r="30" spans="1:25" s="111" customFormat="1" ht="18" customHeight="1" x14ac:dyDescent="0.3">
      <c r="A30" s="26"/>
      <c r="B30" s="144" t="s">
        <v>1044</v>
      </c>
      <c r="C30" s="145" t="s">
        <v>123</v>
      </c>
      <c r="D30" s="145" t="s">
        <v>127</v>
      </c>
      <c r="E30" s="145" t="s">
        <v>150</v>
      </c>
      <c r="F30" s="224">
        <v>1022722</v>
      </c>
      <c r="G30" s="145">
        <v>0</v>
      </c>
      <c r="H30" s="145">
        <v>9534322</v>
      </c>
      <c r="I30" s="176" t="s">
        <v>176</v>
      </c>
      <c r="J30" s="129" t="str">
        <f t="shared" si="0"/>
        <v>fact 15220</v>
      </c>
      <c r="K30" s="129" t="str">
        <f t="shared" si="1"/>
        <v xml:space="preserve">CESPA Ltda                                   </v>
      </c>
      <c r="L30" s="155"/>
      <c r="M30" s="97"/>
      <c r="N30" s="97"/>
      <c r="O30" s="210" t="s">
        <v>1044</v>
      </c>
      <c r="P30" s="211" t="s">
        <v>1111</v>
      </c>
      <c r="Q30" s="211" t="s">
        <v>267</v>
      </c>
      <c r="R30" s="211" t="s">
        <v>147</v>
      </c>
      <c r="S30" s="212" t="s">
        <v>268</v>
      </c>
      <c r="T30" s="215">
        <v>-1022722</v>
      </c>
      <c r="U30" s="211" t="s">
        <v>144</v>
      </c>
      <c r="V30" s="211" t="s">
        <v>269</v>
      </c>
      <c r="W30" s="213" t="s">
        <v>1112</v>
      </c>
      <c r="Y30" s="320"/>
    </row>
    <row r="31" spans="1:25" s="111" customFormat="1" ht="18" customHeight="1" x14ac:dyDescent="0.3">
      <c r="A31" s="26"/>
      <c r="B31" s="144" t="s">
        <v>1044</v>
      </c>
      <c r="C31" s="145" t="s">
        <v>123</v>
      </c>
      <c r="D31" s="145" t="s">
        <v>128</v>
      </c>
      <c r="E31" s="145" t="s">
        <v>150</v>
      </c>
      <c r="F31" s="224">
        <v>0</v>
      </c>
      <c r="G31" s="337">
        <v>4899269</v>
      </c>
      <c r="H31" s="145">
        <v>10557044</v>
      </c>
      <c r="I31" s="176" t="s">
        <v>135</v>
      </c>
      <c r="J31" s="129" t="str">
        <f t="shared" si="0"/>
        <v/>
      </c>
      <c r="K31" s="129" t="str">
        <f t="shared" si="1"/>
        <v/>
      </c>
      <c r="L31" s="155" t="s">
        <v>1161</v>
      </c>
      <c r="M31" s="97"/>
      <c r="N31" s="97"/>
      <c r="O31" s="210" t="s">
        <v>1045</v>
      </c>
      <c r="P31" s="211" t="s">
        <v>1113</v>
      </c>
      <c r="Q31" s="211" t="s">
        <v>164</v>
      </c>
      <c r="R31" s="211" t="s">
        <v>147</v>
      </c>
      <c r="S31" s="212" t="s">
        <v>219</v>
      </c>
      <c r="T31" s="215">
        <v>-600000</v>
      </c>
      <c r="U31" s="211" t="s">
        <v>144</v>
      </c>
      <c r="V31" s="211" t="s">
        <v>165</v>
      </c>
      <c r="W31" s="213" t="s">
        <v>179</v>
      </c>
      <c r="Y31" s="320"/>
    </row>
    <row r="32" spans="1:25" s="111" customFormat="1" ht="18" customHeight="1" x14ac:dyDescent="0.3">
      <c r="A32" s="26"/>
      <c r="B32" s="144" t="s">
        <v>1045</v>
      </c>
      <c r="C32" s="145" t="s">
        <v>123</v>
      </c>
      <c r="D32" s="145" t="s">
        <v>124</v>
      </c>
      <c r="E32" s="145" t="s">
        <v>150</v>
      </c>
      <c r="F32" s="224">
        <v>241879</v>
      </c>
      <c r="G32" s="145">
        <v>0</v>
      </c>
      <c r="H32" s="145">
        <v>3511294</v>
      </c>
      <c r="I32" s="176" t="s">
        <v>8</v>
      </c>
      <c r="J32" s="129" t="str">
        <f t="shared" si="0"/>
        <v>Fact 1007</v>
      </c>
      <c r="K32" s="129" t="str">
        <f t="shared" si="1"/>
        <v xml:space="preserve">MIGUEL ANGEL NIEVAS                          </v>
      </c>
      <c r="L32" s="155"/>
      <c r="M32" s="97"/>
      <c r="N32" s="97"/>
      <c r="O32" s="210" t="s">
        <v>1045</v>
      </c>
      <c r="P32" s="211" t="s">
        <v>1114</v>
      </c>
      <c r="Q32" s="211" t="s">
        <v>322</v>
      </c>
      <c r="R32" s="211" t="s">
        <v>145</v>
      </c>
      <c r="S32" s="212" t="s">
        <v>323</v>
      </c>
      <c r="T32" s="215">
        <v>-241879</v>
      </c>
      <c r="U32" s="211" t="s">
        <v>144</v>
      </c>
      <c r="V32" s="211" t="s">
        <v>324</v>
      </c>
      <c r="W32" s="213" t="s">
        <v>1115</v>
      </c>
      <c r="Y32" s="320"/>
    </row>
    <row r="33" spans="1:25" s="111" customFormat="1" ht="18" customHeight="1" x14ac:dyDescent="0.3">
      <c r="A33" s="26"/>
      <c r="B33" s="144" t="s">
        <v>1045</v>
      </c>
      <c r="C33" s="145" t="s">
        <v>123</v>
      </c>
      <c r="D33" s="145" t="s">
        <v>124</v>
      </c>
      <c r="E33" s="145" t="s">
        <v>150</v>
      </c>
      <c r="F33" s="224">
        <v>253276</v>
      </c>
      <c r="G33" s="145">
        <v>0</v>
      </c>
      <c r="H33" s="145">
        <v>3753173</v>
      </c>
      <c r="I33" s="176" t="s">
        <v>30</v>
      </c>
      <c r="J33" s="129" t="str">
        <f t="shared" si="0"/>
        <v>Sueldo Ago 19</v>
      </c>
      <c r="K33" s="129" t="str">
        <f t="shared" si="1"/>
        <v xml:space="preserve">Camila Aranguiz                              </v>
      </c>
      <c r="L33" s="155"/>
      <c r="M33" s="97"/>
      <c r="N33" s="97"/>
      <c r="O33" s="210" t="s">
        <v>1046</v>
      </c>
      <c r="P33" s="211" t="s">
        <v>1116</v>
      </c>
      <c r="Q33" s="211" t="s">
        <v>637</v>
      </c>
      <c r="R33" s="211" t="s">
        <v>146</v>
      </c>
      <c r="S33" s="212" t="s">
        <v>638</v>
      </c>
      <c r="T33" s="215">
        <v>-288000</v>
      </c>
      <c r="U33" s="211" t="s">
        <v>144</v>
      </c>
      <c r="V33" s="211" t="s">
        <v>639</v>
      </c>
      <c r="W33" s="213" t="s">
        <v>1076</v>
      </c>
      <c r="Y33" s="320"/>
    </row>
    <row r="34" spans="1:25" s="111" customFormat="1" ht="18" customHeight="1" x14ac:dyDescent="0.3">
      <c r="A34" s="26"/>
      <c r="B34" s="144" t="s">
        <v>1045</v>
      </c>
      <c r="C34" s="145" t="s">
        <v>123</v>
      </c>
      <c r="D34" s="145" t="s">
        <v>124</v>
      </c>
      <c r="E34" s="145" t="s">
        <v>150</v>
      </c>
      <c r="F34" s="224">
        <v>608051</v>
      </c>
      <c r="G34" s="145">
        <v>0</v>
      </c>
      <c r="H34" s="145">
        <v>4006449</v>
      </c>
      <c r="I34" s="176" t="s">
        <v>30</v>
      </c>
      <c r="J34" s="129" t="str">
        <f t="shared" si="0"/>
        <v>Sueldo Ago 19</v>
      </c>
      <c r="K34" s="129" t="str">
        <f t="shared" si="1"/>
        <v xml:space="preserve">Carlos Moscoso                               </v>
      </c>
      <c r="L34" s="155"/>
      <c r="M34" s="97"/>
      <c r="N34" s="97"/>
      <c r="O34" s="210" t="s">
        <v>1047</v>
      </c>
      <c r="P34" s="211" t="s">
        <v>1117</v>
      </c>
      <c r="Q34" s="211" t="s">
        <v>628</v>
      </c>
      <c r="R34" s="211" t="s">
        <v>297</v>
      </c>
      <c r="S34" s="212" t="s">
        <v>629</v>
      </c>
      <c r="T34" s="215">
        <v>-173076</v>
      </c>
      <c r="U34" s="211" t="s">
        <v>144</v>
      </c>
      <c r="V34" s="211" t="s">
        <v>630</v>
      </c>
      <c r="W34" s="213" t="s">
        <v>1118</v>
      </c>
      <c r="Y34" s="320"/>
    </row>
    <row r="35" spans="1:25" s="111" customFormat="1" ht="18" customHeight="1" x14ac:dyDescent="0.3">
      <c r="A35" s="26"/>
      <c r="B35" s="144" t="s">
        <v>1045</v>
      </c>
      <c r="C35" s="145" t="s">
        <v>123</v>
      </c>
      <c r="D35" s="145" t="s">
        <v>124</v>
      </c>
      <c r="E35" s="145" t="s">
        <v>150</v>
      </c>
      <c r="F35" s="224">
        <v>1301874</v>
      </c>
      <c r="G35" s="145">
        <v>0</v>
      </c>
      <c r="H35" s="145">
        <v>4614500</v>
      </c>
      <c r="I35" s="176" t="s">
        <v>30</v>
      </c>
      <c r="J35" s="129" t="str">
        <f t="shared" si="0"/>
        <v>Sueldo Ago 19</v>
      </c>
      <c r="K35" s="129" t="str">
        <f t="shared" si="1"/>
        <v xml:space="preserve">Angelica Ramirez Muñoz                       </v>
      </c>
      <c r="L35" s="155"/>
      <c r="M35" s="97"/>
      <c r="N35" s="97"/>
      <c r="O35" s="210" t="s">
        <v>1047</v>
      </c>
      <c r="P35" s="211" t="s">
        <v>1119</v>
      </c>
      <c r="Q35" s="211" t="s">
        <v>322</v>
      </c>
      <c r="R35" s="211" t="s">
        <v>145</v>
      </c>
      <c r="S35" s="212" t="s">
        <v>323</v>
      </c>
      <c r="T35" s="215">
        <v>-371280</v>
      </c>
      <c r="U35" s="211" t="s">
        <v>144</v>
      </c>
      <c r="V35" s="211" t="s">
        <v>324</v>
      </c>
      <c r="W35" s="213" t="s">
        <v>1120</v>
      </c>
      <c r="Y35" s="320"/>
    </row>
    <row r="36" spans="1:25" s="111" customFormat="1" ht="18" customHeight="1" x14ac:dyDescent="0.3">
      <c r="A36" s="26"/>
      <c r="B36" s="144" t="s">
        <v>1045</v>
      </c>
      <c r="C36" s="145" t="s">
        <v>123</v>
      </c>
      <c r="D36" s="145" t="s">
        <v>124</v>
      </c>
      <c r="E36" s="145" t="s">
        <v>150</v>
      </c>
      <c r="F36" s="224">
        <v>524187</v>
      </c>
      <c r="G36" s="145">
        <v>0</v>
      </c>
      <c r="H36" s="145">
        <v>5916374</v>
      </c>
      <c r="I36" s="176" t="s">
        <v>30</v>
      </c>
      <c r="J36" s="129" t="str">
        <f t="shared" si="0"/>
        <v>Sueldo Ago 19</v>
      </c>
      <c r="K36" s="129" t="str">
        <f t="shared" si="1"/>
        <v xml:space="preserve">Norma Gavia                                  </v>
      </c>
      <c r="L36" s="155"/>
      <c r="M36" s="97"/>
      <c r="N36" s="97"/>
      <c r="O36" s="210" t="s">
        <v>1047</v>
      </c>
      <c r="P36" s="211" t="s">
        <v>1121</v>
      </c>
      <c r="Q36" s="211" t="s">
        <v>296</v>
      </c>
      <c r="R36" s="211" t="s">
        <v>297</v>
      </c>
      <c r="S36" s="212" t="s">
        <v>298</v>
      </c>
      <c r="T36" s="215">
        <v>-149902</v>
      </c>
      <c r="U36" s="211" t="s">
        <v>144</v>
      </c>
      <c r="V36" s="211" t="s">
        <v>299</v>
      </c>
      <c r="W36" s="213" t="s">
        <v>1122</v>
      </c>
      <c r="Y36" s="320"/>
    </row>
    <row r="37" spans="1:25" s="111" customFormat="1" ht="18" customHeight="1" x14ac:dyDescent="0.3">
      <c r="A37" s="26"/>
      <c r="B37" s="144" t="s">
        <v>1045</v>
      </c>
      <c r="C37" s="145" t="s">
        <v>123</v>
      </c>
      <c r="D37" s="145" t="s">
        <v>124</v>
      </c>
      <c r="E37" s="145" t="s">
        <v>150</v>
      </c>
      <c r="F37" s="224">
        <v>164795</v>
      </c>
      <c r="G37" s="145">
        <v>0</v>
      </c>
      <c r="H37" s="145">
        <v>6440561</v>
      </c>
      <c r="I37" s="176" t="s">
        <v>30</v>
      </c>
      <c r="J37" s="129" t="str">
        <f t="shared" si="0"/>
        <v>Sueldo Ago 19</v>
      </c>
      <c r="K37" s="129" t="str">
        <f t="shared" si="1"/>
        <v xml:space="preserve">Ana Cruz Varas                               </v>
      </c>
      <c r="L37" s="155"/>
      <c r="M37" s="97"/>
      <c r="N37" s="97"/>
      <c r="O37" s="210" t="s">
        <v>1047</v>
      </c>
      <c r="P37" s="211" t="s">
        <v>1123</v>
      </c>
      <c r="Q37" s="211" t="s">
        <v>289</v>
      </c>
      <c r="R37" s="211" t="s">
        <v>147</v>
      </c>
      <c r="S37" s="212" t="s">
        <v>290</v>
      </c>
      <c r="T37" s="215">
        <v>-34847</v>
      </c>
      <c r="U37" s="211" t="s">
        <v>144</v>
      </c>
      <c r="V37" s="211" t="s">
        <v>291</v>
      </c>
      <c r="W37" s="213" t="s">
        <v>1124</v>
      </c>
      <c r="Y37" s="320"/>
    </row>
    <row r="38" spans="1:25" s="111" customFormat="1" ht="18" customHeight="1" x14ac:dyDescent="0.3">
      <c r="A38" s="26"/>
      <c r="B38" s="144" t="s">
        <v>1045</v>
      </c>
      <c r="C38" s="145" t="s">
        <v>123</v>
      </c>
      <c r="D38" s="145" t="s">
        <v>124</v>
      </c>
      <c r="E38" s="145" t="s">
        <v>150</v>
      </c>
      <c r="F38" s="224">
        <v>552939</v>
      </c>
      <c r="G38" s="145">
        <v>0</v>
      </c>
      <c r="H38" s="145">
        <v>6605356</v>
      </c>
      <c r="I38" s="176" t="s">
        <v>30</v>
      </c>
      <c r="J38" s="129" t="str">
        <f t="shared" si="0"/>
        <v>Sueldo Ago 19</v>
      </c>
      <c r="K38" s="129" t="str">
        <f t="shared" si="1"/>
        <v xml:space="preserve">Alexi Muchairo Manu                          </v>
      </c>
      <c r="L38" s="155"/>
      <c r="M38" s="97"/>
      <c r="N38" s="97"/>
      <c r="O38" s="214" t="s">
        <v>1047</v>
      </c>
      <c r="P38" s="211" t="s">
        <v>1125</v>
      </c>
      <c r="Q38" s="211" t="s">
        <v>148</v>
      </c>
      <c r="R38" s="211" t="s">
        <v>145</v>
      </c>
      <c r="S38" s="212" t="s">
        <v>227</v>
      </c>
      <c r="T38" s="215">
        <v>-786967</v>
      </c>
      <c r="U38" s="211" t="s">
        <v>144</v>
      </c>
      <c r="V38" s="211" t="s">
        <v>228</v>
      </c>
      <c r="W38" s="213" t="s">
        <v>1076</v>
      </c>
      <c r="Y38" s="193"/>
    </row>
    <row r="39" spans="1:25" s="111" customFormat="1" ht="18" customHeight="1" x14ac:dyDescent="0.3">
      <c r="A39" s="26"/>
      <c r="B39" s="144" t="s">
        <v>1045</v>
      </c>
      <c r="C39" s="145" t="s">
        <v>123</v>
      </c>
      <c r="D39" s="145" t="s">
        <v>124</v>
      </c>
      <c r="E39" s="145" t="s">
        <v>150</v>
      </c>
      <c r="F39" s="224">
        <v>572047</v>
      </c>
      <c r="G39" s="145">
        <v>0</v>
      </c>
      <c r="H39" s="145">
        <v>7158295</v>
      </c>
      <c r="I39" s="176" t="s">
        <v>30</v>
      </c>
      <c r="J39" s="129" t="str">
        <f t="shared" si="0"/>
        <v>Sueldo Ago 19</v>
      </c>
      <c r="K39" s="129" t="str">
        <f t="shared" si="1"/>
        <v xml:space="preserve">Silvia Perez Ibarra                          </v>
      </c>
      <c r="L39" s="155"/>
      <c r="M39" s="97"/>
      <c r="N39" s="97"/>
      <c r="O39" s="214"/>
      <c r="P39" s="211"/>
      <c r="Q39" s="211"/>
      <c r="R39" s="211"/>
      <c r="S39" s="212"/>
      <c r="T39" s="215"/>
      <c r="U39" s="211"/>
      <c r="V39" s="211"/>
      <c r="W39" s="213"/>
      <c r="Y39" s="193"/>
    </row>
    <row r="40" spans="1:25" s="111" customFormat="1" ht="18" customHeight="1" x14ac:dyDescent="0.3">
      <c r="A40" s="26"/>
      <c r="B40" s="144" t="s">
        <v>1045</v>
      </c>
      <c r="C40" s="145" t="s">
        <v>123</v>
      </c>
      <c r="D40" s="145" t="s">
        <v>124</v>
      </c>
      <c r="E40" s="145" t="s">
        <v>150</v>
      </c>
      <c r="F40" s="224">
        <v>535948</v>
      </c>
      <c r="G40" s="145">
        <v>0</v>
      </c>
      <c r="H40" s="145">
        <v>7730342</v>
      </c>
      <c r="I40" s="176" t="s">
        <v>30</v>
      </c>
      <c r="J40" s="129" t="str">
        <f t="shared" si="0"/>
        <v>Sueldo Ago 19</v>
      </c>
      <c r="K40" s="129" t="str">
        <f t="shared" si="1"/>
        <v xml:space="preserve">Juany Estelo Cruz                            </v>
      </c>
      <c r="L40" s="155"/>
      <c r="M40" s="97"/>
      <c r="N40" s="97"/>
      <c r="O40" s="214"/>
      <c r="P40" s="211"/>
      <c r="Q40" s="211"/>
      <c r="R40" s="211"/>
      <c r="S40" s="212"/>
      <c r="T40" s="215"/>
      <c r="U40" s="211"/>
      <c r="V40" s="211"/>
      <c r="W40" s="213"/>
      <c r="Y40" s="193"/>
    </row>
    <row r="41" spans="1:25" s="111" customFormat="1" ht="18" customHeight="1" x14ac:dyDescent="0.3">
      <c r="A41" s="26"/>
      <c r="B41" s="144" t="s">
        <v>1045</v>
      </c>
      <c r="C41" s="145" t="s">
        <v>123</v>
      </c>
      <c r="D41" s="145" t="s">
        <v>124</v>
      </c>
      <c r="E41" s="145" t="s">
        <v>150</v>
      </c>
      <c r="F41" s="224">
        <v>597446</v>
      </c>
      <c r="G41" s="145">
        <v>0</v>
      </c>
      <c r="H41" s="145">
        <v>8266290</v>
      </c>
      <c r="I41" s="176" t="s">
        <v>30</v>
      </c>
      <c r="J41" s="129" t="str">
        <f t="shared" si="0"/>
        <v>Sueldo Ago 19</v>
      </c>
      <c r="K41" s="129" t="str">
        <f t="shared" si="1"/>
        <v xml:space="preserve">Leticia Alessi                               </v>
      </c>
      <c r="L41" s="155"/>
      <c r="M41" s="97"/>
      <c r="N41" s="97"/>
      <c r="O41" s="214"/>
      <c r="P41" s="211"/>
      <c r="Q41" s="211"/>
      <c r="R41" s="211"/>
      <c r="S41" s="212"/>
      <c r="T41" s="215"/>
      <c r="U41" s="211"/>
      <c r="V41" s="211"/>
      <c r="W41" s="213"/>
      <c r="Y41" s="193"/>
    </row>
    <row r="42" spans="1:25" s="111" customFormat="1" ht="18" customHeight="1" x14ac:dyDescent="0.3">
      <c r="A42" s="26"/>
      <c r="B42" s="144" t="s">
        <v>1045</v>
      </c>
      <c r="C42" s="145" t="s">
        <v>123</v>
      </c>
      <c r="D42" s="145" t="s">
        <v>124</v>
      </c>
      <c r="E42" s="145" t="s">
        <v>150</v>
      </c>
      <c r="F42" s="224">
        <v>112000</v>
      </c>
      <c r="G42" s="145">
        <v>0</v>
      </c>
      <c r="H42" s="145">
        <v>8863736</v>
      </c>
      <c r="I42" s="176" t="s">
        <v>30</v>
      </c>
      <c r="J42" s="129" t="str">
        <f t="shared" si="0"/>
        <v>Sueldo Ago 19</v>
      </c>
      <c r="K42" s="129" t="str">
        <f t="shared" si="1"/>
        <v xml:space="preserve">Diego Maldonado                              </v>
      </c>
      <c r="L42" s="155"/>
      <c r="M42" s="97"/>
      <c r="N42" s="97"/>
      <c r="O42" s="214"/>
      <c r="P42" s="211"/>
      <c r="Q42" s="211"/>
      <c r="R42" s="211"/>
      <c r="S42" s="212"/>
      <c r="T42" s="215"/>
      <c r="U42" s="211"/>
      <c r="V42" s="211"/>
      <c r="W42" s="213"/>
      <c r="Y42" s="193"/>
    </row>
    <row r="43" spans="1:25" s="111" customFormat="1" ht="18" customHeight="1" x14ac:dyDescent="0.3">
      <c r="A43" s="26"/>
      <c r="B43" s="144" t="s">
        <v>1045</v>
      </c>
      <c r="C43" s="145" t="s">
        <v>123</v>
      </c>
      <c r="D43" s="145" t="s">
        <v>124</v>
      </c>
      <c r="E43" s="145" t="s">
        <v>150</v>
      </c>
      <c r="F43" s="224">
        <v>225310</v>
      </c>
      <c r="G43" s="145">
        <v>0</v>
      </c>
      <c r="H43" s="145">
        <v>8975736</v>
      </c>
      <c r="I43" s="176" t="s">
        <v>30</v>
      </c>
      <c r="J43" s="129" t="str">
        <f t="shared" si="0"/>
        <v>Sueldo Ago 19</v>
      </c>
      <c r="K43" s="129" t="str">
        <f t="shared" si="1"/>
        <v xml:space="preserve">Luis Arias                                   </v>
      </c>
      <c r="L43" s="155"/>
      <c r="M43" s="97"/>
      <c r="N43" s="97"/>
      <c r="O43" s="214"/>
      <c r="P43" s="211"/>
      <c r="Q43" s="211"/>
      <c r="R43" s="211"/>
      <c r="S43" s="212"/>
      <c r="T43" s="215"/>
      <c r="U43" s="211"/>
      <c r="V43" s="211"/>
      <c r="W43" s="213"/>
      <c r="Y43" s="193"/>
    </row>
    <row r="44" spans="1:25" s="111" customFormat="1" ht="18" customHeight="1" x14ac:dyDescent="0.3">
      <c r="A44" s="26"/>
      <c r="B44" s="144" t="s">
        <v>1045</v>
      </c>
      <c r="C44" s="145" t="s">
        <v>123</v>
      </c>
      <c r="D44" s="145" t="s">
        <v>127</v>
      </c>
      <c r="E44" s="145" t="s">
        <v>150</v>
      </c>
      <c r="F44" s="224">
        <v>234000</v>
      </c>
      <c r="G44" s="145">
        <v>0</v>
      </c>
      <c r="H44" s="145">
        <v>9201046</v>
      </c>
      <c r="I44" s="176" t="s">
        <v>30</v>
      </c>
      <c r="J44" s="129" t="str">
        <f t="shared" si="0"/>
        <v>Sueldo Ago 19</v>
      </c>
      <c r="K44" s="129" t="str">
        <f t="shared" si="1"/>
        <v xml:space="preserve">Ausberto Vilacagua Lenis                     </v>
      </c>
      <c r="L44" s="155"/>
      <c r="M44" s="97"/>
      <c r="N44" s="97"/>
      <c r="O44" s="214"/>
      <c r="P44" s="211"/>
      <c r="Q44" s="211"/>
      <c r="R44" s="211"/>
      <c r="S44" s="212"/>
      <c r="T44" s="215"/>
      <c r="U44" s="211"/>
      <c r="V44" s="211"/>
      <c r="W44" s="213"/>
      <c r="Y44" s="193"/>
    </row>
    <row r="45" spans="1:25" s="111" customFormat="1" ht="18" customHeight="1" x14ac:dyDescent="0.3">
      <c r="A45" s="26"/>
      <c r="B45" s="144" t="s">
        <v>1045</v>
      </c>
      <c r="C45" s="145" t="s">
        <v>123</v>
      </c>
      <c r="D45" s="145" t="s">
        <v>127</v>
      </c>
      <c r="E45" s="145" t="s">
        <v>150</v>
      </c>
      <c r="F45" s="224">
        <v>99276</v>
      </c>
      <c r="G45" s="145">
        <v>0</v>
      </c>
      <c r="H45" s="145">
        <v>9435046</v>
      </c>
      <c r="I45" s="176" t="s">
        <v>8</v>
      </c>
      <c r="J45" s="129" t="str">
        <f t="shared" si="0"/>
        <v>Fact  pagos pend</v>
      </c>
      <c r="K45" s="129" t="str">
        <f t="shared" si="1"/>
        <v xml:space="preserve">Panaderia La Franchuteria                    </v>
      </c>
      <c r="L45" s="155"/>
      <c r="M45" s="97"/>
      <c r="N45" s="97"/>
      <c r="O45" s="214"/>
      <c r="P45" s="211"/>
      <c r="Q45" s="211"/>
      <c r="R45" s="211"/>
      <c r="S45" s="212"/>
      <c r="T45" s="215"/>
      <c r="U45" s="211"/>
      <c r="V45" s="211"/>
      <c r="W45" s="213"/>
      <c r="Y45" s="193"/>
    </row>
    <row r="46" spans="1:25" s="111" customFormat="1" ht="18" customHeight="1" x14ac:dyDescent="0.3">
      <c r="A46" s="26"/>
      <c r="B46" s="144" t="s">
        <v>1046</v>
      </c>
      <c r="C46" s="145" t="s">
        <v>123</v>
      </c>
      <c r="D46" s="145" t="s">
        <v>127</v>
      </c>
      <c r="E46" s="145" t="s">
        <v>150</v>
      </c>
      <c r="F46" s="224">
        <v>600000</v>
      </c>
      <c r="G46" s="145">
        <v>0</v>
      </c>
      <c r="H46" s="145">
        <v>2911294</v>
      </c>
      <c r="I46" s="176" t="s">
        <v>173</v>
      </c>
      <c r="J46" s="129" t="str">
        <f t="shared" si="0"/>
        <v xml:space="preserve"> </v>
      </c>
      <c r="K46" s="129" t="str">
        <f t="shared" si="1"/>
        <v>SOCIEDAD HOTELERA ZAMORA RAMIREZ HERMANOS LIM</v>
      </c>
      <c r="L46" s="155"/>
      <c r="M46" s="97"/>
      <c r="N46" s="97"/>
      <c r="O46" s="214"/>
      <c r="P46" s="211"/>
      <c r="Q46" s="211"/>
      <c r="R46" s="211"/>
      <c r="S46" s="212"/>
      <c r="T46" s="215"/>
      <c r="U46" s="211"/>
      <c r="V46" s="211"/>
      <c r="W46" s="213"/>
    </row>
    <row r="47" spans="1:25" s="111" customFormat="1" ht="18" customHeight="1" x14ac:dyDescent="0.3">
      <c r="A47" s="26"/>
      <c r="B47" s="144" t="s">
        <v>1047</v>
      </c>
      <c r="C47" s="145" t="s">
        <v>123</v>
      </c>
      <c r="D47" s="145" t="s">
        <v>127</v>
      </c>
      <c r="E47" s="145" t="s">
        <v>150</v>
      </c>
      <c r="F47" s="224">
        <v>34847</v>
      </c>
      <c r="G47" s="145">
        <v>0</v>
      </c>
      <c r="H47" s="145">
        <v>11813480</v>
      </c>
      <c r="I47" s="176" t="s">
        <v>8</v>
      </c>
      <c r="J47" s="129" t="str">
        <f t="shared" si="0"/>
        <v>Fact 8084,7999, 7762, 7882</v>
      </c>
      <c r="K47" s="129" t="str">
        <f t="shared" si="1"/>
        <v xml:space="preserve">Panaderia La Franchuteria                    </v>
      </c>
      <c r="L47" s="155"/>
      <c r="M47" s="155"/>
      <c r="N47" s="97"/>
      <c r="O47" s="214"/>
      <c r="P47" s="211"/>
      <c r="Q47" s="211"/>
      <c r="R47" s="211"/>
      <c r="S47" s="212"/>
      <c r="T47" s="215"/>
      <c r="U47" s="211"/>
      <c r="V47" s="211"/>
      <c r="W47" s="213"/>
    </row>
    <row r="48" spans="1:25" s="111" customFormat="1" ht="18" customHeight="1" x14ac:dyDescent="0.3">
      <c r="A48" s="26"/>
      <c r="B48" s="144" t="s">
        <v>1047</v>
      </c>
      <c r="C48" s="145" t="s">
        <v>205</v>
      </c>
      <c r="D48" s="145" t="s">
        <v>226</v>
      </c>
      <c r="E48" s="145" t="s">
        <v>150</v>
      </c>
      <c r="F48" s="224">
        <v>0</v>
      </c>
      <c r="G48" s="145">
        <v>12000</v>
      </c>
      <c r="H48" s="145">
        <v>11848327</v>
      </c>
      <c r="I48" s="176" t="s">
        <v>177</v>
      </c>
      <c r="J48" s="129" t="str">
        <f t="shared" si="0"/>
        <v/>
      </c>
      <c r="K48" s="129" t="str">
        <f t="shared" si="1"/>
        <v/>
      </c>
      <c r="L48" s="155"/>
      <c r="M48" s="155"/>
      <c r="N48" s="97"/>
      <c r="O48" s="214"/>
      <c r="P48" s="211"/>
      <c r="Q48" s="211"/>
      <c r="R48" s="211"/>
      <c r="S48" s="212"/>
      <c r="T48" s="215"/>
      <c r="U48" s="211"/>
      <c r="V48" s="211"/>
      <c r="W48" s="213"/>
    </row>
    <row r="49" spans="1:23" s="130" customFormat="1" ht="18" customHeight="1" x14ac:dyDescent="0.3">
      <c r="A49" s="26"/>
      <c r="B49" s="144" t="s">
        <v>1047</v>
      </c>
      <c r="C49" s="145" t="s">
        <v>123</v>
      </c>
      <c r="D49" s="145" t="s">
        <v>128</v>
      </c>
      <c r="E49" s="145" t="s">
        <v>150</v>
      </c>
      <c r="F49" s="224">
        <v>0</v>
      </c>
      <c r="G49" s="145">
        <v>5000000</v>
      </c>
      <c r="H49" s="145">
        <v>11836327</v>
      </c>
      <c r="I49" s="176" t="s">
        <v>135</v>
      </c>
      <c r="J49" s="129" t="str">
        <f t="shared" si="0"/>
        <v/>
      </c>
      <c r="K49" s="129" t="str">
        <f t="shared" si="1"/>
        <v/>
      </c>
      <c r="L49" s="155"/>
      <c r="M49" s="155"/>
      <c r="N49" s="97"/>
      <c r="O49" s="214"/>
      <c r="P49" s="211"/>
      <c r="Q49" s="211"/>
      <c r="R49" s="211"/>
      <c r="S49" s="212"/>
      <c r="T49" s="215"/>
      <c r="U49" s="211"/>
      <c r="V49" s="211"/>
      <c r="W49" s="213"/>
    </row>
    <row r="50" spans="1:23" s="130" customFormat="1" ht="18" customHeight="1" x14ac:dyDescent="0.3">
      <c r="A50" s="26"/>
      <c r="B50" s="144" t="s">
        <v>1047</v>
      </c>
      <c r="C50" s="145" t="s">
        <v>123</v>
      </c>
      <c r="D50" s="145" t="s">
        <v>128</v>
      </c>
      <c r="E50" s="145" t="s">
        <v>150</v>
      </c>
      <c r="F50" s="224">
        <v>0</v>
      </c>
      <c r="G50" s="145">
        <v>5000000</v>
      </c>
      <c r="H50" s="145">
        <v>6836327</v>
      </c>
      <c r="I50" s="176" t="s">
        <v>135</v>
      </c>
      <c r="J50" s="129" t="str">
        <f t="shared" si="0"/>
        <v/>
      </c>
      <c r="K50" s="129" t="str">
        <f t="shared" si="1"/>
        <v/>
      </c>
      <c r="L50" s="155"/>
      <c r="M50" s="155"/>
      <c r="N50" s="97"/>
      <c r="O50" s="214"/>
      <c r="P50" s="211"/>
      <c r="Q50" s="211"/>
      <c r="R50" s="211"/>
      <c r="S50" s="212"/>
      <c r="T50" s="215"/>
      <c r="U50" s="211"/>
      <c r="V50" s="211"/>
      <c r="W50" s="213"/>
    </row>
    <row r="51" spans="1:23" s="130" customFormat="1" ht="18" customHeight="1" x14ac:dyDescent="0.3">
      <c r="A51" s="26"/>
      <c r="B51" s="144" t="s">
        <v>1047</v>
      </c>
      <c r="C51" s="145" t="s">
        <v>123</v>
      </c>
      <c r="D51" s="145" t="s">
        <v>124</v>
      </c>
      <c r="E51" s="145" t="s">
        <v>150</v>
      </c>
      <c r="F51" s="224">
        <v>786967</v>
      </c>
      <c r="G51" s="145">
        <v>0</v>
      </c>
      <c r="H51" s="145">
        <v>1836327</v>
      </c>
      <c r="I51" s="176" t="s">
        <v>30</v>
      </c>
      <c r="J51" s="129" t="str">
        <f t="shared" si="0"/>
        <v>Sueldo Ago 19</v>
      </c>
      <c r="K51" s="129" t="str">
        <f t="shared" si="1"/>
        <v xml:space="preserve">Mara Jose Paez Zumaran                       </v>
      </c>
      <c r="L51" s="155"/>
      <c r="M51" s="155"/>
      <c r="N51" s="97"/>
      <c r="O51" s="214"/>
      <c r="P51" s="211"/>
      <c r="Q51" s="211"/>
      <c r="R51" s="211"/>
      <c r="S51" s="212"/>
      <c r="T51" s="215"/>
      <c r="U51" s="211"/>
      <c r="V51" s="211"/>
      <c r="W51" s="213"/>
    </row>
    <row r="52" spans="1:23" s="130" customFormat="1" ht="18" customHeight="1" x14ac:dyDescent="0.3">
      <c r="A52" s="26"/>
      <c r="B52" s="144" t="s">
        <v>1047</v>
      </c>
      <c r="C52" s="145" t="s">
        <v>123</v>
      </c>
      <c r="D52" s="145" t="s">
        <v>124</v>
      </c>
      <c r="E52" s="145" t="s">
        <v>150</v>
      </c>
      <c r="F52" s="224">
        <v>288000</v>
      </c>
      <c r="G52" s="145">
        <v>0</v>
      </c>
      <c r="H52" s="145">
        <v>2623294</v>
      </c>
      <c r="I52" s="176" t="s">
        <v>30</v>
      </c>
      <c r="J52" s="129" t="str">
        <f t="shared" si="0"/>
        <v>Sueldo Ago 19</v>
      </c>
      <c r="K52" s="129" t="str">
        <f t="shared" si="1"/>
        <v xml:space="preserve">Johana Manzilla                              </v>
      </c>
      <c r="L52" s="155"/>
      <c r="M52" s="155"/>
      <c r="N52" s="97"/>
      <c r="O52" s="214"/>
      <c r="P52" s="211"/>
      <c r="Q52" s="211"/>
      <c r="R52" s="211"/>
      <c r="S52" s="212"/>
      <c r="T52" s="215"/>
      <c r="U52" s="211"/>
      <c r="V52" s="211"/>
      <c r="W52" s="213"/>
    </row>
    <row r="53" spans="1:23" s="130" customFormat="1" ht="18" customHeight="1" x14ac:dyDescent="0.3">
      <c r="A53" s="26"/>
      <c r="B53" s="144"/>
      <c r="C53" s="145"/>
      <c r="D53" s="145"/>
      <c r="E53" s="145"/>
      <c r="F53" s="224"/>
      <c r="G53" s="145"/>
      <c r="H53" s="145"/>
      <c r="I53" s="176"/>
      <c r="J53" s="129" t="str">
        <f t="shared" si="0"/>
        <v/>
      </c>
      <c r="K53" s="129" t="str">
        <f t="shared" si="1"/>
        <v/>
      </c>
      <c r="L53" s="155"/>
      <c r="M53" s="155"/>
      <c r="N53" s="97"/>
      <c r="O53" s="193"/>
      <c r="P53" s="193"/>
      <c r="Q53" s="193"/>
      <c r="R53" s="193"/>
      <c r="S53" s="193"/>
      <c r="T53" s="193"/>
      <c r="U53" s="193"/>
      <c r="V53" s="193"/>
      <c r="W53" s="193"/>
    </row>
    <row r="54" spans="1:23" s="130" customFormat="1" ht="18" customHeight="1" x14ac:dyDescent="0.3">
      <c r="A54" s="26"/>
      <c r="B54" s="144"/>
      <c r="C54" s="145"/>
      <c r="D54" s="145"/>
      <c r="E54" s="145"/>
      <c r="F54" s="224"/>
      <c r="G54" s="145"/>
      <c r="H54" s="145"/>
      <c r="I54" s="176"/>
      <c r="J54" s="129" t="str">
        <f t="shared" si="0"/>
        <v/>
      </c>
      <c r="K54" s="129" t="str">
        <f t="shared" si="1"/>
        <v/>
      </c>
      <c r="L54" s="155"/>
      <c r="M54" s="155"/>
      <c r="N54" s="97"/>
      <c r="O54" s="193"/>
      <c r="P54" s="193"/>
      <c r="Q54" s="193"/>
      <c r="R54" s="193"/>
      <c r="S54" s="193"/>
      <c r="T54" s="193"/>
      <c r="U54" s="193"/>
      <c r="V54" s="193"/>
      <c r="W54" s="193"/>
    </row>
    <row r="55" spans="1:23" s="130" customFormat="1" ht="18" customHeight="1" x14ac:dyDescent="0.3">
      <c r="A55" s="26"/>
      <c r="B55" s="144"/>
      <c r="C55" s="145"/>
      <c r="D55" s="145"/>
      <c r="E55" s="145"/>
      <c r="F55" s="224"/>
      <c r="G55" s="145"/>
      <c r="H55" s="145"/>
      <c r="I55" s="176"/>
      <c r="J55" s="129" t="str">
        <f t="shared" si="0"/>
        <v/>
      </c>
      <c r="K55" s="129" t="str">
        <f t="shared" si="1"/>
        <v/>
      </c>
      <c r="L55" s="155"/>
      <c r="M55" s="155"/>
      <c r="N55" s="97"/>
      <c r="O55" s="193"/>
      <c r="P55" s="193"/>
      <c r="Q55" s="193"/>
      <c r="R55" s="193"/>
      <c r="S55" s="193"/>
      <c r="T55" s="193"/>
      <c r="U55" s="193"/>
      <c r="V55" s="193"/>
      <c r="W55" s="193"/>
    </row>
    <row r="56" spans="1:23" s="130" customFormat="1" ht="18" customHeight="1" x14ac:dyDescent="0.3">
      <c r="A56" s="26"/>
      <c r="B56" s="144"/>
      <c r="C56" s="145"/>
      <c r="D56" s="145"/>
      <c r="E56" s="145"/>
      <c r="F56" s="224"/>
      <c r="G56" s="145"/>
      <c r="H56" s="145"/>
      <c r="I56" s="176"/>
      <c r="J56" s="129" t="str">
        <f t="shared" si="0"/>
        <v/>
      </c>
      <c r="K56" s="129" t="str">
        <f t="shared" si="1"/>
        <v/>
      </c>
      <c r="L56" s="155"/>
      <c r="M56" s="155"/>
      <c r="N56" s="97"/>
      <c r="O56" s="193"/>
      <c r="P56" s="193"/>
      <c r="Q56" s="193"/>
      <c r="R56" s="193"/>
      <c r="S56" s="193"/>
      <c r="T56" s="193"/>
      <c r="U56" s="193"/>
      <c r="V56" s="193"/>
      <c r="W56" s="193"/>
    </row>
    <row r="57" spans="1:23" s="193" customFormat="1" ht="18" customHeight="1" x14ac:dyDescent="0.3">
      <c r="A57" s="26"/>
      <c r="B57" s="144"/>
      <c r="C57" s="145"/>
      <c r="D57" s="145"/>
      <c r="E57" s="145"/>
      <c r="F57" s="224"/>
      <c r="G57" s="145"/>
      <c r="H57" s="145"/>
      <c r="I57" s="176"/>
      <c r="J57" s="129" t="str">
        <f t="shared" si="0"/>
        <v/>
      </c>
      <c r="K57" s="129" t="str">
        <f t="shared" si="1"/>
        <v/>
      </c>
      <c r="L57" s="155"/>
      <c r="M57" s="155"/>
      <c r="N57" s="97"/>
    </row>
    <row r="58" spans="1:23" s="193" customFormat="1" ht="18" customHeight="1" x14ac:dyDescent="0.3">
      <c r="A58" s="26"/>
      <c r="B58" s="144"/>
      <c r="C58" s="145"/>
      <c r="D58" s="145"/>
      <c r="E58" s="145"/>
      <c r="F58" s="224"/>
      <c r="G58" s="145"/>
      <c r="H58" s="145"/>
      <c r="I58" s="176"/>
      <c r="J58" s="129" t="str">
        <f t="shared" si="0"/>
        <v/>
      </c>
      <c r="K58" s="129" t="str">
        <f t="shared" si="1"/>
        <v/>
      </c>
      <c r="L58" s="155"/>
      <c r="M58" s="155"/>
      <c r="N58" s="97"/>
    </row>
    <row r="59" spans="1:23" s="193" customFormat="1" ht="18" customHeight="1" x14ac:dyDescent="0.3">
      <c r="A59" s="26"/>
      <c r="B59" s="144"/>
      <c r="C59" s="145"/>
      <c r="D59" s="145"/>
      <c r="E59" s="145"/>
      <c r="F59" s="224"/>
      <c r="G59" s="145"/>
      <c r="H59" s="145"/>
      <c r="I59" s="176"/>
      <c r="J59" s="129" t="str">
        <f t="shared" si="0"/>
        <v/>
      </c>
      <c r="K59" s="129" t="str">
        <f t="shared" si="1"/>
        <v/>
      </c>
      <c r="L59" s="155"/>
      <c r="M59" s="155"/>
      <c r="N59" s="97"/>
    </row>
    <row r="60" spans="1:23" s="193" customFormat="1" ht="18" customHeight="1" x14ac:dyDescent="0.3">
      <c r="A60" s="26"/>
      <c r="B60" s="144"/>
      <c r="C60" s="145"/>
      <c r="D60" s="145"/>
      <c r="E60" s="145"/>
      <c r="F60" s="224"/>
      <c r="G60" s="145"/>
      <c r="H60" s="145"/>
      <c r="I60" s="176"/>
      <c r="J60" s="129" t="str">
        <f t="shared" si="0"/>
        <v/>
      </c>
      <c r="K60" s="129" t="str">
        <f t="shared" si="1"/>
        <v/>
      </c>
      <c r="L60" s="155"/>
      <c r="M60" s="155"/>
      <c r="N60" s="97"/>
    </row>
    <row r="61" spans="1:23" s="193" customFormat="1" ht="18" customHeight="1" x14ac:dyDescent="0.3">
      <c r="A61" s="26"/>
      <c r="B61" s="144"/>
      <c r="C61" s="145"/>
      <c r="D61" s="145"/>
      <c r="E61" s="145"/>
      <c r="F61" s="224"/>
      <c r="G61" s="145"/>
      <c r="H61" s="145"/>
      <c r="I61" s="176"/>
      <c r="J61" s="129" t="str">
        <f t="shared" si="0"/>
        <v/>
      </c>
      <c r="K61" s="129" t="str">
        <f t="shared" si="1"/>
        <v/>
      </c>
      <c r="L61" s="155"/>
      <c r="M61" s="155"/>
      <c r="N61" s="97"/>
    </row>
    <row r="62" spans="1:23" s="193" customFormat="1" ht="18" customHeight="1" x14ac:dyDescent="0.3">
      <c r="A62" s="26"/>
      <c r="B62" s="144"/>
      <c r="C62" s="145"/>
      <c r="D62" s="145"/>
      <c r="E62" s="145"/>
      <c r="F62" s="224"/>
      <c r="G62" s="145"/>
      <c r="H62" s="145"/>
      <c r="I62" s="176"/>
      <c r="J62" s="129" t="str">
        <f t="shared" si="0"/>
        <v/>
      </c>
      <c r="K62" s="129" t="str">
        <f t="shared" si="1"/>
        <v/>
      </c>
      <c r="L62" s="155"/>
      <c r="M62" s="155"/>
      <c r="N62" s="97"/>
    </row>
    <row r="63" spans="1:23" s="193" customFormat="1" ht="18" customHeight="1" x14ac:dyDescent="0.3">
      <c r="A63" s="26"/>
      <c r="B63" s="144"/>
      <c r="C63" s="145"/>
      <c r="D63" s="145"/>
      <c r="E63" s="145"/>
      <c r="F63" s="224"/>
      <c r="G63" s="145"/>
      <c r="H63" s="145"/>
      <c r="I63" s="176"/>
      <c r="J63" s="129" t="str">
        <f t="shared" si="0"/>
        <v/>
      </c>
      <c r="K63" s="129" t="str">
        <f t="shared" si="1"/>
        <v/>
      </c>
      <c r="L63" s="155"/>
      <c r="M63" s="97"/>
      <c r="N63" s="97"/>
    </row>
    <row r="64" spans="1:23" s="193" customFormat="1" ht="18" customHeight="1" x14ac:dyDescent="0.3">
      <c r="A64" s="26"/>
      <c r="B64" s="144"/>
      <c r="C64" s="145"/>
      <c r="D64" s="145"/>
      <c r="E64" s="145"/>
      <c r="F64" s="224"/>
      <c r="G64" s="145"/>
      <c r="H64" s="145"/>
      <c r="I64" s="176"/>
      <c r="J64" s="129" t="str">
        <f t="shared" si="0"/>
        <v/>
      </c>
      <c r="K64" s="129" t="str">
        <f t="shared" si="1"/>
        <v/>
      </c>
      <c r="L64" s="155"/>
      <c r="M64" s="97"/>
      <c r="N64" s="97"/>
    </row>
    <row r="65" spans="1:23" s="193" customFormat="1" ht="18" customHeight="1" x14ac:dyDescent="0.3">
      <c r="A65" s="26"/>
      <c r="B65" s="144"/>
      <c r="C65" s="145"/>
      <c r="D65" s="145"/>
      <c r="E65" s="145"/>
      <c r="F65" s="145"/>
      <c r="G65" s="145"/>
      <c r="H65" s="145"/>
      <c r="I65" s="176"/>
      <c r="J65" s="129" t="str">
        <f t="shared" si="0"/>
        <v/>
      </c>
      <c r="K65" s="129" t="str">
        <f t="shared" si="1"/>
        <v/>
      </c>
      <c r="L65" s="155"/>
      <c r="M65" s="97"/>
      <c r="N65" s="97"/>
    </row>
    <row r="66" spans="1:23" s="193" customFormat="1" ht="18" customHeight="1" x14ac:dyDescent="0.3">
      <c r="A66" s="26"/>
      <c r="B66" s="144"/>
      <c r="C66" s="145"/>
      <c r="D66" s="145"/>
      <c r="E66" s="145"/>
      <c r="F66" s="145"/>
      <c r="G66" s="145"/>
      <c r="H66" s="145"/>
      <c r="I66" s="176"/>
      <c r="J66" s="129" t="str">
        <f t="shared" si="0"/>
        <v/>
      </c>
      <c r="K66" s="129" t="str">
        <f t="shared" si="1"/>
        <v/>
      </c>
      <c r="L66" s="155"/>
      <c r="M66" s="97"/>
      <c r="N66" s="97"/>
    </row>
    <row r="67" spans="1:23" s="193" customFormat="1" ht="18" customHeight="1" x14ac:dyDescent="0.3">
      <c r="A67" s="26"/>
      <c r="B67" s="144"/>
      <c r="C67" s="145"/>
      <c r="D67" s="145"/>
      <c r="E67" s="145"/>
      <c r="F67" s="145"/>
      <c r="G67" s="145"/>
      <c r="H67" s="145"/>
      <c r="I67" s="176"/>
      <c r="J67" s="129" t="str">
        <f t="shared" si="0"/>
        <v/>
      </c>
      <c r="K67" s="129" t="str">
        <f t="shared" si="1"/>
        <v/>
      </c>
      <c r="L67" s="155"/>
      <c r="M67" s="97"/>
      <c r="N67" s="97"/>
    </row>
    <row r="68" spans="1:23" s="193" customFormat="1" ht="18" customHeight="1" x14ac:dyDescent="0.3">
      <c r="A68" s="26"/>
      <c r="B68" s="144"/>
      <c r="C68" s="145"/>
      <c r="D68" s="145"/>
      <c r="E68" s="145"/>
      <c r="F68" s="145"/>
      <c r="G68" s="145"/>
      <c r="H68" s="145"/>
      <c r="I68" s="176"/>
      <c r="J68" s="129" t="str">
        <f t="shared" ref="J68:J71" si="2">IFERROR(VLOOKUP(-F68,$T$3:$W$50,4,FALSE),"")</f>
        <v/>
      </c>
      <c r="K68" s="129" t="str">
        <f t="shared" ref="K68:K71" si="3">IFERROR(VLOOKUP(-F68,$T$3:$W$50,3,FALSE),"")</f>
        <v/>
      </c>
      <c r="L68" s="155"/>
      <c r="M68" s="97"/>
      <c r="N68" s="97"/>
    </row>
    <row r="69" spans="1:23" s="193" customFormat="1" ht="18" customHeight="1" x14ac:dyDescent="0.3">
      <c r="A69" s="26"/>
      <c r="B69" s="144"/>
      <c r="C69" s="145"/>
      <c r="D69" s="145"/>
      <c r="E69" s="145"/>
      <c r="F69" s="145"/>
      <c r="G69" s="145"/>
      <c r="H69" s="145"/>
      <c r="I69" s="176"/>
      <c r="J69" s="129" t="str">
        <f t="shared" si="2"/>
        <v/>
      </c>
      <c r="K69" s="129" t="str">
        <f t="shared" si="3"/>
        <v/>
      </c>
      <c r="L69" s="155"/>
      <c r="M69" s="97"/>
      <c r="N69" s="97"/>
    </row>
    <row r="70" spans="1:23" s="193" customFormat="1" ht="18" customHeight="1" x14ac:dyDescent="0.3">
      <c r="A70" s="26"/>
      <c r="B70" s="144"/>
      <c r="C70" s="145"/>
      <c r="D70" s="145"/>
      <c r="E70" s="145"/>
      <c r="F70" s="145"/>
      <c r="G70" s="145"/>
      <c r="H70" s="145"/>
      <c r="I70" s="176"/>
      <c r="J70" s="129" t="str">
        <f t="shared" si="2"/>
        <v/>
      </c>
      <c r="K70" s="129" t="str">
        <f t="shared" si="3"/>
        <v/>
      </c>
      <c r="L70" s="155"/>
      <c r="M70" s="97"/>
      <c r="N70" s="97"/>
    </row>
    <row r="71" spans="1:23" s="193" customFormat="1" ht="18" customHeight="1" x14ac:dyDescent="0.3">
      <c r="A71" s="26"/>
      <c r="B71" s="144"/>
      <c r="C71" s="145"/>
      <c r="D71" s="145"/>
      <c r="E71" s="145"/>
      <c r="F71" s="145"/>
      <c r="G71" s="145"/>
      <c r="H71" s="145"/>
      <c r="I71" s="176"/>
      <c r="J71" s="129" t="str">
        <f t="shared" si="2"/>
        <v/>
      </c>
      <c r="K71" s="129" t="str">
        <f t="shared" si="3"/>
        <v/>
      </c>
      <c r="L71" s="155"/>
      <c r="M71" s="97"/>
      <c r="N71" s="97"/>
    </row>
    <row r="72" spans="1:23" s="193" customFormat="1" ht="18" customHeight="1" x14ac:dyDescent="0.3">
      <c r="A72" s="26"/>
      <c r="B72" s="144"/>
      <c r="C72" s="145"/>
      <c r="D72" s="145"/>
      <c r="E72" s="145"/>
      <c r="F72" s="145"/>
      <c r="G72" s="145"/>
      <c r="H72" s="145"/>
      <c r="I72" s="176"/>
      <c r="J72" s="129" t="str">
        <f t="shared" ref="J72:J105" si="4">IFERROR(VLOOKUP(-F72,$T$3:$W$50,4,FALSE),"")</f>
        <v/>
      </c>
      <c r="K72" s="129" t="str">
        <f t="shared" ref="K72:K105" si="5">IFERROR(VLOOKUP(-F72,$T$3:$W$50,3,FALSE),"")</f>
        <v/>
      </c>
      <c r="L72" s="155"/>
      <c r="M72" s="97"/>
      <c r="N72" s="97"/>
    </row>
    <row r="73" spans="1:23" s="193" customFormat="1" ht="18" customHeight="1" x14ac:dyDescent="0.3">
      <c r="A73" s="26"/>
      <c r="B73" s="144"/>
      <c r="C73" s="145"/>
      <c r="D73" s="145"/>
      <c r="E73" s="145"/>
      <c r="F73" s="145"/>
      <c r="G73" s="145"/>
      <c r="H73" s="145"/>
      <c r="I73" s="176"/>
      <c r="J73" s="129" t="str">
        <f t="shared" si="4"/>
        <v/>
      </c>
      <c r="K73" s="129" t="str">
        <f t="shared" si="5"/>
        <v/>
      </c>
      <c r="L73" s="155"/>
      <c r="M73" s="97"/>
      <c r="N73" s="97"/>
    </row>
    <row r="74" spans="1:23" s="193" customFormat="1" ht="18" customHeight="1" x14ac:dyDescent="0.3">
      <c r="A74" s="26"/>
      <c r="B74" s="144"/>
      <c r="C74" s="145"/>
      <c r="D74" s="145"/>
      <c r="E74" s="145"/>
      <c r="F74" s="145"/>
      <c r="G74" s="145"/>
      <c r="H74" s="145"/>
      <c r="I74" s="176"/>
      <c r="J74" s="129" t="str">
        <f t="shared" si="4"/>
        <v/>
      </c>
      <c r="K74" s="129" t="str">
        <f t="shared" si="5"/>
        <v/>
      </c>
      <c r="L74" s="155"/>
      <c r="M74" s="97"/>
      <c r="N74" s="97"/>
    </row>
    <row r="75" spans="1:23" s="130" customFormat="1" ht="18" customHeight="1" x14ac:dyDescent="0.3">
      <c r="A75" s="26"/>
      <c r="B75" s="144"/>
      <c r="C75" s="145"/>
      <c r="D75" s="145"/>
      <c r="E75" s="145"/>
      <c r="F75" s="145"/>
      <c r="G75" s="145"/>
      <c r="H75" s="145"/>
      <c r="I75" s="176"/>
      <c r="J75" s="129" t="str">
        <f t="shared" si="4"/>
        <v/>
      </c>
      <c r="K75" s="129" t="str">
        <f t="shared" si="5"/>
        <v/>
      </c>
      <c r="L75" s="155"/>
      <c r="M75" s="97"/>
      <c r="N75" s="97"/>
      <c r="O75" s="193"/>
      <c r="P75" s="193"/>
      <c r="Q75" s="193"/>
      <c r="R75" s="193"/>
      <c r="S75" s="193"/>
      <c r="T75" s="193"/>
      <c r="U75" s="193"/>
      <c r="V75" s="193"/>
      <c r="W75" s="193"/>
    </row>
    <row r="76" spans="1:23" s="130" customFormat="1" ht="18" customHeight="1" x14ac:dyDescent="0.3">
      <c r="A76" s="26"/>
      <c r="B76" s="144"/>
      <c r="C76" s="145"/>
      <c r="D76" s="145"/>
      <c r="E76" s="145"/>
      <c r="F76" s="145"/>
      <c r="G76" s="145"/>
      <c r="H76" s="145"/>
      <c r="I76" s="176"/>
      <c r="J76" s="129" t="str">
        <f t="shared" si="4"/>
        <v/>
      </c>
      <c r="K76" s="129" t="str">
        <f t="shared" si="5"/>
        <v/>
      </c>
      <c r="L76" s="155"/>
      <c r="M76" s="97"/>
      <c r="N76" s="97"/>
      <c r="O76" s="193"/>
      <c r="P76" s="193"/>
      <c r="Q76" s="193"/>
      <c r="R76" s="193"/>
      <c r="S76" s="193"/>
      <c r="T76" s="193"/>
      <c r="U76" s="193"/>
      <c r="V76" s="193"/>
      <c r="W76" s="193"/>
    </row>
    <row r="77" spans="1:23" s="130" customFormat="1" ht="18" customHeight="1" x14ac:dyDescent="0.3">
      <c r="A77" s="26"/>
      <c r="B77" s="144"/>
      <c r="C77" s="145"/>
      <c r="D77" s="145"/>
      <c r="E77" s="145"/>
      <c r="F77" s="145"/>
      <c r="G77" s="145"/>
      <c r="H77" s="145"/>
      <c r="I77" s="176"/>
      <c r="J77" s="129" t="str">
        <f t="shared" si="4"/>
        <v/>
      </c>
      <c r="K77" s="129" t="str">
        <f t="shared" si="5"/>
        <v/>
      </c>
      <c r="L77" s="155"/>
      <c r="M77" s="97"/>
      <c r="N77" s="97"/>
      <c r="O77" s="193"/>
      <c r="P77" s="193"/>
      <c r="Q77" s="193"/>
      <c r="R77" s="193"/>
      <c r="S77" s="193"/>
      <c r="T77" s="193"/>
      <c r="U77" s="193"/>
      <c r="V77" s="193"/>
      <c r="W77" s="193"/>
    </row>
    <row r="78" spans="1:23" s="130" customFormat="1" ht="18" customHeight="1" x14ac:dyDescent="0.3">
      <c r="A78" s="26"/>
      <c r="B78" s="144"/>
      <c r="C78" s="145"/>
      <c r="D78" s="145"/>
      <c r="E78" s="145"/>
      <c r="F78" s="145"/>
      <c r="G78" s="145"/>
      <c r="H78" s="145"/>
      <c r="I78" s="176"/>
      <c r="J78" s="129" t="str">
        <f t="shared" si="4"/>
        <v/>
      </c>
      <c r="K78" s="129" t="str">
        <f t="shared" si="5"/>
        <v/>
      </c>
      <c r="L78" s="155"/>
      <c r="M78" s="97"/>
      <c r="N78" s="97"/>
      <c r="O78" s="193"/>
      <c r="P78" s="193"/>
      <c r="Q78" s="193"/>
      <c r="R78" s="193"/>
      <c r="S78" s="193"/>
      <c r="T78" s="193"/>
      <c r="U78" s="193"/>
      <c r="V78" s="193"/>
      <c r="W78" s="193"/>
    </row>
    <row r="79" spans="1:23" s="130" customFormat="1" ht="18" customHeight="1" x14ac:dyDescent="0.3">
      <c r="A79" s="26"/>
      <c r="B79" s="144"/>
      <c r="C79" s="145"/>
      <c r="D79" s="145"/>
      <c r="E79" s="145"/>
      <c r="F79" s="145"/>
      <c r="G79" s="145"/>
      <c r="H79" s="145"/>
      <c r="I79" s="176"/>
      <c r="J79" s="129" t="str">
        <f t="shared" si="4"/>
        <v/>
      </c>
      <c r="K79" s="129" t="str">
        <f t="shared" si="5"/>
        <v/>
      </c>
      <c r="L79" s="155"/>
      <c r="M79" s="97"/>
      <c r="N79" s="97"/>
      <c r="O79" s="193"/>
      <c r="P79" s="193"/>
      <c r="Q79" s="193"/>
      <c r="R79" s="193"/>
      <c r="S79" s="193"/>
      <c r="T79" s="193"/>
      <c r="U79" s="193"/>
      <c r="V79" s="193"/>
      <c r="W79" s="193"/>
    </row>
    <row r="80" spans="1:23" s="130" customFormat="1" ht="18" customHeight="1" x14ac:dyDescent="0.3">
      <c r="A80" s="26"/>
      <c r="B80" s="144"/>
      <c r="C80" s="145"/>
      <c r="D80" s="145"/>
      <c r="E80" s="145"/>
      <c r="F80" s="145"/>
      <c r="G80" s="145"/>
      <c r="H80" s="145"/>
      <c r="I80" s="176"/>
      <c r="J80" s="129" t="str">
        <f t="shared" si="4"/>
        <v/>
      </c>
      <c r="K80" s="129" t="str">
        <f t="shared" si="5"/>
        <v/>
      </c>
      <c r="L80" s="155"/>
      <c r="M80" s="97"/>
      <c r="N80" s="97"/>
      <c r="O80" s="193"/>
      <c r="P80" s="193"/>
      <c r="Q80" s="193"/>
      <c r="R80" s="193"/>
      <c r="S80" s="193"/>
      <c r="T80" s="193"/>
      <c r="U80" s="193"/>
      <c r="V80" s="193"/>
      <c r="W80" s="193"/>
    </row>
    <row r="81" spans="1:23" s="130" customFormat="1" ht="18" customHeight="1" x14ac:dyDescent="0.3">
      <c r="A81" s="26"/>
      <c r="B81" s="144"/>
      <c r="C81" s="145"/>
      <c r="D81" s="145"/>
      <c r="E81" s="145"/>
      <c r="F81" s="145"/>
      <c r="G81" s="145"/>
      <c r="H81" s="145"/>
      <c r="I81" s="176"/>
      <c r="J81" s="129" t="str">
        <f t="shared" si="4"/>
        <v/>
      </c>
      <c r="K81" s="129" t="str">
        <f t="shared" si="5"/>
        <v/>
      </c>
      <c r="L81" s="155"/>
      <c r="M81" s="97"/>
      <c r="N81" s="97"/>
      <c r="O81" s="193"/>
      <c r="P81" s="193"/>
      <c r="Q81" s="193"/>
      <c r="R81" s="193"/>
      <c r="S81" s="193"/>
      <c r="T81" s="193"/>
      <c r="U81" s="193"/>
      <c r="V81" s="193"/>
      <c r="W81" s="193"/>
    </row>
    <row r="82" spans="1:23" s="130" customFormat="1" ht="18" customHeight="1" x14ac:dyDescent="0.3">
      <c r="A82" s="26"/>
      <c r="B82" s="144"/>
      <c r="C82" s="145"/>
      <c r="D82" s="145"/>
      <c r="E82" s="145"/>
      <c r="F82" s="145"/>
      <c r="G82" s="145"/>
      <c r="H82" s="145"/>
      <c r="I82" s="176"/>
      <c r="J82" s="129" t="str">
        <f t="shared" si="4"/>
        <v/>
      </c>
      <c r="K82" s="129" t="str">
        <f t="shared" si="5"/>
        <v/>
      </c>
      <c r="L82" s="155"/>
      <c r="N82" s="97"/>
      <c r="O82" s="193"/>
      <c r="P82" s="193"/>
      <c r="Q82" s="193"/>
      <c r="R82" s="193"/>
      <c r="S82" s="193"/>
      <c r="T82" s="193"/>
      <c r="U82" s="193"/>
      <c r="V82" s="193"/>
      <c r="W82" s="193"/>
    </row>
    <row r="83" spans="1:23" s="130" customFormat="1" ht="18" customHeight="1" x14ac:dyDescent="0.3">
      <c r="A83" s="26"/>
      <c r="B83" s="144"/>
      <c r="C83" s="145"/>
      <c r="D83" s="145"/>
      <c r="E83" s="145"/>
      <c r="F83" s="145"/>
      <c r="G83" s="145"/>
      <c r="H83" s="145"/>
      <c r="I83" s="176"/>
      <c r="J83" s="129" t="str">
        <f t="shared" si="4"/>
        <v/>
      </c>
      <c r="K83" s="129" t="str">
        <f t="shared" si="5"/>
        <v/>
      </c>
      <c r="L83" s="155"/>
      <c r="N83" s="97"/>
      <c r="O83" s="193"/>
      <c r="P83" s="193"/>
      <c r="Q83" s="193"/>
      <c r="R83" s="193"/>
      <c r="S83" s="193"/>
      <c r="T83" s="193"/>
      <c r="U83" s="193"/>
      <c r="V83" s="193"/>
      <c r="W83" s="193"/>
    </row>
    <row r="84" spans="1:23" s="130" customFormat="1" ht="18" customHeight="1" x14ac:dyDescent="0.3">
      <c r="A84" s="26"/>
      <c r="B84" s="144"/>
      <c r="C84" s="145"/>
      <c r="D84" s="145"/>
      <c r="E84" s="145"/>
      <c r="F84" s="145"/>
      <c r="G84" s="145"/>
      <c r="H84" s="145"/>
      <c r="I84" s="176"/>
      <c r="J84" s="129" t="str">
        <f t="shared" si="4"/>
        <v/>
      </c>
      <c r="K84" s="129" t="str">
        <f t="shared" si="5"/>
        <v/>
      </c>
      <c r="L84" s="155"/>
      <c r="N84" s="97"/>
      <c r="O84" s="193"/>
      <c r="P84" s="193"/>
      <c r="Q84" s="193"/>
      <c r="R84" s="193"/>
      <c r="S84" s="193"/>
      <c r="T84" s="193"/>
      <c r="U84" s="193"/>
      <c r="V84" s="193"/>
      <c r="W84" s="193"/>
    </row>
    <row r="85" spans="1:23" s="130" customFormat="1" ht="18" customHeight="1" x14ac:dyDescent="0.3">
      <c r="A85" s="26"/>
      <c r="B85" s="144"/>
      <c r="C85" s="145"/>
      <c r="D85" s="145"/>
      <c r="E85" s="145"/>
      <c r="F85" s="145"/>
      <c r="G85" s="145"/>
      <c r="H85" s="145"/>
      <c r="I85" s="176"/>
      <c r="J85" s="129" t="str">
        <f t="shared" si="4"/>
        <v/>
      </c>
      <c r="K85" s="129" t="str">
        <f t="shared" si="5"/>
        <v/>
      </c>
      <c r="L85" s="155"/>
      <c r="N85" s="97"/>
      <c r="O85" s="193"/>
      <c r="P85" s="193"/>
      <c r="Q85" s="193"/>
      <c r="R85" s="193"/>
      <c r="S85" s="193"/>
      <c r="T85" s="193"/>
      <c r="U85" s="193"/>
      <c r="V85" s="193"/>
      <c r="W85" s="193"/>
    </row>
    <row r="86" spans="1:23" s="130" customFormat="1" ht="18" customHeight="1" x14ac:dyDescent="0.3">
      <c r="A86" s="26"/>
      <c r="B86" s="144"/>
      <c r="C86" s="145"/>
      <c r="D86" s="145"/>
      <c r="E86" s="145"/>
      <c r="F86" s="145"/>
      <c r="G86" s="145"/>
      <c r="H86" s="145"/>
      <c r="I86" s="176"/>
      <c r="J86" s="129" t="str">
        <f t="shared" si="4"/>
        <v/>
      </c>
      <c r="K86" s="129" t="str">
        <f t="shared" si="5"/>
        <v/>
      </c>
      <c r="L86" s="155"/>
      <c r="N86" s="97"/>
      <c r="O86" s="193"/>
      <c r="P86" s="193"/>
      <c r="Q86" s="193"/>
      <c r="R86" s="193"/>
      <c r="S86" s="193"/>
      <c r="T86" s="193"/>
      <c r="U86" s="193"/>
      <c r="V86" s="193"/>
      <c r="W86" s="193"/>
    </row>
    <row r="87" spans="1:23" s="130" customFormat="1" ht="18" customHeight="1" x14ac:dyDescent="0.3">
      <c r="A87" s="26"/>
      <c r="B87" s="144"/>
      <c r="C87" s="145"/>
      <c r="D87" s="145"/>
      <c r="E87" s="145"/>
      <c r="F87" s="145"/>
      <c r="G87" s="145"/>
      <c r="H87" s="145"/>
      <c r="I87" s="176"/>
      <c r="J87" s="129" t="str">
        <f t="shared" si="4"/>
        <v/>
      </c>
      <c r="K87" s="129" t="str">
        <f t="shared" si="5"/>
        <v/>
      </c>
      <c r="L87" s="155"/>
      <c r="N87" s="97"/>
      <c r="O87" s="193"/>
      <c r="P87" s="193"/>
      <c r="Q87" s="193"/>
      <c r="R87" s="193"/>
      <c r="S87" s="193"/>
      <c r="T87" s="193"/>
      <c r="U87" s="193"/>
      <c r="V87" s="193"/>
      <c r="W87" s="193"/>
    </row>
    <row r="88" spans="1:23" s="130" customFormat="1" ht="18" customHeight="1" x14ac:dyDescent="0.3">
      <c r="A88" s="26"/>
      <c r="B88" s="144"/>
      <c r="C88" s="145"/>
      <c r="D88" s="145"/>
      <c r="E88" s="145"/>
      <c r="F88" s="145"/>
      <c r="G88" s="145"/>
      <c r="H88" s="145"/>
      <c r="I88" s="176"/>
      <c r="J88" s="129" t="str">
        <f t="shared" si="4"/>
        <v/>
      </c>
      <c r="K88" s="129" t="str">
        <f t="shared" si="5"/>
        <v/>
      </c>
      <c r="L88" s="155"/>
      <c r="N88" s="97"/>
      <c r="O88" s="193"/>
      <c r="P88" s="193"/>
      <c r="Q88" s="193"/>
      <c r="R88" s="193"/>
      <c r="S88" s="193"/>
      <c r="T88" s="193"/>
      <c r="U88" s="193"/>
      <c r="V88" s="193"/>
      <c r="W88" s="193"/>
    </row>
    <row r="89" spans="1:23" s="130" customFormat="1" ht="18" customHeight="1" x14ac:dyDescent="0.3">
      <c r="B89" s="144"/>
      <c r="C89" s="145"/>
      <c r="D89" s="145"/>
      <c r="E89" s="145"/>
      <c r="F89" s="145"/>
      <c r="G89" s="145"/>
      <c r="H89" s="145"/>
      <c r="I89" s="176"/>
      <c r="J89" s="129" t="str">
        <f t="shared" si="4"/>
        <v/>
      </c>
      <c r="K89" s="129" t="str">
        <f t="shared" si="5"/>
        <v/>
      </c>
      <c r="L89" s="155"/>
      <c r="N89" s="97"/>
      <c r="O89" s="193"/>
      <c r="P89" s="193"/>
      <c r="Q89" s="193"/>
      <c r="R89" s="193"/>
      <c r="S89" s="193"/>
      <c r="T89" s="193"/>
      <c r="U89" s="193"/>
      <c r="V89" s="193"/>
      <c r="W89" s="193"/>
    </row>
    <row r="90" spans="1:23" s="130" customFormat="1" ht="18" customHeight="1" x14ac:dyDescent="0.3">
      <c r="B90" s="144"/>
      <c r="C90" s="145"/>
      <c r="D90" s="145"/>
      <c r="E90" s="145"/>
      <c r="F90" s="145"/>
      <c r="G90" s="145"/>
      <c r="H90" s="145"/>
      <c r="I90" s="176"/>
      <c r="J90" s="129" t="str">
        <f t="shared" si="4"/>
        <v/>
      </c>
      <c r="K90" s="129" t="str">
        <f t="shared" si="5"/>
        <v/>
      </c>
      <c r="L90" s="155"/>
      <c r="N90" s="97"/>
      <c r="O90" s="193"/>
      <c r="P90" s="193"/>
      <c r="Q90" s="193"/>
      <c r="R90" s="193"/>
      <c r="S90" s="193"/>
      <c r="T90" s="193"/>
      <c r="U90" s="193"/>
      <c r="V90" s="193"/>
      <c r="W90" s="193"/>
    </row>
    <row r="91" spans="1:23" s="130" customFormat="1" ht="18" customHeight="1" x14ac:dyDescent="0.3">
      <c r="B91" s="144"/>
      <c r="C91" s="145"/>
      <c r="D91" s="145"/>
      <c r="E91" s="145"/>
      <c r="F91" s="145"/>
      <c r="G91" s="145"/>
      <c r="H91" s="145"/>
      <c r="I91" s="176"/>
      <c r="J91" s="129" t="str">
        <f t="shared" si="4"/>
        <v/>
      </c>
      <c r="K91" s="129" t="str">
        <f t="shared" si="5"/>
        <v/>
      </c>
      <c r="L91" s="155"/>
      <c r="N91" s="97"/>
      <c r="O91" s="193"/>
      <c r="P91" s="193"/>
      <c r="Q91" s="193"/>
      <c r="R91" s="193"/>
      <c r="S91" s="193"/>
      <c r="T91" s="193"/>
      <c r="U91" s="193"/>
      <c r="V91" s="193"/>
      <c r="W91" s="193"/>
    </row>
    <row r="92" spans="1:23" s="130" customFormat="1" ht="18" customHeight="1" x14ac:dyDescent="0.3">
      <c r="B92" s="144"/>
      <c r="C92" s="145"/>
      <c r="D92" s="145"/>
      <c r="E92" s="145"/>
      <c r="F92" s="145"/>
      <c r="G92" s="145"/>
      <c r="H92" s="145"/>
      <c r="I92" s="176"/>
      <c r="J92" s="129" t="str">
        <f t="shared" si="4"/>
        <v/>
      </c>
      <c r="K92" s="129" t="str">
        <f t="shared" si="5"/>
        <v/>
      </c>
      <c r="L92" s="155"/>
      <c r="N92" s="97"/>
      <c r="O92" s="193"/>
      <c r="P92" s="193"/>
      <c r="Q92" s="193"/>
      <c r="R92" s="193"/>
      <c r="S92" s="193"/>
      <c r="T92" s="193"/>
      <c r="U92" s="193"/>
      <c r="V92" s="193"/>
      <c r="W92" s="193"/>
    </row>
    <row r="93" spans="1:23" s="130" customFormat="1" ht="18" customHeight="1" x14ac:dyDescent="0.3">
      <c r="B93" s="144"/>
      <c r="C93" s="145"/>
      <c r="D93" s="145"/>
      <c r="E93" s="145"/>
      <c r="F93" s="145"/>
      <c r="G93" s="145"/>
      <c r="H93" s="145"/>
      <c r="I93" s="176"/>
      <c r="J93" s="129" t="str">
        <f t="shared" si="4"/>
        <v/>
      </c>
      <c r="K93" s="129" t="str">
        <f t="shared" si="5"/>
        <v/>
      </c>
      <c r="L93" s="155"/>
      <c r="N93" s="97"/>
      <c r="O93" s="193"/>
      <c r="P93" s="193"/>
      <c r="Q93" s="193"/>
      <c r="R93" s="193"/>
      <c r="S93" s="193"/>
      <c r="T93" s="193"/>
      <c r="U93" s="193"/>
      <c r="V93" s="193"/>
      <c r="W93" s="193"/>
    </row>
    <row r="94" spans="1:23" s="130" customFormat="1" ht="18" customHeight="1" x14ac:dyDescent="0.3">
      <c r="B94" s="144"/>
      <c r="C94" s="145"/>
      <c r="D94" s="145"/>
      <c r="E94" s="145"/>
      <c r="F94" s="145"/>
      <c r="G94" s="145"/>
      <c r="H94" s="145"/>
      <c r="I94" s="176"/>
      <c r="J94" s="129" t="str">
        <f t="shared" si="4"/>
        <v/>
      </c>
      <c r="K94" s="129" t="str">
        <f t="shared" si="5"/>
        <v/>
      </c>
      <c r="L94" s="155"/>
      <c r="N94" s="97"/>
      <c r="O94" s="193"/>
      <c r="P94" s="193"/>
      <c r="Q94" s="193"/>
      <c r="R94" s="193"/>
      <c r="S94" s="193"/>
      <c r="T94" s="193"/>
      <c r="U94" s="193"/>
      <c r="V94" s="193"/>
      <c r="W94" s="193"/>
    </row>
    <row r="95" spans="1:23" s="130" customFormat="1" ht="18" customHeight="1" x14ac:dyDescent="0.3">
      <c r="B95" s="144"/>
      <c r="C95" s="145"/>
      <c r="D95" s="145"/>
      <c r="E95" s="145"/>
      <c r="F95" s="145"/>
      <c r="G95" s="145"/>
      <c r="H95" s="145"/>
      <c r="I95" s="176"/>
      <c r="J95" s="129" t="str">
        <f t="shared" si="4"/>
        <v/>
      </c>
      <c r="K95" s="129" t="str">
        <f t="shared" si="5"/>
        <v/>
      </c>
      <c r="L95" s="155"/>
      <c r="N95" s="97"/>
      <c r="O95" s="193"/>
      <c r="P95" s="193"/>
      <c r="Q95" s="193"/>
      <c r="R95" s="193"/>
      <c r="S95" s="193"/>
      <c r="T95" s="193"/>
      <c r="U95" s="193"/>
      <c r="V95" s="193"/>
      <c r="W95" s="193"/>
    </row>
    <row r="96" spans="1:23" s="130" customFormat="1" ht="18" customHeight="1" x14ac:dyDescent="0.3">
      <c r="B96" s="144"/>
      <c r="C96" s="145"/>
      <c r="D96" s="145"/>
      <c r="E96" s="145"/>
      <c r="F96" s="145"/>
      <c r="G96" s="145"/>
      <c r="H96" s="145"/>
      <c r="I96" s="176"/>
      <c r="J96" s="129" t="str">
        <f t="shared" si="4"/>
        <v/>
      </c>
      <c r="K96" s="129" t="str">
        <f t="shared" si="5"/>
        <v/>
      </c>
      <c r="L96" s="155"/>
      <c r="N96" s="97"/>
      <c r="O96" s="193"/>
      <c r="P96" s="193"/>
      <c r="Q96" s="193"/>
      <c r="R96" s="193"/>
      <c r="S96" s="193"/>
      <c r="T96" s="193"/>
      <c r="U96" s="193"/>
      <c r="V96" s="193"/>
      <c r="W96" s="193"/>
    </row>
    <row r="97" spans="1:23" s="130" customFormat="1" ht="18" customHeight="1" x14ac:dyDescent="0.3">
      <c r="B97" s="144"/>
      <c r="C97" s="145"/>
      <c r="D97" s="145"/>
      <c r="E97" s="145"/>
      <c r="F97" s="145"/>
      <c r="G97" s="145"/>
      <c r="H97" s="145"/>
      <c r="I97" s="176"/>
      <c r="J97" s="129" t="str">
        <f t="shared" si="4"/>
        <v/>
      </c>
      <c r="K97" s="129" t="str">
        <f t="shared" si="5"/>
        <v/>
      </c>
      <c r="L97" s="155"/>
      <c r="N97" s="97"/>
      <c r="O97" s="193"/>
      <c r="P97" s="193"/>
      <c r="Q97" s="193"/>
      <c r="R97" s="193"/>
      <c r="S97" s="193"/>
      <c r="T97" s="193"/>
      <c r="U97" s="193"/>
      <c r="V97" s="193"/>
      <c r="W97" s="193"/>
    </row>
    <row r="98" spans="1:23" s="130" customFormat="1" ht="18" customHeight="1" x14ac:dyDescent="0.3">
      <c r="B98" s="144"/>
      <c r="C98" s="145"/>
      <c r="D98" s="145"/>
      <c r="E98" s="145"/>
      <c r="F98" s="145"/>
      <c r="G98" s="145"/>
      <c r="H98" s="145"/>
      <c r="I98" s="176"/>
      <c r="J98" s="129" t="str">
        <f t="shared" si="4"/>
        <v/>
      </c>
      <c r="K98" s="129" t="str">
        <f t="shared" si="5"/>
        <v/>
      </c>
      <c r="L98" s="103"/>
      <c r="N98" s="97"/>
      <c r="O98" s="193"/>
      <c r="P98" s="193"/>
      <c r="Q98" s="193"/>
      <c r="R98" s="193"/>
      <c r="S98" s="193"/>
      <c r="T98" s="193"/>
      <c r="U98" s="193"/>
      <c r="V98" s="193"/>
      <c r="W98" s="193"/>
    </row>
    <row r="99" spans="1:23" s="130" customFormat="1" ht="18" customHeight="1" x14ac:dyDescent="0.3">
      <c r="B99" s="144"/>
      <c r="C99" s="145"/>
      <c r="D99" s="145"/>
      <c r="E99" s="145"/>
      <c r="F99" s="145"/>
      <c r="G99" s="145"/>
      <c r="H99" s="145"/>
      <c r="I99" s="176"/>
      <c r="J99" s="129" t="str">
        <f t="shared" si="4"/>
        <v/>
      </c>
      <c r="K99" s="129" t="str">
        <f t="shared" si="5"/>
        <v/>
      </c>
      <c r="L99" s="103"/>
      <c r="N99" s="97"/>
      <c r="O99" s="193"/>
      <c r="P99" s="193"/>
      <c r="Q99" s="193"/>
      <c r="R99" s="193"/>
      <c r="S99" s="193"/>
      <c r="T99" s="193"/>
      <c r="U99" s="193"/>
      <c r="V99" s="193"/>
      <c r="W99" s="193"/>
    </row>
    <row r="100" spans="1:23" s="130" customFormat="1" ht="18" customHeight="1" x14ac:dyDescent="0.3">
      <c r="B100" s="144"/>
      <c r="C100" s="145"/>
      <c r="D100" s="145"/>
      <c r="E100" s="145"/>
      <c r="F100" s="145"/>
      <c r="G100" s="145"/>
      <c r="H100" s="145"/>
      <c r="I100" s="176"/>
      <c r="J100" s="129" t="str">
        <f t="shared" si="4"/>
        <v/>
      </c>
      <c r="K100" s="129" t="str">
        <f t="shared" si="5"/>
        <v/>
      </c>
      <c r="L100" s="103"/>
      <c r="N100" s="97"/>
      <c r="O100" s="193"/>
      <c r="P100" s="193"/>
      <c r="Q100" s="193"/>
      <c r="R100" s="193"/>
      <c r="S100" s="193"/>
      <c r="T100" s="193"/>
      <c r="U100" s="193"/>
      <c r="V100" s="193"/>
      <c r="W100" s="193"/>
    </row>
    <row r="101" spans="1:23" s="130" customFormat="1" ht="18" customHeight="1" x14ac:dyDescent="0.3">
      <c r="B101" s="144"/>
      <c r="C101" s="145"/>
      <c r="D101" s="145"/>
      <c r="E101" s="145"/>
      <c r="F101" s="145"/>
      <c r="G101" s="145"/>
      <c r="H101" s="145"/>
      <c r="I101" s="176"/>
      <c r="J101" s="129" t="str">
        <f t="shared" si="4"/>
        <v/>
      </c>
      <c r="K101" s="129" t="str">
        <f t="shared" si="5"/>
        <v/>
      </c>
      <c r="L101" s="103"/>
      <c r="N101" s="97"/>
      <c r="O101" s="193"/>
      <c r="P101" s="193"/>
      <c r="Q101" s="193"/>
      <c r="R101" s="193"/>
      <c r="S101" s="193"/>
      <c r="T101" s="193"/>
      <c r="U101" s="193"/>
      <c r="V101" s="193"/>
      <c r="W101" s="193"/>
    </row>
    <row r="102" spans="1:23" s="130" customFormat="1" ht="18" customHeight="1" x14ac:dyDescent="0.3">
      <c r="B102" s="144"/>
      <c r="C102" s="145"/>
      <c r="D102" s="145"/>
      <c r="E102" s="145"/>
      <c r="F102" s="145"/>
      <c r="G102" s="145"/>
      <c r="H102" s="145"/>
      <c r="I102" s="176"/>
      <c r="J102" s="129" t="str">
        <f t="shared" si="4"/>
        <v/>
      </c>
      <c r="K102" s="129" t="str">
        <f t="shared" si="5"/>
        <v/>
      </c>
      <c r="L102" s="103"/>
      <c r="N102" s="97"/>
      <c r="O102" s="193"/>
      <c r="P102" s="193"/>
      <c r="Q102" s="193"/>
      <c r="R102" s="193"/>
      <c r="S102" s="193"/>
      <c r="T102" s="193"/>
      <c r="U102" s="193"/>
      <c r="V102" s="193"/>
      <c r="W102" s="193"/>
    </row>
    <row r="103" spans="1:23" s="130" customFormat="1" ht="18" customHeight="1" x14ac:dyDescent="0.3">
      <c r="B103" s="144"/>
      <c r="C103" s="145"/>
      <c r="D103" s="145"/>
      <c r="E103" s="145"/>
      <c r="F103" s="145"/>
      <c r="G103" s="145"/>
      <c r="H103" s="145"/>
      <c r="I103" s="176"/>
      <c r="J103" s="129" t="str">
        <f t="shared" si="4"/>
        <v/>
      </c>
      <c r="K103" s="129" t="str">
        <f t="shared" si="5"/>
        <v/>
      </c>
      <c r="L103" s="103"/>
      <c r="N103" s="97"/>
      <c r="O103" s="193"/>
      <c r="P103" s="193"/>
      <c r="Q103" s="193"/>
      <c r="R103" s="193"/>
      <c r="S103" s="193"/>
      <c r="T103" s="193"/>
      <c r="U103" s="193"/>
      <c r="V103" s="193"/>
      <c r="W103" s="193"/>
    </row>
    <row r="104" spans="1:23" s="130" customFormat="1" ht="18" customHeight="1" x14ac:dyDescent="0.3">
      <c r="B104" s="144"/>
      <c r="C104" s="145"/>
      <c r="D104" s="145"/>
      <c r="E104" s="145"/>
      <c r="F104" s="145"/>
      <c r="G104" s="145"/>
      <c r="H104" s="145"/>
      <c r="I104" s="176"/>
      <c r="J104" s="129" t="str">
        <f t="shared" si="4"/>
        <v/>
      </c>
      <c r="K104" s="129" t="str">
        <f t="shared" si="5"/>
        <v/>
      </c>
      <c r="L104" s="103"/>
      <c r="N104" s="97"/>
      <c r="O104" s="193"/>
      <c r="P104" s="193"/>
      <c r="Q104" s="193"/>
      <c r="R104" s="193"/>
      <c r="S104" s="193"/>
      <c r="T104" s="193"/>
      <c r="U104" s="193"/>
      <c r="V104" s="193"/>
      <c r="W104" s="193"/>
    </row>
    <row r="105" spans="1:23" s="111" customFormat="1" ht="18" customHeight="1" x14ac:dyDescent="0.3">
      <c r="A105" s="130"/>
      <c r="B105" s="144"/>
      <c r="C105" s="145"/>
      <c r="D105" s="145"/>
      <c r="E105" s="145"/>
      <c r="F105" s="145"/>
      <c r="G105" s="145"/>
      <c r="H105" s="145"/>
      <c r="I105" s="176"/>
      <c r="J105" s="129" t="str">
        <f t="shared" si="4"/>
        <v/>
      </c>
      <c r="K105" s="129" t="str">
        <f t="shared" si="5"/>
        <v/>
      </c>
      <c r="L105" s="103"/>
      <c r="N105" s="97"/>
      <c r="O105" s="193"/>
      <c r="P105" s="193"/>
      <c r="Q105" s="193"/>
      <c r="R105" s="193"/>
      <c r="S105" s="193"/>
      <c r="T105" s="193"/>
      <c r="U105" s="193"/>
      <c r="V105" s="193"/>
      <c r="W105" s="193"/>
    </row>
    <row r="106" spans="1:23" s="52" customFormat="1" ht="18" customHeight="1" x14ac:dyDescent="0.25">
      <c r="B106" s="54" t="s">
        <v>5</v>
      </c>
      <c r="C106" s="54" t="s">
        <v>25</v>
      </c>
      <c r="D106" s="139" t="s">
        <v>137</v>
      </c>
      <c r="E106" s="54" t="s">
        <v>27</v>
      </c>
      <c r="F106" s="54" t="s">
        <v>28</v>
      </c>
      <c r="G106" s="54" t="s">
        <v>29</v>
      </c>
      <c r="H106" s="54" t="s">
        <v>46</v>
      </c>
      <c r="I106" s="55"/>
      <c r="J106" s="181"/>
      <c r="K106" s="55"/>
      <c r="L106" s="104"/>
      <c r="M106" s="40"/>
      <c r="N106" s="40"/>
      <c r="O106" s="193"/>
      <c r="P106" s="193"/>
      <c r="Q106" s="193"/>
      <c r="R106" s="193"/>
      <c r="S106" s="193"/>
      <c r="T106" s="193"/>
      <c r="U106" s="193"/>
      <c r="V106" s="193"/>
      <c r="W106" s="193"/>
    </row>
    <row r="107" spans="1:23" s="52" customFormat="1" ht="18" customHeight="1" x14ac:dyDescent="0.3">
      <c r="B107" s="100" t="s">
        <v>1048</v>
      </c>
      <c r="C107" s="101" t="s">
        <v>78</v>
      </c>
      <c r="D107" s="101" t="s">
        <v>218</v>
      </c>
      <c r="E107" s="101" t="s">
        <v>1049</v>
      </c>
      <c r="F107" s="224"/>
      <c r="G107" s="224">
        <v>1540</v>
      </c>
      <c r="H107" s="224"/>
      <c r="I107" s="176" t="s">
        <v>178</v>
      </c>
      <c r="J107" s="182"/>
      <c r="K107" s="46"/>
      <c r="L107" s="281"/>
      <c r="M107" s="40"/>
      <c r="N107" s="111"/>
      <c r="O107" s="193" t="s">
        <v>1048</v>
      </c>
      <c r="P107" s="193" t="s">
        <v>78</v>
      </c>
      <c r="Q107" s="193" t="s">
        <v>218</v>
      </c>
      <c r="R107" s="193" t="s">
        <v>1049</v>
      </c>
      <c r="S107" s="193">
        <v>1540</v>
      </c>
      <c r="T107" s="193"/>
      <c r="U107" s="193"/>
      <c r="V107" s="193"/>
      <c r="W107" s="193"/>
    </row>
    <row r="108" spans="1:23" s="130" customFormat="1" ht="18" customHeight="1" x14ac:dyDescent="0.3">
      <c r="B108" s="144" t="s">
        <v>1050</v>
      </c>
      <c r="C108" s="145" t="s">
        <v>318</v>
      </c>
      <c r="D108" s="145" t="s">
        <v>319</v>
      </c>
      <c r="E108" s="145" t="s">
        <v>1051</v>
      </c>
      <c r="F108" s="224">
        <v>6855</v>
      </c>
      <c r="G108" s="224"/>
      <c r="H108" s="224"/>
      <c r="I108" s="176" t="s">
        <v>134</v>
      </c>
      <c r="J108" s="182"/>
      <c r="K108" s="129"/>
      <c r="L108" s="281">
        <f>+F108*750</f>
        <v>5141250</v>
      </c>
      <c r="M108" s="40"/>
      <c r="O108" s="193" t="s">
        <v>1050</v>
      </c>
      <c r="P108" s="193" t="s">
        <v>318</v>
      </c>
      <c r="Q108" s="193" t="s">
        <v>319</v>
      </c>
      <c r="R108" s="193" t="s">
        <v>1051</v>
      </c>
      <c r="S108" s="193">
        <v>-6855</v>
      </c>
      <c r="T108" s="193"/>
      <c r="U108" s="193"/>
      <c r="V108" s="193"/>
      <c r="W108" s="193"/>
    </row>
    <row r="109" spans="1:23" s="130" customFormat="1" ht="18" customHeight="1" x14ac:dyDescent="0.3">
      <c r="B109" s="144" t="s">
        <v>1052</v>
      </c>
      <c r="C109" s="145" t="s">
        <v>78</v>
      </c>
      <c r="D109" s="145" t="s">
        <v>218</v>
      </c>
      <c r="E109" s="145" t="s">
        <v>1053</v>
      </c>
      <c r="F109" s="224"/>
      <c r="G109" s="224">
        <v>4400</v>
      </c>
      <c r="H109" s="224"/>
      <c r="I109" s="176" t="s">
        <v>178</v>
      </c>
      <c r="J109" s="182"/>
      <c r="K109" s="129"/>
      <c r="L109" s="104"/>
      <c r="M109" s="40"/>
      <c r="O109" s="193" t="s">
        <v>1052</v>
      </c>
      <c r="P109" s="193" t="s">
        <v>78</v>
      </c>
      <c r="Q109" s="193" t="s">
        <v>218</v>
      </c>
      <c r="R109" s="193" t="s">
        <v>1053</v>
      </c>
      <c r="S109" s="193">
        <v>4400</v>
      </c>
      <c r="T109" s="193"/>
      <c r="U109" s="193"/>
      <c r="V109" s="193"/>
      <c r="W109" s="193"/>
    </row>
    <row r="110" spans="1:23" s="193" customFormat="1" ht="18" customHeight="1" x14ac:dyDescent="0.3">
      <c r="B110" s="144" t="s">
        <v>1054</v>
      </c>
      <c r="C110" s="145" t="s">
        <v>1055</v>
      </c>
      <c r="D110" s="145" t="s">
        <v>1056</v>
      </c>
      <c r="E110" s="145" t="s">
        <v>1057</v>
      </c>
      <c r="F110" s="224">
        <v>2500</v>
      </c>
      <c r="G110" s="224"/>
      <c r="H110" s="224"/>
      <c r="I110" s="176" t="s">
        <v>134</v>
      </c>
      <c r="J110" s="182"/>
      <c r="K110" s="129"/>
      <c r="L110" s="281" t="s">
        <v>1164</v>
      </c>
      <c r="M110" s="40"/>
      <c r="O110" s="193" t="s">
        <v>1054</v>
      </c>
      <c r="P110" s="193" t="s">
        <v>1055</v>
      </c>
      <c r="Q110" s="193" t="s">
        <v>1056</v>
      </c>
      <c r="R110" s="193" t="s">
        <v>1057</v>
      </c>
      <c r="S110" s="193">
        <v>-2500</v>
      </c>
    </row>
    <row r="111" spans="1:23" s="193" customFormat="1" ht="18" customHeight="1" x14ac:dyDescent="0.3">
      <c r="B111" s="144"/>
      <c r="C111" s="145"/>
      <c r="D111" s="145"/>
      <c r="E111" s="145"/>
      <c r="F111" s="224"/>
      <c r="G111" s="224"/>
      <c r="H111" s="224"/>
      <c r="I111" s="176"/>
      <c r="J111" s="182"/>
      <c r="K111" s="129"/>
      <c r="L111" s="104"/>
      <c r="M111" s="40"/>
    </row>
    <row r="112" spans="1:23" s="193" customFormat="1" ht="18" customHeight="1" x14ac:dyDescent="0.3">
      <c r="B112" s="144"/>
      <c r="C112" s="145"/>
      <c r="D112" s="145"/>
      <c r="E112" s="145"/>
      <c r="F112" s="224"/>
      <c r="G112" s="224"/>
      <c r="H112" s="224"/>
      <c r="I112" s="176"/>
      <c r="J112" s="182"/>
      <c r="K112" s="129"/>
      <c r="L112" s="104"/>
      <c r="M112" s="40"/>
    </row>
    <row r="113" spans="1:35" s="130" customFormat="1" ht="18" customHeight="1" x14ac:dyDescent="0.3">
      <c r="B113" s="144"/>
      <c r="C113" s="145"/>
      <c r="D113" s="145"/>
      <c r="E113" s="145"/>
      <c r="F113" s="224"/>
      <c r="G113" s="224"/>
      <c r="H113" s="224"/>
      <c r="I113" s="176"/>
      <c r="J113" s="182"/>
      <c r="K113" s="129"/>
      <c r="L113" s="104"/>
      <c r="M113" s="40"/>
      <c r="O113" s="193"/>
      <c r="P113" s="193"/>
      <c r="Q113" s="193"/>
      <c r="R113" s="193"/>
      <c r="S113" s="193"/>
      <c r="T113" s="193"/>
      <c r="U113" s="193"/>
      <c r="V113" s="193"/>
      <c r="W113" s="193"/>
    </row>
    <row r="114" spans="1:35" s="111" customFormat="1" ht="18" customHeight="1" x14ac:dyDescent="0.3">
      <c r="A114" s="130"/>
      <c r="B114" s="144"/>
      <c r="C114" s="145"/>
      <c r="D114" s="145"/>
      <c r="E114" s="145"/>
      <c r="F114" s="224"/>
      <c r="G114" s="224"/>
      <c r="H114" s="224"/>
      <c r="I114" s="176"/>
      <c r="J114" s="182"/>
      <c r="K114" s="129"/>
      <c r="L114" s="104"/>
      <c r="M114" s="40"/>
      <c r="N114" s="143"/>
      <c r="O114" s="193"/>
      <c r="P114" s="193"/>
      <c r="Q114" s="193"/>
      <c r="R114" s="193"/>
      <c r="S114" s="193"/>
      <c r="T114" s="193"/>
      <c r="U114" s="193"/>
      <c r="V114" s="193"/>
      <c r="W114" s="193"/>
    </row>
    <row r="115" spans="1:35" s="193" customFormat="1" ht="18" customHeight="1" x14ac:dyDescent="0.3">
      <c r="B115" s="144"/>
      <c r="C115" s="145"/>
      <c r="D115" s="145"/>
      <c r="E115" s="145"/>
      <c r="F115" s="145"/>
      <c r="G115" s="145"/>
      <c r="H115" s="145"/>
      <c r="I115" s="176"/>
      <c r="J115" s="182"/>
      <c r="K115" s="129"/>
      <c r="L115" s="104"/>
      <c r="M115" s="40"/>
      <c r="N115" s="143"/>
    </row>
    <row r="116" spans="1:35" s="111" customFormat="1" ht="18" customHeight="1" x14ac:dyDescent="0.3">
      <c r="A116" s="130"/>
      <c r="B116" s="144"/>
      <c r="C116" s="145"/>
      <c r="D116" s="145"/>
      <c r="E116" s="145"/>
      <c r="F116" s="145"/>
      <c r="G116" s="145"/>
      <c r="H116" s="145"/>
      <c r="I116" s="176"/>
      <c r="J116" s="182"/>
      <c r="K116" s="129"/>
      <c r="L116" s="104"/>
      <c r="M116" s="40"/>
      <c r="N116" s="143"/>
      <c r="O116" s="193"/>
      <c r="P116" s="193"/>
      <c r="Q116" s="193"/>
      <c r="R116" s="193"/>
      <c r="S116" s="193"/>
      <c r="T116" s="193"/>
      <c r="U116" s="193"/>
      <c r="V116" s="193"/>
      <c r="W116" s="193"/>
    </row>
    <row r="117" spans="1:35" s="111" customFormat="1" ht="18" customHeight="1" x14ac:dyDescent="0.3">
      <c r="A117" s="130"/>
      <c r="B117" s="144"/>
      <c r="C117" s="145"/>
      <c r="D117" s="145"/>
      <c r="E117" s="145"/>
      <c r="F117" s="145"/>
      <c r="G117" s="145"/>
      <c r="H117" s="145"/>
      <c r="I117" s="176"/>
      <c r="J117" s="182"/>
      <c r="K117" s="129"/>
      <c r="L117" s="104"/>
      <c r="M117" s="40"/>
      <c r="N117" s="143"/>
      <c r="O117" s="193"/>
      <c r="P117" s="193"/>
      <c r="Q117" s="193"/>
      <c r="R117" s="193"/>
      <c r="S117" s="193"/>
      <c r="T117" s="193"/>
      <c r="U117" s="193"/>
      <c r="V117" s="193"/>
      <c r="W117" s="193"/>
    </row>
    <row r="118" spans="1:35" s="111" customFormat="1" ht="18" customHeight="1" x14ac:dyDescent="0.25">
      <c r="B118" s="139" t="s">
        <v>118</v>
      </c>
      <c r="C118" s="139" t="s">
        <v>5</v>
      </c>
      <c r="D118" s="139" t="s">
        <v>136</v>
      </c>
      <c r="E118" s="139"/>
      <c r="F118" s="139"/>
      <c r="G118" s="139"/>
      <c r="H118" s="139"/>
      <c r="I118" s="55"/>
      <c r="J118" s="181"/>
      <c r="K118" s="55"/>
      <c r="L118" s="14"/>
      <c r="M118" s="130"/>
      <c r="N118" s="98"/>
      <c r="O118" s="193"/>
      <c r="P118" s="193"/>
      <c r="Q118" s="193"/>
      <c r="R118" s="193"/>
      <c r="S118" s="193"/>
      <c r="T118" s="193"/>
      <c r="U118" s="193"/>
      <c r="V118" s="193"/>
      <c r="W118" s="193"/>
      <c r="X118" s="98"/>
      <c r="Y118" s="98"/>
      <c r="Z118" s="98"/>
      <c r="AA118" s="98"/>
      <c r="AB118" s="98"/>
      <c r="AC118" s="98"/>
      <c r="AD118" s="98"/>
      <c r="AE118" s="98"/>
      <c r="AF118" s="98"/>
      <c r="AG118" s="98"/>
      <c r="AH118" s="98"/>
      <c r="AI118" s="98"/>
    </row>
    <row r="119" spans="1:35" s="111" customFormat="1" ht="18" customHeight="1" x14ac:dyDescent="0.3">
      <c r="B119" s="144" t="s">
        <v>1126</v>
      </c>
      <c r="C119" s="192" t="s">
        <v>624</v>
      </c>
      <c r="D119" s="145" t="s">
        <v>316</v>
      </c>
      <c r="E119" s="145"/>
      <c r="F119" s="145">
        <v>101738</v>
      </c>
      <c r="G119" s="145"/>
      <c r="H119" s="145"/>
      <c r="I119" s="176" t="s">
        <v>175</v>
      </c>
      <c r="J119" s="180"/>
      <c r="K119" s="129"/>
      <c r="L119" s="14"/>
      <c r="M119" s="130"/>
      <c r="N119" s="98"/>
      <c r="O119" s="193"/>
      <c r="P119" s="193"/>
      <c r="Q119" s="193"/>
      <c r="R119" s="193"/>
      <c r="S119" s="193"/>
      <c r="T119" s="193"/>
      <c r="U119" s="193"/>
      <c r="V119" s="193"/>
      <c r="W119" s="193"/>
      <c r="X119" s="98"/>
      <c r="Y119" s="98"/>
      <c r="Z119" s="98"/>
      <c r="AA119" s="98"/>
      <c r="AB119" s="98"/>
      <c r="AC119" s="98"/>
      <c r="AD119" s="98"/>
      <c r="AE119" s="98"/>
      <c r="AF119" s="98"/>
      <c r="AG119" s="98"/>
      <c r="AH119" s="98"/>
      <c r="AI119" s="98"/>
    </row>
    <row r="120" spans="1:35" s="130" customFormat="1" ht="18" customHeight="1" x14ac:dyDescent="0.3">
      <c r="B120" s="144" t="s">
        <v>1127</v>
      </c>
      <c r="C120" s="192" t="s">
        <v>626</v>
      </c>
      <c r="D120" s="145" t="s">
        <v>1128</v>
      </c>
      <c r="E120" s="145"/>
      <c r="F120" s="145">
        <v>15352</v>
      </c>
      <c r="G120" s="145"/>
      <c r="H120" s="145"/>
      <c r="I120" s="176" t="s">
        <v>175</v>
      </c>
      <c r="J120" s="180"/>
      <c r="K120" s="129"/>
      <c r="L120" s="14"/>
      <c r="N120" s="98"/>
      <c r="O120" s="98"/>
      <c r="P120" s="98"/>
      <c r="Q120" s="98"/>
      <c r="R120" s="98"/>
      <c r="S120" s="98"/>
      <c r="T120" s="154"/>
      <c r="U120" s="98"/>
      <c r="V120" s="98"/>
      <c r="W120" s="98"/>
      <c r="X120" s="98"/>
      <c r="Y120" s="98"/>
      <c r="Z120" s="98"/>
      <c r="AA120" s="98"/>
      <c r="AB120" s="98"/>
      <c r="AC120" s="98"/>
      <c r="AD120" s="98"/>
      <c r="AE120" s="98"/>
      <c r="AF120" s="98"/>
      <c r="AG120" s="98"/>
      <c r="AH120" s="98"/>
      <c r="AI120" s="98"/>
    </row>
    <row r="121" spans="1:35" s="130" customFormat="1" ht="18" customHeight="1" x14ac:dyDescent="0.3">
      <c r="B121" s="144" t="s">
        <v>1129</v>
      </c>
      <c r="C121" s="192" t="s">
        <v>626</v>
      </c>
      <c r="D121" s="145" t="s">
        <v>320</v>
      </c>
      <c r="E121" s="145"/>
      <c r="F121" s="145">
        <v>12000</v>
      </c>
      <c r="G121" s="145"/>
      <c r="H121" s="145"/>
      <c r="I121" s="176" t="s">
        <v>175</v>
      </c>
      <c r="J121" s="180"/>
      <c r="K121" s="129"/>
      <c r="L121" s="14"/>
      <c r="N121" s="98"/>
      <c r="O121" s="98"/>
      <c r="P121" s="98"/>
      <c r="Q121" s="98"/>
      <c r="R121" s="98"/>
      <c r="S121" s="98"/>
      <c r="T121" s="154"/>
      <c r="U121" s="98"/>
      <c r="V121" s="98"/>
      <c r="W121" s="98"/>
      <c r="X121" s="98"/>
      <c r="Y121" s="98"/>
      <c r="Z121" s="98"/>
      <c r="AA121" s="98"/>
      <c r="AB121" s="98"/>
      <c r="AC121" s="98"/>
      <c r="AD121" s="98"/>
      <c r="AE121" s="98"/>
      <c r="AF121" s="98"/>
      <c r="AG121" s="98"/>
      <c r="AH121" s="98"/>
      <c r="AI121" s="98"/>
    </row>
    <row r="122" spans="1:35" s="130" customFormat="1" ht="18" customHeight="1" x14ac:dyDescent="0.3">
      <c r="B122" s="144" t="s">
        <v>1130</v>
      </c>
      <c r="C122" s="192" t="s">
        <v>1131</v>
      </c>
      <c r="D122" s="145" t="s">
        <v>1132</v>
      </c>
      <c r="E122" s="145"/>
      <c r="F122" s="145">
        <v>18000</v>
      </c>
      <c r="G122" s="145"/>
      <c r="H122" s="145"/>
      <c r="I122" s="176" t="s">
        <v>175</v>
      </c>
      <c r="J122" s="180"/>
      <c r="K122" s="129"/>
      <c r="L122" s="14"/>
      <c r="N122" s="98"/>
      <c r="O122" s="98"/>
      <c r="P122" s="98"/>
      <c r="Q122" s="98"/>
      <c r="R122" s="98"/>
      <c r="S122" s="98"/>
      <c r="T122" s="154"/>
      <c r="U122" s="98"/>
      <c r="V122" s="98"/>
      <c r="W122" s="98"/>
      <c r="X122" s="98"/>
      <c r="Y122" s="98"/>
      <c r="Z122" s="98"/>
      <c r="AA122" s="98"/>
      <c r="AB122" s="98"/>
      <c r="AC122" s="98"/>
      <c r="AD122" s="98"/>
      <c r="AE122" s="98"/>
      <c r="AF122" s="98"/>
      <c r="AG122" s="98"/>
      <c r="AH122" s="98"/>
      <c r="AI122" s="98"/>
    </row>
    <row r="123" spans="1:35" s="130" customFormat="1" ht="18" customHeight="1" x14ac:dyDescent="0.3">
      <c r="B123" s="144" t="s">
        <v>1133</v>
      </c>
      <c r="C123" s="192" t="s">
        <v>1134</v>
      </c>
      <c r="D123" s="145" t="s">
        <v>1135</v>
      </c>
      <c r="E123" s="145"/>
      <c r="F123" s="145">
        <v>844150</v>
      </c>
      <c r="G123" s="145"/>
      <c r="H123" s="145"/>
      <c r="I123" s="176" t="s">
        <v>174</v>
      </c>
      <c r="J123" s="180"/>
      <c r="K123" s="129"/>
      <c r="L123" s="14" t="s">
        <v>1166</v>
      </c>
      <c r="N123" s="98"/>
      <c r="O123" s="98"/>
      <c r="P123" s="98"/>
      <c r="Q123" s="98"/>
      <c r="R123" s="98"/>
      <c r="S123" s="98"/>
      <c r="T123" s="154"/>
      <c r="U123" s="98"/>
      <c r="V123" s="98"/>
      <c r="W123" s="98"/>
      <c r="X123" s="98"/>
      <c r="Y123" s="98"/>
      <c r="Z123" s="98"/>
      <c r="AA123" s="98"/>
      <c r="AB123" s="98"/>
      <c r="AC123" s="98"/>
      <c r="AD123" s="98"/>
      <c r="AE123" s="98"/>
      <c r="AF123" s="98"/>
      <c r="AG123" s="98"/>
      <c r="AH123" s="98"/>
      <c r="AI123" s="98"/>
    </row>
    <row r="124" spans="1:35" s="130" customFormat="1" ht="18" customHeight="1" x14ac:dyDescent="0.3">
      <c r="B124" s="144" t="s">
        <v>1136</v>
      </c>
      <c r="C124" s="192" t="s">
        <v>622</v>
      </c>
      <c r="D124" s="145" t="s">
        <v>162</v>
      </c>
      <c r="E124" s="145"/>
      <c r="F124" s="145">
        <v>35</v>
      </c>
      <c r="G124" s="145"/>
      <c r="H124" s="145"/>
      <c r="I124" s="176" t="s">
        <v>172</v>
      </c>
      <c r="J124" s="180"/>
      <c r="K124" s="129"/>
      <c r="L124" s="14"/>
      <c r="N124" s="98"/>
      <c r="O124" s="98"/>
      <c r="P124" s="98"/>
      <c r="Q124" s="98"/>
      <c r="R124" s="98"/>
      <c r="S124" s="98"/>
      <c r="T124" s="154"/>
      <c r="U124" s="98"/>
      <c r="V124" s="98"/>
      <c r="W124" s="98"/>
      <c r="X124" s="98"/>
      <c r="Y124" s="98"/>
      <c r="Z124" s="98"/>
      <c r="AA124" s="98"/>
      <c r="AB124" s="98"/>
      <c r="AC124" s="98"/>
      <c r="AD124" s="98"/>
      <c r="AE124" s="98"/>
      <c r="AF124" s="98"/>
      <c r="AG124" s="98"/>
      <c r="AH124" s="98"/>
      <c r="AI124" s="98"/>
    </row>
    <row r="125" spans="1:35" s="130" customFormat="1" ht="18" customHeight="1" x14ac:dyDescent="0.3">
      <c r="B125" s="144" t="s">
        <v>1136</v>
      </c>
      <c r="C125" s="192" t="s">
        <v>622</v>
      </c>
      <c r="D125" s="145" t="s">
        <v>162</v>
      </c>
      <c r="E125" s="145"/>
      <c r="F125" s="145">
        <v>1033</v>
      </c>
      <c r="G125" s="145"/>
      <c r="H125" s="145"/>
      <c r="I125" s="176" t="s">
        <v>172</v>
      </c>
      <c r="J125" s="180"/>
      <c r="K125" s="129"/>
      <c r="L125" s="53"/>
      <c r="N125" s="98"/>
      <c r="O125" s="98"/>
      <c r="P125" s="98"/>
      <c r="Q125" s="98"/>
      <c r="R125" s="98"/>
      <c r="S125" s="98"/>
      <c r="T125" s="154"/>
      <c r="U125" s="98"/>
      <c r="V125" s="98"/>
      <c r="W125" s="98"/>
      <c r="X125" s="98"/>
      <c r="Y125" s="98"/>
      <c r="Z125" s="98"/>
      <c r="AA125" s="98"/>
      <c r="AB125" s="98"/>
      <c r="AC125" s="98"/>
      <c r="AD125" s="98"/>
      <c r="AE125" s="98"/>
      <c r="AF125" s="98"/>
      <c r="AG125" s="98"/>
      <c r="AH125" s="98"/>
      <c r="AI125" s="98"/>
    </row>
    <row r="126" spans="1:35" s="130" customFormat="1" ht="18" customHeight="1" x14ac:dyDescent="0.3">
      <c r="B126" s="144" t="s">
        <v>1137</v>
      </c>
      <c r="C126" s="192" t="s">
        <v>623</v>
      </c>
      <c r="D126" s="145" t="s">
        <v>321</v>
      </c>
      <c r="E126" s="145"/>
      <c r="F126" s="145">
        <v>-1645</v>
      </c>
      <c r="G126" s="145"/>
      <c r="H126" s="145"/>
      <c r="I126" s="176" t="s">
        <v>172</v>
      </c>
      <c r="J126" s="180"/>
      <c r="K126" s="129"/>
      <c r="L126" s="53"/>
      <c r="M126" s="97"/>
      <c r="N126" s="98"/>
      <c r="O126" s="98"/>
      <c r="P126" s="98"/>
      <c r="Q126" s="98"/>
      <c r="R126" s="98"/>
      <c r="S126" s="98"/>
      <c r="T126" s="154"/>
      <c r="U126" s="98"/>
      <c r="V126" s="98"/>
      <c r="W126" s="98"/>
      <c r="X126" s="98"/>
      <c r="Y126" s="98"/>
      <c r="Z126" s="98"/>
      <c r="AA126" s="98"/>
      <c r="AB126" s="98"/>
      <c r="AC126" s="98"/>
      <c r="AD126" s="98"/>
      <c r="AE126" s="98"/>
      <c r="AF126" s="98"/>
      <c r="AG126" s="98"/>
      <c r="AH126" s="98"/>
      <c r="AI126" s="98"/>
    </row>
    <row r="127" spans="1:35" s="130" customFormat="1" ht="18" customHeight="1" x14ac:dyDescent="0.3">
      <c r="B127" s="144" t="s">
        <v>1137</v>
      </c>
      <c r="C127" s="192" t="s">
        <v>623</v>
      </c>
      <c r="D127" s="145" t="s">
        <v>1138</v>
      </c>
      <c r="E127" s="145"/>
      <c r="F127" s="145">
        <v>-2607</v>
      </c>
      <c r="G127" s="145"/>
      <c r="H127" s="145"/>
      <c r="I127" s="176" t="s">
        <v>172</v>
      </c>
      <c r="J127" s="180"/>
      <c r="K127" s="129"/>
      <c r="L127" s="14"/>
      <c r="N127" s="98"/>
      <c r="O127" s="98"/>
      <c r="P127" s="98"/>
      <c r="Q127" s="98"/>
      <c r="R127" s="98"/>
      <c r="S127" s="98"/>
      <c r="T127" s="154"/>
      <c r="U127" s="98"/>
      <c r="V127" s="98"/>
      <c r="W127" s="98"/>
      <c r="X127" s="98"/>
      <c r="Y127" s="98"/>
      <c r="Z127" s="98"/>
      <c r="AA127" s="98"/>
      <c r="AB127" s="98"/>
      <c r="AC127" s="98"/>
      <c r="AD127" s="98"/>
      <c r="AE127" s="98"/>
      <c r="AF127" s="98"/>
      <c r="AG127" s="98"/>
      <c r="AH127" s="98"/>
      <c r="AI127" s="98"/>
    </row>
    <row r="128" spans="1:35" s="130" customFormat="1" ht="18" customHeight="1" x14ac:dyDescent="0.3">
      <c r="B128" s="144" t="s">
        <v>1137</v>
      </c>
      <c r="C128" s="192" t="s">
        <v>623</v>
      </c>
      <c r="D128" s="145" t="s">
        <v>643</v>
      </c>
      <c r="E128" s="145"/>
      <c r="F128" s="145">
        <v>-1203</v>
      </c>
      <c r="G128" s="145"/>
      <c r="H128" s="145"/>
      <c r="I128" s="176" t="s">
        <v>172</v>
      </c>
      <c r="J128" s="180"/>
      <c r="K128" s="129"/>
      <c r="L128" s="14"/>
      <c r="N128" s="98"/>
      <c r="O128" s="98"/>
      <c r="P128" s="98"/>
      <c r="Q128" s="98"/>
      <c r="R128" s="98"/>
      <c r="S128" s="98"/>
      <c r="T128" s="154"/>
      <c r="U128" s="98"/>
      <c r="V128" s="98"/>
      <c r="W128" s="98"/>
      <c r="X128" s="98"/>
      <c r="Y128" s="98"/>
      <c r="Z128" s="98"/>
      <c r="AA128" s="98"/>
      <c r="AB128" s="98"/>
      <c r="AC128" s="98"/>
      <c r="AD128" s="98"/>
      <c r="AE128" s="98"/>
      <c r="AF128" s="98"/>
      <c r="AG128" s="98"/>
      <c r="AH128" s="98"/>
      <c r="AI128" s="98"/>
    </row>
    <row r="129" spans="2:35" s="130" customFormat="1" ht="18" customHeight="1" x14ac:dyDescent="0.3">
      <c r="B129" s="144" t="s">
        <v>1139</v>
      </c>
      <c r="C129" s="192" t="s">
        <v>624</v>
      </c>
      <c r="D129" s="145" t="s">
        <v>162</v>
      </c>
      <c r="E129" s="145"/>
      <c r="F129" s="145">
        <v>3597</v>
      </c>
      <c r="G129" s="145"/>
      <c r="H129" s="145"/>
      <c r="I129" s="176" t="s">
        <v>172</v>
      </c>
      <c r="J129" s="180"/>
      <c r="K129" s="129"/>
      <c r="L129" s="14"/>
      <c r="N129" s="98"/>
      <c r="O129" s="98"/>
      <c r="P129" s="98"/>
      <c r="Q129" s="98"/>
      <c r="R129" s="98"/>
      <c r="S129" s="98"/>
      <c r="T129" s="154"/>
      <c r="U129" s="98"/>
      <c r="V129" s="98"/>
      <c r="W129" s="98"/>
      <c r="X129" s="98"/>
      <c r="Y129" s="98"/>
      <c r="Z129" s="98"/>
      <c r="AA129" s="98"/>
      <c r="AB129" s="98"/>
      <c r="AC129" s="98"/>
      <c r="AD129" s="98"/>
      <c r="AE129" s="98"/>
      <c r="AF129" s="98"/>
      <c r="AG129" s="98"/>
      <c r="AH129" s="98"/>
      <c r="AI129" s="98"/>
    </row>
    <row r="130" spans="2:35" s="130" customFormat="1" ht="18" customHeight="1" x14ac:dyDescent="0.3">
      <c r="B130" s="144" t="s">
        <v>1140</v>
      </c>
      <c r="C130" s="192" t="s">
        <v>625</v>
      </c>
      <c r="D130" s="145" t="s">
        <v>355</v>
      </c>
      <c r="E130" s="145"/>
      <c r="F130" s="145">
        <v>215311</v>
      </c>
      <c r="G130" s="145"/>
      <c r="H130" s="145"/>
      <c r="I130" s="176"/>
      <c r="J130" s="180"/>
      <c r="K130" s="129"/>
      <c r="L130" s="14"/>
      <c r="N130" s="98"/>
      <c r="O130" s="98"/>
      <c r="P130" s="98"/>
      <c r="Q130" s="98"/>
      <c r="R130" s="98"/>
      <c r="S130" s="98"/>
      <c r="T130" s="154"/>
      <c r="U130" s="98"/>
      <c r="V130" s="98"/>
      <c r="W130" s="98"/>
      <c r="X130" s="98"/>
      <c r="Y130" s="98"/>
      <c r="Z130" s="98"/>
      <c r="AA130" s="98"/>
      <c r="AB130" s="98"/>
      <c r="AC130" s="98"/>
      <c r="AD130" s="98"/>
      <c r="AE130" s="98"/>
      <c r="AF130" s="98"/>
      <c r="AG130" s="98"/>
      <c r="AH130" s="98"/>
      <c r="AI130" s="98"/>
    </row>
    <row r="131" spans="2:35" s="130" customFormat="1" ht="18" customHeight="1" x14ac:dyDescent="0.3">
      <c r="B131" s="144" t="s">
        <v>1141</v>
      </c>
      <c r="C131" s="192" t="s">
        <v>627</v>
      </c>
      <c r="D131" s="145" t="s">
        <v>162</v>
      </c>
      <c r="E131" s="145"/>
      <c r="F131" s="145">
        <v>1593</v>
      </c>
      <c r="G131" s="145"/>
      <c r="H131" s="145"/>
      <c r="I131" s="176" t="s">
        <v>172</v>
      </c>
      <c r="J131" s="180"/>
      <c r="K131" s="129"/>
      <c r="L131" s="14"/>
      <c r="N131" s="98"/>
      <c r="O131" s="98"/>
      <c r="P131" s="98"/>
      <c r="Q131" s="98"/>
      <c r="R131" s="98"/>
      <c r="S131" s="98"/>
      <c r="T131" s="154"/>
      <c r="U131" s="98"/>
      <c r="V131" s="98"/>
      <c r="W131" s="98"/>
      <c r="X131" s="98"/>
      <c r="Y131" s="98"/>
      <c r="Z131" s="98"/>
      <c r="AA131" s="98"/>
      <c r="AB131" s="98"/>
      <c r="AC131" s="98"/>
      <c r="AD131" s="98"/>
      <c r="AE131" s="98"/>
      <c r="AF131" s="98"/>
      <c r="AG131" s="98"/>
      <c r="AH131" s="98"/>
      <c r="AI131" s="98"/>
    </row>
    <row r="132" spans="2:35" s="130" customFormat="1" ht="18" customHeight="1" x14ac:dyDescent="0.3">
      <c r="B132" s="144" t="s">
        <v>1142</v>
      </c>
      <c r="C132" s="192" t="s">
        <v>1032</v>
      </c>
      <c r="D132" s="145" t="s">
        <v>162</v>
      </c>
      <c r="E132" s="145"/>
      <c r="F132" s="145">
        <v>1061</v>
      </c>
      <c r="G132" s="145"/>
      <c r="H132" s="145"/>
      <c r="I132" s="176" t="s">
        <v>172</v>
      </c>
      <c r="J132" s="180"/>
      <c r="K132" s="129"/>
      <c r="L132" s="14"/>
      <c r="N132" s="98"/>
      <c r="O132" s="98"/>
      <c r="P132" s="98"/>
      <c r="Q132" s="98"/>
      <c r="R132" s="98"/>
      <c r="S132" s="98"/>
      <c r="T132" s="154"/>
      <c r="U132" s="98"/>
      <c r="V132" s="98"/>
      <c r="W132" s="98"/>
      <c r="X132" s="98"/>
      <c r="Y132" s="98"/>
      <c r="Z132" s="98"/>
      <c r="AA132" s="98"/>
      <c r="AB132" s="98"/>
      <c r="AC132" s="98"/>
      <c r="AD132" s="98"/>
      <c r="AE132" s="98"/>
      <c r="AF132" s="98"/>
      <c r="AG132" s="98"/>
      <c r="AH132" s="98"/>
      <c r="AI132" s="98"/>
    </row>
    <row r="133" spans="2:35" s="130" customFormat="1" ht="18" customHeight="1" x14ac:dyDescent="0.3">
      <c r="B133" s="144" t="s">
        <v>1143</v>
      </c>
      <c r="C133" s="192" t="s">
        <v>1033</v>
      </c>
      <c r="D133" s="145" t="s">
        <v>163</v>
      </c>
      <c r="E133" s="145"/>
      <c r="F133" s="145">
        <v>1677</v>
      </c>
      <c r="G133" s="145"/>
      <c r="H133" s="145"/>
      <c r="I133" s="176" t="s">
        <v>172</v>
      </c>
      <c r="J133" s="180"/>
      <c r="K133" s="129"/>
      <c r="L133" s="14"/>
      <c r="N133" s="98"/>
      <c r="O133" s="98"/>
      <c r="P133" s="98"/>
      <c r="Q133" s="98"/>
      <c r="R133" s="98"/>
      <c r="S133" s="98"/>
      <c r="T133" s="154"/>
      <c r="U133" s="98"/>
      <c r="V133" s="98"/>
      <c r="W133" s="98"/>
      <c r="X133" s="98"/>
      <c r="Y133" s="98"/>
      <c r="Z133" s="98"/>
      <c r="AA133" s="98"/>
      <c r="AB133" s="98"/>
      <c r="AC133" s="98"/>
      <c r="AD133" s="98"/>
      <c r="AE133" s="98"/>
      <c r="AF133" s="98"/>
      <c r="AG133" s="98"/>
      <c r="AH133" s="98"/>
      <c r="AI133" s="98"/>
    </row>
    <row r="134" spans="2:35" s="130" customFormat="1" ht="18" customHeight="1" x14ac:dyDescent="0.3">
      <c r="B134" s="144" t="s">
        <v>1143</v>
      </c>
      <c r="C134" s="192" t="s">
        <v>1033</v>
      </c>
      <c r="D134" s="145" t="s">
        <v>356</v>
      </c>
      <c r="E134" s="145"/>
      <c r="F134" s="145">
        <v>139</v>
      </c>
      <c r="G134" s="145"/>
      <c r="H134" s="145"/>
      <c r="I134" s="176" t="s">
        <v>172</v>
      </c>
      <c r="J134" s="180"/>
      <c r="K134" s="129"/>
      <c r="L134" s="14"/>
      <c r="N134" s="98"/>
      <c r="O134" s="98"/>
      <c r="P134" s="98"/>
      <c r="Q134" s="98"/>
      <c r="R134" s="98"/>
      <c r="S134" s="98"/>
      <c r="T134" s="154"/>
      <c r="U134" s="98"/>
      <c r="V134" s="98"/>
      <c r="W134" s="98"/>
      <c r="X134" s="98"/>
      <c r="Y134" s="98"/>
      <c r="Z134" s="98"/>
      <c r="AA134" s="98"/>
      <c r="AB134" s="98"/>
      <c r="AC134" s="98"/>
      <c r="AD134" s="98"/>
      <c r="AE134" s="98"/>
      <c r="AF134" s="98"/>
      <c r="AG134" s="98"/>
      <c r="AH134" s="98"/>
      <c r="AI134" s="98"/>
    </row>
    <row r="135" spans="2:35" s="130" customFormat="1" ht="18" customHeight="1" x14ac:dyDescent="0.3">
      <c r="B135" s="144" t="s">
        <v>1143</v>
      </c>
      <c r="C135" s="192" t="s">
        <v>1033</v>
      </c>
      <c r="D135" s="145" t="s">
        <v>162</v>
      </c>
      <c r="E135" s="145"/>
      <c r="F135" s="145">
        <v>36</v>
      </c>
      <c r="G135" s="145"/>
      <c r="H135" s="145"/>
      <c r="I135" s="176" t="s">
        <v>172</v>
      </c>
      <c r="J135" s="180"/>
      <c r="K135" s="129"/>
      <c r="L135" s="14"/>
      <c r="N135" s="98"/>
      <c r="O135" s="98"/>
      <c r="P135" s="98"/>
      <c r="Q135" s="98"/>
      <c r="R135" s="98"/>
      <c r="S135" s="98"/>
      <c r="T135" s="154"/>
      <c r="U135" s="98"/>
      <c r="V135" s="98"/>
      <c r="W135" s="98"/>
      <c r="X135" s="98"/>
      <c r="Y135" s="98"/>
      <c r="Z135" s="98"/>
      <c r="AA135" s="98"/>
      <c r="AB135" s="98"/>
      <c r="AC135" s="98"/>
      <c r="AD135" s="98"/>
      <c r="AE135" s="98"/>
      <c r="AF135" s="98"/>
      <c r="AG135" s="98"/>
      <c r="AH135" s="98"/>
      <c r="AI135" s="98"/>
    </row>
    <row r="136" spans="2:35" s="130" customFormat="1" ht="18" customHeight="1" x14ac:dyDescent="0.3">
      <c r="B136" s="144" t="s">
        <v>1143</v>
      </c>
      <c r="C136" s="192" t="s">
        <v>1033</v>
      </c>
      <c r="D136" s="145" t="s">
        <v>357</v>
      </c>
      <c r="E136" s="145"/>
      <c r="F136" s="145">
        <v>5286</v>
      </c>
      <c r="G136" s="145"/>
      <c r="H136" s="145"/>
      <c r="I136" s="176" t="s">
        <v>172</v>
      </c>
      <c r="J136" s="180"/>
      <c r="K136" s="129"/>
      <c r="L136" s="14"/>
      <c r="N136" s="98"/>
      <c r="O136" s="98"/>
      <c r="P136" s="98"/>
      <c r="Q136" s="98"/>
      <c r="R136" s="98"/>
      <c r="S136" s="98"/>
      <c r="T136" s="154"/>
      <c r="U136" s="98"/>
      <c r="V136" s="98"/>
      <c r="W136" s="98"/>
      <c r="X136" s="98"/>
      <c r="Y136" s="98"/>
      <c r="Z136" s="98"/>
      <c r="AA136" s="98"/>
      <c r="AB136" s="98"/>
      <c r="AC136" s="98"/>
      <c r="AD136" s="98"/>
      <c r="AE136" s="98"/>
      <c r="AF136" s="98"/>
      <c r="AG136" s="98"/>
      <c r="AH136" s="98"/>
      <c r="AI136" s="98"/>
    </row>
    <row r="137" spans="2:35" s="130" customFormat="1" ht="18" customHeight="1" x14ac:dyDescent="0.3">
      <c r="B137" s="144"/>
      <c r="C137" s="192"/>
      <c r="D137" s="145"/>
      <c r="E137" s="145"/>
      <c r="F137" s="145"/>
      <c r="G137" s="145"/>
      <c r="H137" s="145"/>
      <c r="I137" s="176"/>
      <c r="J137" s="180"/>
      <c r="K137" s="129"/>
      <c r="L137" s="14"/>
      <c r="N137" s="98"/>
      <c r="O137" s="98"/>
      <c r="P137" s="98"/>
      <c r="Q137" s="98"/>
      <c r="R137" s="98"/>
      <c r="S137" s="98"/>
      <c r="T137" s="154"/>
      <c r="U137" s="98"/>
      <c r="V137" s="98"/>
      <c r="W137" s="98"/>
      <c r="X137" s="98"/>
      <c r="Y137" s="98"/>
      <c r="Z137" s="98"/>
      <c r="AA137" s="98"/>
      <c r="AB137" s="98"/>
      <c r="AC137" s="98"/>
      <c r="AD137" s="98"/>
      <c r="AE137" s="98"/>
      <c r="AF137" s="98"/>
      <c r="AG137" s="98"/>
      <c r="AH137" s="98"/>
      <c r="AI137" s="98"/>
    </row>
    <row r="138" spans="2:35" s="130" customFormat="1" ht="18" customHeight="1" x14ac:dyDescent="0.3">
      <c r="B138" s="156"/>
      <c r="C138" s="192"/>
      <c r="D138" s="157"/>
      <c r="E138" s="157"/>
      <c r="F138" s="158"/>
      <c r="G138" s="158"/>
      <c r="H138" s="157"/>
      <c r="I138" s="176"/>
      <c r="J138" s="180"/>
      <c r="K138" s="129"/>
      <c r="L138" s="14"/>
      <c r="N138" s="98"/>
      <c r="O138" s="98"/>
      <c r="P138" s="98"/>
      <c r="Q138" s="98"/>
      <c r="R138" s="98"/>
      <c r="S138" s="98"/>
      <c r="T138" s="154"/>
      <c r="U138" s="98"/>
      <c r="V138" s="98"/>
      <c r="W138" s="98"/>
      <c r="X138" s="98"/>
      <c r="Y138" s="98"/>
      <c r="Z138" s="98"/>
      <c r="AA138" s="98"/>
      <c r="AB138" s="98"/>
      <c r="AC138" s="98"/>
      <c r="AD138" s="98"/>
      <c r="AE138" s="98"/>
      <c r="AF138" s="98"/>
      <c r="AG138" s="98"/>
      <c r="AH138" s="98"/>
      <c r="AI138" s="98"/>
    </row>
    <row r="139" spans="2:35" s="130" customFormat="1" ht="18" customHeight="1" x14ac:dyDescent="0.3">
      <c r="B139" s="156"/>
      <c r="C139" s="192"/>
      <c r="D139" s="157"/>
      <c r="E139" s="157"/>
      <c r="F139" s="158"/>
      <c r="G139" s="158"/>
      <c r="H139" s="157"/>
      <c r="I139" s="176"/>
      <c r="J139" s="180"/>
      <c r="K139" s="129"/>
      <c r="L139" s="14"/>
      <c r="N139" s="98"/>
      <c r="O139" s="98"/>
      <c r="P139" s="98"/>
      <c r="Q139" s="98"/>
      <c r="R139" s="98"/>
      <c r="S139" s="98"/>
      <c r="T139" s="154"/>
      <c r="U139" s="98"/>
      <c r="V139" s="98"/>
      <c r="W139" s="98"/>
      <c r="X139" s="98"/>
      <c r="Y139" s="98"/>
      <c r="Z139" s="98"/>
      <c r="AA139" s="98"/>
      <c r="AB139" s="98"/>
      <c r="AC139" s="98"/>
      <c r="AD139" s="98"/>
      <c r="AE139" s="98"/>
      <c r="AF139" s="98"/>
      <c r="AG139" s="98"/>
      <c r="AH139" s="98"/>
      <c r="AI139" s="98"/>
    </row>
    <row r="140" spans="2:35" s="130" customFormat="1" ht="18" customHeight="1" x14ac:dyDescent="0.3">
      <c r="B140" s="186"/>
      <c r="C140" s="191"/>
      <c r="D140" s="187"/>
      <c r="E140" s="187"/>
      <c r="F140" s="188"/>
      <c r="G140" s="188"/>
      <c r="H140" s="157"/>
      <c r="I140" s="176"/>
      <c r="J140" s="180"/>
      <c r="K140" s="129"/>
      <c r="L140" s="14"/>
      <c r="N140" s="98"/>
      <c r="O140" s="98"/>
      <c r="P140" s="98"/>
      <c r="Q140" s="98"/>
      <c r="R140" s="98"/>
      <c r="S140" s="98"/>
      <c r="T140" s="154"/>
      <c r="U140" s="98"/>
      <c r="V140" s="98"/>
      <c r="W140" s="98"/>
      <c r="X140" s="98"/>
      <c r="Y140" s="98"/>
      <c r="Z140" s="98"/>
      <c r="AA140" s="98"/>
      <c r="AB140" s="98"/>
      <c r="AC140" s="98"/>
      <c r="AD140" s="98"/>
      <c r="AE140" s="98"/>
      <c r="AF140" s="98"/>
      <c r="AG140" s="98"/>
      <c r="AH140" s="98"/>
      <c r="AI140" s="98"/>
    </row>
    <row r="141" spans="2:35" s="130" customFormat="1" ht="18" customHeight="1" x14ac:dyDescent="0.3">
      <c r="B141" s="156"/>
      <c r="C141" s="192"/>
      <c r="D141" s="157"/>
      <c r="E141" s="157"/>
      <c r="F141" s="158"/>
      <c r="G141" s="158"/>
      <c r="H141" s="157"/>
      <c r="I141" s="176"/>
      <c r="J141" s="180"/>
      <c r="K141" s="129"/>
      <c r="L141" s="14"/>
      <c r="N141" s="98"/>
      <c r="O141" s="98"/>
      <c r="P141" s="98"/>
      <c r="Q141" s="98"/>
      <c r="R141" s="98"/>
      <c r="S141" s="98"/>
      <c r="T141" s="154"/>
      <c r="U141" s="98"/>
      <c r="V141" s="98"/>
      <c r="W141" s="98"/>
      <c r="X141" s="98"/>
      <c r="Y141" s="98"/>
      <c r="Z141" s="98"/>
      <c r="AA141" s="98"/>
      <c r="AB141" s="98"/>
      <c r="AC141" s="98"/>
      <c r="AD141" s="98"/>
      <c r="AE141" s="98"/>
      <c r="AF141" s="98"/>
      <c r="AG141" s="98"/>
      <c r="AH141" s="98"/>
      <c r="AI141" s="98"/>
    </row>
    <row r="142" spans="2:35" s="130" customFormat="1" ht="18" customHeight="1" x14ac:dyDescent="0.3">
      <c r="B142" s="156"/>
      <c r="C142" s="156"/>
      <c r="D142" s="157"/>
      <c r="E142" s="157"/>
      <c r="F142" s="158"/>
      <c r="G142" s="158"/>
      <c r="H142" s="157"/>
      <c r="I142" s="176"/>
      <c r="J142" s="180"/>
      <c r="K142" s="129"/>
      <c r="L142" s="14"/>
      <c r="N142" s="98"/>
      <c r="O142" s="98"/>
      <c r="P142" s="98"/>
      <c r="Q142" s="98"/>
      <c r="R142" s="98"/>
      <c r="S142" s="98"/>
      <c r="T142" s="154"/>
      <c r="U142" s="98"/>
      <c r="V142" s="98"/>
      <c r="W142" s="98"/>
      <c r="X142" s="98"/>
      <c r="Y142" s="98"/>
      <c r="Z142" s="98"/>
      <c r="AA142" s="98"/>
      <c r="AB142" s="98"/>
      <c r="AC142" s="98"/>
      <c r="AD142" s="98"/>
      <c r="AE142" s="98"/>
      <c r="AF142" s="98"/>
      <c r="AG142" s="98"/>
      <c r="AH142" s="98"/>
      <c r="AI142" s="98"/>
    </row>
    <row r="143" spans="2:35" s="130" customFormat="1" ht="18" customHeight="1" x14ac:dyDescent="0.3">
      <c r="B143" s="156"/>
      <c r="C143" s="156"/>
      <c r="D143" s="157"/>
      <c r="E143" s="157"/>
      <c r="F143" s="157"/>
      <c r="G143" s="157"/>
      <c r="H143" s="157"/>
      <c r="I143" s="176"/>
      <c r="J143" s="180"/>
      <c r="K143" s="129"/>
      <c r="L143" s="14"/>
      <c r="M143" s="98"/>
      <c r="N143" s="98"/>
      <c r="O143" s="98"/>
      <c r="P143" s="98"/>
      <c r="Q143" s="98"/>
      <c r="R143" s="98"/>
      <c r="S143" s="98"/>
      <c r="T143" s="154"/>
      <c r="U143" s="98"/>
      <c r="V143" s="98"/>
      <c r="W143" s="98"/>
      <c r="X143" s="98"/>
      <c r="Y143" s="98"/>
      <c r="Z143" s="98"/>
      <c r="AA143" s="98"/>
      <c r="AB143" s="98"/>
      <c r="AC143" s="98"/>
      <c r="AD143" s="98"/>
      <c r="AE143" s="98"/>
      <c r="AF143" s="98"/>
      <c r="AG143" s="98"/>
      <c r="AH143" s="98"/>
      <c r="AI143" s="98"/>
    </row>
    <row r="144" spans="2:35" ht="18.75" x14ac:dyDescent="0.3">
      <c r="B144" s="144"/>
      <c r="C144" s="145"/>
      <c r="D144" s="145"/>
      <c r="E144" s="145"/>
      <c r="F144" s="145"/>
      <c r="G144" s="145"/>
      <c r="H144" s="145"/>
      <c r="I144" s="176"/>
      <c r="J144" s="182"/>
      <c r="K144" s="129"/>
      <c r="L144" s="39"/>
      <c r="M144" s="98"/>
      <c r="N144" s="98"/>
      <c r="O144" s="98"/>
      <c r="P144" s="98"/>
      <c r="Q144" s="98"/>
      <c r="R144" s="98"/>
      <c r="S144" s="18"/>
      <c r="T144" s="154"/>
      <c r="U144" s="18"/>
    </row>
    <row r="145" spans="2:24" s="111" customFormat="1" ht="15.75" thickBot="1" x14ac:dyDescent="0.3">
      <c r="B145" s="127" t="s">
        <v>118</v>
      </c>
      <c r="C145" s="127" t="s">
        <v>5</v>
      </c>
      <c r="D145" s="127" t="s">
        <v>139</v>
      </c>
      <c r="E145" s="127" t="s">
        <v>138</v>
      </c>
      <c r="F145" s="127" t="s">
        <v>100</v>
      </c>
      <c r="G145" s="127" t="s">
        <v>140</v>
      </c>
      <c r="H145" s="127"/>
      <c r="I145" s="126"/>
      <c r="J145" s="183"/>
      <c r="K145" s="126"/>
      <c r="L145" s="106"/>
      <c r="M145" s="98"/>
      <c r="N145" s="98"/>
      <c r="O145" s="98"/>
      <c r="P145" s="98"/>
      <c r="Q145" s="98"/>
      <c r="R145" s="98"/>
      <c r="T145" s="154"/>
      <c r="V145" s="40"/>
      <c r="W145" s="40"/>
    </row>
    <row r="146" spans="2:24" s="130" customFormat="1" ht="18.75" x14ac:dyDescent="0.3">
      <c r="B146" s="145" t="s">
        <v>1144</v>
      </c>
      <c r="C146" s="192">
        <v>43684</v>
      </c>
      <c r="D146" s="145" t="s">
        <v>276</v>
      </c>
      <c r="E146" s="145">
        <v>206.2</v>
      </c>
      <c r="F146" s="149">
        <f>+E146*EERR!$D$2</f>
        <v>147061.84</v>
      </c>
      <c r="G146" s="149">
        <v>206.2</v>
      </c>
      <c r="H146" s="149"/>
      <c r="I146" s="176" t="s">
        <v>171</v>
      </c>
      <c r="J146" s="179"/>
      <c r="K146" s="129"/>
      <c r="L146" s="293"/>
      <c r="M146" s="306"/>
      <c r="N146" s="307"/>
      <c r="O146" s="308"/>
      <c r="P146" s="308"/>
      <c r="Q146" s="308"/>
      <c r="R146" s="309"/>
      <c r="S146" s="310"/>
      <c r="T146" s="154"/>
      <c r="U146" s="40"/>
      <c r="V146" s="40"/>
      <c r="W146" s="40"/>
      <c r="X146" s="130">
        <v>9.1999999999999993</v>
      </c>
    </row>
    <row r="147" spans="2:24" s="130" customFormat="1" ht="19.5" thickBot="1" x14ac:dyDescent="0.35">
      <c r="B147" s="145" t="s">
        <v>1145</v>
      </c>
      <c r="C147" s="192">
        <v>43702</v>
      </c>
      <c r="D147" s="145" t="s">
        <v>1146</v>
      </c>
      <c r="E147" s="145">
        <v>7</v>
      </c>
      <c r="F147" s="149">
        <f>+E147*EERR!$D$2</f>
        <v>4992.4000000000005</v>
      </c>
      <c r="G147" s="149">
        <v>7000</v>
      </c>
      <c r="H147" s="149"/>
      <c r="I147" s="176" t="s">
        <v>171</v>
      </c>
      <c r="J147" s="184"/>
      <c r="K147" s="129"/>
      <c r="L147" s="294"/>
      <c r="M147" s="311"/>
      <c r="N147" s="312"/>
      <c r="O147" s="313"/>
      <c r="P147" s="313"/>
      <c r="Q147" s="313"/>
      <c r="R147" s="314"/>
      <c r="S147" s="315"/>
      <c r="T147" s="154"/>
      <c r="U147" s="40"/>
      <c r="V147" s="40"/>
      <c r="W147" s="40"/>
      <c r="X147" s="130">
        <v>90</v>
      </c>
    </row>
    <row r="148" spans="2:24" s="193" customFormat="1" ht="19.5" thickBot="1" x14ac:dyDescent="0.35">
      <c r="B148" s="145" t="s">
        <v>1147</v>
      </c>
      <c r="C148" s="192">
        <v>43704</v>
      </c>
      <c r="D148" s="145" t="s">
        <v>277</v>
      </c>
      <c r="E148" s="145">
        <v>90</v>
      </c>
      <c r="F148" s="149">
        <f>+E148*EERR!$D$2</f>
        <v>64188.000000000007</v>
      </c>
      <c r="G148" s="149">
        <v>90</v>
      </c>
      <c r="H148" s="149"/>
      <c r="I148" s="176" t="s">
        <v>171</v>
      </c>
      <c r="J148" s="184"/>
      <c r="K148" s="129"/>
      <c r="L148" s="295"/>
      <c r="M148" s="296"/>
      <c r="N148" s="297"/>
      <c r="O148" s="297"/>
      <c r="P148" s="297"/>
      <c r="Q148" s="298"/>
      <c r="R148" s="280"/>
      <c r="S148" s="279"/>
      <c r="T148" s="154"/>
      <c r="U148" s="40"/>
      <c r="V148" s="40"/>
      <c r="W148" s="40"/>
    </row>
    <row r="149" spans="2:24" s="193" customFormat="1" ht="19.5" thickBot="1" x14ac:dyDescent="0.35">
      <c r="B149" s="145" t="s">
        <v>1148</v>
      </c>
      <c r="C149" s="192">
        <v>43709</v>
      </c>
      <c r="D149" s="145" t="s">
        <v>1149</v>
      </c>
      <c r="E149" s="145">
        <v>60.8</v>
      </c>
      <c r="F149" s="149">
        <f>+E149*EERR!$D$2</f>
        <v>43362.559999999998</v>
      </c>
      <c r="G149" s="149">
        <v>60.8</v>
      </c>
      <c r="H149" s="149"/>
      <c r="I149" s="176" t="s">
        <v>171</v>
      </c>
      <c r="J149" s="184"/>
      <c r="K149" s="129"/>
      <c r="L149" s="106"/>
      <c r="M149" s="98"/>
      <c r="N149" s="98"/>
      <c r="O149" s="98"/>
      <c r="P149" s="98"/>
      <c r="Q149" s="98"/>
      <c r="R149" s="98"/>
      <c r="S149" s="280"/>
      <c r="T149" s="154"/>
      <c r="U149" s="40"/>
      <c r="V149" s="40"/>
      <c r="W149" s="40"/>
    </row>
    <row r="150" spans="2:24" s="111" customFormat="1" ht="18.75" x14ac:dyDescent="0.3">
      <c r="B150" s="145"/>
      <c r="C150" s="192"/>
      <c r="D150" s="145"/>
      <c r="E150" s="145"/>
      <c r="F150" s="149"/>
      <c r="G150" s="149"/>
      <c r="H150" s="149"/>
      <c r="I150" s="176"/>
      <c r="J150" s="184"/>
      <c r="K150" s="102"/>
      <c r="L150" s="106"/>
      <c r="M150" s="106"/>
      <c r="N150" s="98"/>
      <c r="O150" s="106"/>
      <c r="P150" s="98"/>
      <c r="Q150" s="98"/>
      <c r="R150" s="99"/>
      <c r="S150" s="99"/>
      <c r="T150" s="154"/>
      <c r="U150" s="40"/>
      <c r="V150" s="40"/>
      <c r="W150" s="40"/>
      <c r="X150" s="111">
        <v>50</v>
      </c>
    </row>
    <row r="151" spans="2:24" s="111" customFormat="1" ht="18.75" x14ac:dyDescent="0.3">
      <c r="B151" s="145"/>
      <c r="C151" s="192"/>
      <c r="D151" s="145"/>
      <c r="E151" s="145"/>
      <c r="F151" s="149"/>
      <c r="G151" s="149"/>
      <c r="H151" s="148"/>
      <c r="I151" s="176"/>
      <c r="J151" s="185"/>
      <c r="K151" s="102"/>
      <c r="L151" s="106"/>
      <c r="M151" s="106"/>
      <c r="N151" s="98"/>
      <c r="O151" s="106"/>
      <c r="P151" s="98"/>
      <c r="Q151" s="98"/>
      <c r="R151" s="99"/>
      <c r="S151" s="99"/>
      <c r="T151" s="154"/>
      <c r="U151" s="40"/>
      <c r="V151" s="40"/>
      <c r="W151" s="40"/>
      <c r="X151" s="111">
        <v>397.7</v>
      </c>
    </row>
    <row r="152" spans="2:24" s="111" customFormat="1" ht="18.75" x14ac:dyDescent="0.3">
      <c r="B152" s="100"/>
      <c r="C152" s="144"/>
      <c r="D152" s="101"/>
      <c r="E152" s="131"/>
      <c r="F152" s="149"/>
      <c r="G152" s="149"/>
      <c r="H152" s="148"/>
      <c r="I152" s="176"/>
      <c r="J152" s="185"/>
      <c r="K152" s="102"/>
      <c r="L152" s="106"/>
      <c r="M152" s="106"/>
      <c r="N152" s="98"/>
      <c r="O152" s="106"/>
      <c r="P152" s="98"/>
      <c r="Q152" s="98"/>
      <c r="R152" s="99"/>
      <c r="S152" s="99"/>
      <c r="T152" s="154"/>
      <c r="U152" s="40"/>
      <c r="V152" s="40"/>
      <c r="W152" s="40"/>
    </row>
    <row r="153" spans="2:24" s="111" customFormat="1" ht="18.75" x14ac:dyDescent="0.3">
      <c r="B153" s="144"/>
      <c r="C153" s="144"/>
      <c r="D153" s="145"/>
      <c r="E153" s="131"/>
      <c r="F153" s="149"/>
      <c r="G153" s="145"/>
      <c r="H153" s="148"/>
      <c r="I153" s="176"/>
      <c r="J153" s="180"/>
      <c r="K153" s="102"/>
      <c r="N153" s="98"/>
      <c r="O153" s="106"/>
      <c r="P153" s="98"/>
      <c r="Q153" s="98"/>
      <c r="R153" s="99"/>
      <c r="S153" s="99"/>
      <c r="T153" s="154"/>
      <c r="U153" s="40"/>
      <c r="V153" s="40"/>
      <c r="W153" s="40"/>
    </row>
    <row r="154" spans="2:24" s="111" customFormat="1" x14ac:dyDescent="0.2">
      <c r="B154" s="112"/>
      <c r="C154" s="113"/>
      <c r="D154" s="113"/>
      <c r="E154" s="113"/>
      <c r="F154" s="26"/>
      <c r="G154" s="106"/>
      <c r="H154" s="106"/>
      <c r="I154" s="106"/>
      <c r="J154" s="106"/>
      <c r="K154" s="106"/>
      <c r="N154" s="98"/>
      <c r="O154" s="106"/>
      <c r="P154" s="98"/>
      <c r="Q154" s="98"/>
      <c r="R154" s="99"/>
      <c r="S154" s="99"/>
      <c r="T154" s="154"/>
      <c r="U154" s="40"/>
      <c r="V154" s="40"/>
      <c r="W154" s="40"/>
    </row>
    <row r="155" spans="2:24" s="111" customFormat="1" x14ac:dyDescent="0.2">
      <c r="B155" s="112"/>
      <c r="C155" s="113"/>
      <c r="D155" s="113"/>
      <c r="E155" s="113"/>
      <c r="F155" s="26"/>
      <c r="G155" s="106"/>
      <c r="H155" s="106"/>
      <c r="I155" s="106"/>
      <c r="J155" s="106"/>
      <c r="K155" s="106"/>
      <c r="N155" s="98"/>
      <c r="O155" s="106"/>
      <c r="P155" s="98"/>
      <c r="Q155" s="98"/>
      <c r="R155" s="99"/>
      <c r="S155" s="99"/>
      <c r="T155" s="154"/>
      <c r="U155" s="40"/>
      <c r="V155" s="40"/>
      <c r="W155" s="40"/>
    </row>
    <row r="156" spans="2:24" s="111" customFormat="1" x14ac:dyDescent="0.2">
      <c r="B156" s="112"/>
      <c r="C156" s="113"/>
      <c r="D156" s="113"/>
      <c r="E156" s="113"/>
      <c r="F156" s="154">
        <f>SUBTOTAL(9,F3:F153)</f>
        <v>26210691.799999997</v>
      </c>
      <c r="G156" s="154">
        <f>SUBTOTAL(9,G3:G153)</f>
        <v>32286559</v>
      </c>
      <c r="H156" s="154"/>
      <c r="I156" s="106"/>
      <c r="J156" s="130"/>
      <c r="K156" s="106"/>
      <c r="L156" s="40"/>
      <c r="M156" s="40"/>
      <c r="N156" s="40"/>
      <c r="O156" s="40"/>
      <c r="P156" s="98"/>
      <c r="Q156" s="98"/>
      <c r="R156" s="99"/>
      <c r="S156" s="99"/>
      <c r="T156" s="154"/>
      <c r="U156" s="40"/>
      <c r="V156" s="40"/>
      <c r="W156" s="40"/>
    </row>
    <row r="157" spans="2:24" x14ac:dyDescent="0.2">
      <c r="B157" s="28"/>
      <c r="E157" s="27"/>
      <c r="F157" s="28"/>
      <c r="G157" s="41"/>
      <c r="H157" s="56"/>
      <c r="I157" s="56" t="s">
        <v>4</v>
      </c>
      <c r="J157" s="130"/>
      <c r="L157" s="40"/>
      <c r="M157" s="40"/>
      <c r="N157" s="40"/>
      <c r="O157" s="40"/>
      <c r="P157" s="98"/>
      <c r="Q157" s="98"/>
      <c r="R157" s="99"/>
      <c r="S157" s="99"/>
      <c r="T157" s="154"/>
    </row>
    <row r="158" spans="2:24" ht="18.75" x14ac:dyDescent="0.3">
      <c r="B158" s="28"/>
      <c r="E158" s="27"/>
      <c r="F158" s="28"/>
      <c r="G158" s="41"/>
      <c r="H158" s="57">
        <f t="shared" ref="H158:H174" si="6">SUMIF($I$3:$I$153,I158,$F$3:$F$153)-SUMIF($I$3:$I$153,I158,$G$3:$G$153)</f>
        <v>70653</v>
      </c>
      <c r="I158" s="176" t="s">
        <v>172</v>
      </c>
      <c r="J158" s="130"/>
      <c r="L158" s="40"/>
      <c r="M158" s="40"/>
      <c r="N158" s="40"/>
      <c r="O158" s="40"/>
      <c r="P158" s="92"/>
      <c r="T158" s="154"/>
    </row>
    <row r="159" spans="2:24" ht="18.75" x14ac:dyDescent="0.3">
      <c r="B159" s="28"/>
      <c r="E159" s="27"/>
      <c r="F159" s="28"/>
      <c r="G159" s="41"/>
      <c r="H159" s="57">
        <f t="shared" si="6"/>
        <v>4129345</v>
      </c>
      <c r="I159" s="176" t="s">
        <v>31</v>
      </c>
      <c r="J159" s="130"/>
      <c r="L159" s="40"/>
      <c r="M159" s="40"/>
      <c r="N159" s="40"/>
      <c r="O159" s="40"/>
      <c r="P159" s="143"/>
      <c r="Q159" s="98"/>
      <c r="R159" s="99"/>
      <c r="S159" s="99"/>
      <c r="T159" s="154"/>
    </row>
    <row r="160" spans="2:24" ht="18.75" x14ac:dyDescent="0.3">
      <c r="B160" s="28"/>
      <c r="E160" s="27"/>
      <c r="F160" s="28"/>
      <c r="G160" s="41"/>
      <c r="H160" s="57">
        <f t="shared" si="6"/>
        <v>489997</v>
      </c>
      <c r="I160" s="176" t="s">
        <v>101</v>
      </c>
      <c r="J160" s="130"/>
      <c r="L160" s="40"/>
      <c r="M160" s="40"/>
      <c r="N160" s="40"/>
      <c r="O160" s="40"/>
      <c r="P160" s="143"/>
      <c r="Q160" s="98"/>
      <c r="R160" s="99"/>
      <c r="S160" s="99"/>
      <c r="T160" s="154"/>
    </row>
    <row r="161" spans="2:23" ht="18.75" x14ac:dyDescent="0.3">
      <c r="B161" s="28"/>
      <c r="E161" s="27"/>
      <c r="F161" s="28"/>
      <c r="G161" s="41"/>
      <c r="H161" s="57">
        <f t="shared" si="6"/>
        <v>252247.8</v>
      </c>
      <c r="I161" s="177" t="s">
        <v>171</v>
      </c>
      <c r="J161" s="130"/>
      <c r="L161" s="40"/>
      <c r="M161" s="40"/>
      <c r="N161" s="40"/>
      <c r="O161" s="40"/>
      <c r="P161" s="143"/>
      <c r="Q161" s="98"/>
      <c r="R161" s="99"/>
      <c r="S161" s="99"/>
      <c r="T161" s="154"/>
    </row>
    <row r="162" spans="2:23" ht="18.75" x14ac:dyDescent="0.3">
      <c r="F162" s="28"/>
      <c r="G162" s="41"/>
      <c r="H162" s="57">
        <f t="shared" si="6"/>
        <v>776514</v>
      </c>
      <c r="I162" s="177" t="s">
        <v>8</v>
      </c>
      <c r="J162" s="130"/>
      <c r="L162" s="40"/>
      <c r="M162" s="40"/>
      <c r="N162" s="40"/>
      <c r="O162" s="40"/>
      <c r="P162" s="143"/>
      <c r="Q162" s="98"/>
      <c r="R162" s="99"/>
      <c r="S162" s="99"/>
      <c r="T162" s="154"/>
    </row>
    <row r="163" spans="2:23" ht="18.75" x14ac:dyDescent="0.3">
      <c r="F163" s="28"/>
      <c r="G163" s="41"/>
      <c r="H163" s="57">
        <f t="shared" si="6"/>
        <v>3790000</v>
      </c>
      <c r="I163" s="178" t="s">
        <v>173</v>
      </c>
      <c r="J163" s="130"/>
      <c r="L163" s="40"/>
      <c r="M163" s="40"/>
      <c r="N163" s="40"/>
      <c r="O163" s="40"/>
      <c r="P163" s="143"/>
      <c r="Q163" s="98"/>
      <c r="R163" s="99"/>
      <c r="S163" s="99"/>
      <c r="T163" s="154"/>
    </row>
    <row r="164" spans="2:23" ht="18.75" x14ac:dyDescent="0.3">
      <c r="F164" s="28"/>
      <c r="G164" s="41"/>
      <c r="H164" s="57">
        <f t="shared" si="6"/>
        <v>630149</v>
      </c>
      <c r="I164" s="176" t="s">
        <v>175</v>
      </c>
      <c r="J164" s="130"/>
      <c r="L164" s="40"/>
      <c r="M164" s="40"/>
      <c r="N164" s="40"/>
      <c r="O164" s="40"/>
      <c r="P164" s="18"/>
      <c r="Q164" s="18"/>
      <c r="R164" s="18"/>
      <c r="S164" s="18"/>
      <c r="T164" s="154"/>
    </row>
    <row r="165" spans="2:23" ht="18.75" x14ac:dyDescent="0.3">
      <c r="F165" s="28"/>
      <c r="G165" s="41"/>
      <c r="H165" s="57">
        <f t="shared" si="6"/>
        <v>1187970</v>
      </c>
      <c r="I165" s="176" t="s">
        <v>174</v>
      </c>
      <c r="J165" s="130"/>
      <c r="L165" s="40"/>
      <c r="M165" s="40"/>
      <c r="N165" s="40"/>
      <c r="O165" s="40"/>
      <c r="P165" s="18"/>
      <c r="Q165" s="18"/>
      <c r="R165" s="18"/>
      <c r="S165" s="18"/>
      <c r="T165" s="154"/>
    </row>
    <row r="166" spans="2:23" ht="18.75" x14ac:dyDescent="0.3">
      <c r="F166" s="28"/>
      <c r="G166" s="41"/>
      <c r="H166" s="57">
        <f t="shared" si="6"/>
        <v>0</v>
      </c>
      <c r="I166" s="178" t="s">
        <v>24</v>
      </c>
      <c r="J166" s="130"/>
      <c r="L166" s="40"/>
      <c r="M166" s="40"/>
      <c r="N166" s="40"/>
      <c r="O166" s="40"/>
      <c r="P166" s="18"/>
      <c r="Q166" s="18"/>
      <c r="R166" s="18"/>
      <c r="S166" s="18"/>
      <c r="T166" s="154"/>
    </row>
    <row r="167" spans="2:23" ht="18.75" x14ac:dyDescent="0.3">
      <c r="F167" s="28"/>
      <c r="G167" s="41"/>
      <c r="H167" s="57">
        <f t="shared" si="6"/>
        <v>0</v>
      </c>
      <c r="I167" s="176" t="s">
        <v>11</v>
      </c>
      <c r="J167" s="130"/>
      <c r="L167" s="40"/>
      <c r="M167" s="40"/>
      <c r="N167" s="40"/>
      <c r="O167" s="40"/>
      <c r="P167" s="48"/>
      <c r="Q167" s="18"/>
      <c r="R167" s="18"/>
      <c r="S167" s="18"/>
      <c r="T167" s="154"/>
    </row>
    <row r="168" spans="2:23" ht="18.75" x14ac:dyDescent="0.3">
      <c r="F168" s="28"/>
      <c r="G168" s="41"/>
      <c r="H168" s="57">
        <f t="shared" si="6"/>
        <v>4349426</v>
      </c>
      <c r="I168" s="176" t="s">
        <v>19</v>
      </c>
      <c r="J168" s="130"/>
      <c r="L168" s="40"/>
      <c r="M168" s="40"/>
      <c r="N168" s="40"/>
      <c r="O168" s="40"/>
      <c r="P168" s="18"/>
      <c r="Q168" s="18"/>
      <c r="R168" s="18"/>
      <c r="S168" s="18"/>
      <c r="T168" s="154"/>
    </row>
    <row r="169" spans="2:23" ht="18.75" x14ac:dyDescent="0.3">
      <c r="F169" s="28"/>
      <c r="G169" s="41"/>
      <c r="H169" s="57">
        <f t="shared" si="6"/>
        <v>1719776</v>
      </c>
      <c r="I169" s="177" t="s">
        <v>176</v>
      </c>
      <c r="J169" s="130"/>
      <c r="L169" s="40"/>
      <c r="M169" s="40"/>
      <c r="N169" s="40"/>
      <c r="O169" s="40"/>
      <c r="P169" s="18"/>
      <c r="Q169" s="18"/>
      <c r="R169" s="18"/>
      <c r="S169" s="18"/>
      <c r="T169" s="154"/>
    </row>
    <row r="170" spans="2:23" ht="18.75" x14ac:dyDescent="0.3">
      <c r="F170" s="28"/>
      <c r="G170" s="41"/>
      <c r="H170" s="57">
        <f t="shared" si="6"/>
        <v>7084840</v>
      </c>
      <c r="I170" s="176" t="s">
        <v>30</v>
      </c>
      <c r="J170" s="130"/>
      <c r="L170" s="40"/>
      <c r="M170" s="40"/>
      <c r="N170" s="40"/>
      <c r="O170" s="40"/>
      <c r="P170" s="18"/>
      <c r="Q170" s="18"/>
      <c r="R170" s="18"/>
      <c r="S170" s="18"/>
      <c r="T170" s="154"/>
    </row>
    <row r="171" spans="2:23" ht="18.75" x14ac:dyDescent="0.3">
      <c r="F171" s="28"/>
      <c r="G171" s="41"/>
      <c r="H171" s="57">
        <f t="shared" si="6"/>
        <v>9355</v>
      </c>
      <c r="I171" s="177" t="s">
        <v>134</v>
      </c>
      <c r="J171" s="130"/>
      <c r="L171" s="40"/>
      <c r="M171" s="40"/>
      <c r="N171" s="40"/>
      <c r="O171" s="40"/>
      <c r="P171" s="48"/>
      <c r="Q171" s="18"/>
      <c r="R171" s="18"/>
      <c r="S171" s="18"/>
      <c r="T171" s="154"/>
    </row>
    <row r="172" spans="2:23" ht="18.75" x14ac:dyDescent="0.3">
      <c r="F172" s="28"/>
      <c r="G172" s="41"/>
      <c r="H172" s="57">
        <f t="shared" si="6"/>
        <v>-31661769</v>
      </c>
      <c r="I172" s="176" t="s">
        <v>135</v>
      </c>
      <c r="J172" s="193"/>
      <c r="L172" s="40"/>
      <c r="M172" s="40"/>
      <c r="N172" s="40"/>
      <c r="O172" s="40"/>
    </row>
    <row r="173" spans="2:23" ht="18.75" x14ac:dyDescent="0.3">
      <c r="F173" s="28"/>
      <c r="G173" s="41"/>
      <c r="H173" s="57">
        <f t="shared" si="6"/>
        <v>-611493</v>
      </c>
      <c r="I173" s="176" t="s">
        <v>177</v>
      </c>
      <c r="J173" s="130"/>
      <c r="L173" s="40"/>
      <c r="M173" s="40"/>
      <c r="N173" s="40"/>
      <c r="O173" s="40"/>
    </row>
    <row r="174" spans="2:23" ht="18.75" x14ac:dyDescent="0.3">
      <c r="F174" s="28"/>
      <c r="G174" s="41"/>
      <c r="H174" s="57">
        <f t="shared" si="6"/>
        <v>-5940</v>
      </c>
      <c r="I174" s="176" t="s">
        <v>178</v>
      </c>
      <c r="J174" s="130"/>
      <c r="L174" s="40"/>
      <c r="M174" s="40"/>
      <c r="N174" s="40"/>
      <c r="O174" s="40"/>
      <c r="P174" s="91"/>
    </row>
    <row r="175" spans="2:23" s="52" customFormat="1" x14ac:dyDescent="0.2">
      <c r="G175" s="42"/>
      <c r="H175" s="58">
        <f>SUM(H158:H173)</f>
        <v>-7782989.1999999993</v>
      </c>
      <c r="I175" s="56" t="s">
        <v>22</v>
      </c>
      <c r="J175" s="130"/>
      <c r="L175" s="40"/>
      <c r="M175" s="40"/>
      <c r="N175" s="40"/>
      <c r="O175" s="40"/>
      <c r="P175" s="40"/>
      <c r="Q175" s="40"/>
      <c r="R175" s="40"/>
      <c r="S175" s="92"/>
      <c r="T175" s="92"/>
      <c r="U175" s="40"/>
      <c r="V175" s="40"/>
      <c r="W175" s="40"/>
    </row>
    <row r="176" spans="2:23" x14ac:dyDescent="0.2">
      <c r="B176" s="48"/>
      <c r="F176" s="70"/>
      <c r="G176" s="70"/>
      <c r="H176" s="70"/>
      <c r="J176" s="130"/>
      <c r="L176" s="40"/>
      <c r="M176" s="40"/>
      <c r="N176" s="40"/>
      <c r="O176" s="40"/>
    </row>
    <row r="177" spans="1:16" x14ac:dyDescent="0.2">
      <c r="B177" s="48"/>
      <c r="F177" s="70"/>
      <c r="G177" s="70"/>
      <c r="H177" s="70"/>
    </row>
    <row r="178" spans="1:16" x14ac:dyDescent="0.2">
      <c r="B178" s="48"/>
      <c r="F178" s="70"/>
      <c r="G178" s="70"/>
      <c r="H178" s="70"/>
      <c r="P178" s="91"/>
    </row>
    <row r="179" spans="1:16" x14ac:dyDescent="0.2">
      <c r="B179" s="48"/>
      <c r="F179" s="70"/>
      <c r="G179" s="70"/>
      <c r="H179" s="70"/>
    </row>
    <row r="180" spans="1:16" x14ac:dyDescent="0.2">
      <c r="B180" s="48"/>
      <c r="F180" s="70"/>
      <c r="G180" s="70"/>
      <c r="H180" s="70"/>
      <c r="O180" s="107"/>
    </row>
    <row r="181" spans="1:16" x14ac:dyDescent="0.2">
      <c r="B181" s="130"/>
      <c r="C181" s="130"/>
      <c r="D181" s="130"/>
      <c r="E181" s="130"/>
      <c r="F181" s="130"/>
      <c r="G181" s="130"/>
      <c r="H181" s="130"/>
    </row>
    <row r="182" spans="1:16" x14ac:dyDescent="0.2">
      <c r="B182" s="130"/>
      <c r="C182" s="130"/>
      <c r="D182" s="130"/>
      <c r="E182" s="130"/>
      <c r="F182" s="130"/>
      <c r="G182" s="130"/>
      <c r="H182" s="130"/>
      <c r="I182" s="91"/>
      <c r="J182" s="91"/>
      <c r="K182" s="91"/>
      <c r="L182" s="91"/>
      <c r="M182" s="91"/>
      <c r="P182" s="91"/>
    </row>
    <row r="183" spans="1:16" x14ac:dyDescent="0.2">
      <c r="A183" s="130"/>
      <c r="B183" s="130"/>
      <c r="C183" s="130"/>
      <c r="D183" s="130"/>
      <c r="E183" s="130"/>
      <c r="F183" s="130"/>
      <c r="G183" s="130"/>
      <c r="H183" s="130"/>
      <c r="I183" s="130"/>
      <c r="J183" s="130"/>
      <c r="K183" s="130"/>
      <c r="L183" s="130"/>
      <c r="M183" s="130"/>
    </row>
    <row r="184" spans="1:16" x14ac:dyDescent="0.2">
      <c r="A184" s="130"/>
      <c r="B184" s="130"/>
      <c r="C184" s="130"/>
      <c r="D184" s="130"/>
      <c r="E184" s="130"/>
      <c r="F184" s="130"/>
      <c r="G184" s="130"/>
      <c r="H184" s="130"/>
      <c r="I184" s="130"/>
      <c r="J184" s="130"/>
      <c r="K184" s="130"/>
      <c r="L184" s="130"/>
      <c r="M184" s="130"/>
      <c r="O184" s="107"/>
    </row>
    <row r="185" spans="1:16" x14ac:dyDescent="0.2">
      <c r="A185" s="130"/>
      <c r="B185" s="130"/>
      <c r="C185" s="130"/>
      <c r="D185" s="130"/>
      <c r="E185" s="130"/>
      <c r="F185" s="130"/>
      <c r="G185" s="130"/>
      <c r="H185" s="130"/>
      <c r="I185" s="130"/>
      <c r="J185" s="130"/>
      <c r="K185" s="130"/>
      <c r="L185" s="130"/>
      <c r="M185" s="130"/>
    </row>
    <row r="186" spans="1:16" x14ac:dyDescent="0.2">
      <c r="A186" s="130"/>
      <c r="B186" s="130"/>
      <c r="C186" s="130"/>
      <c r="D186" s="130"/>
      <c r="E186" s="130"/>
      <c r="F186" s="130"/>
      <c r="G186" s="130"/>
      <c r="H186" s="130"/>
      <c r="I186" s="130"/>
      <c r="J186" s="130"/>
      <c r="K186" s="130"/>
      <c r="L186" s="130"/>
      <c r="M186" s="130"/>
      <c r="P186" s="91"/>
    </row>
    <row r="187" spans="1:16" x14ac:dyDescent="0.2">
      <c r="A187" s="130"/>
      <c r="B187" s="130"/>
      <c r="C187" s="130"/>
      <c r="D187" s="130"/>
      <c r="E187" s="130"/>
      <c r="F187" s="130"/>
      <c r="G187" s="130"/>
      <c r="H187" s="130"/>
      <c r="I187" s="130"/>
      <c r="J187" s="130"/>
      <c r="K187" s="130"/>
      <c r="L187" s="130"/>
      <c r="M187" s="130"/>
    </row>
    <row r="188" spans="1:16" x14ac:dyDescent="0.2">
      <c r="A188" s="130"/>
      <c r="B188" s="130"/>
      <c r="C188" s="130"/>
      <c r="D188" s="130"/>
      <c r="E188" s="130"/>
      <c r="F188" s="130"/>
      <c r="G188" s="130"/>
      <c r="H188" s="130"/>
      <c r="I188" s="130"/>
      <c r="J188" s="130"/>
      <c r="K188" s="130"/>
      <c r="L188" s="130"/>
      <c r="M188" s="130"/>
      <c r="O188" s="107"/>
    </row>
    <row r="189" spans="1:16" x14ac:dyDescent="0.2">
      <c r="A189" s="130"/>
      <c r="B189" s="130"/>
      <c r="C189" s="130"/>
      <c r="D189" s="130"/>
      <c r="E189" s="130"/>
      <c r="F189" s="130"/>
      <c r="G189" s="130"/>
      <c r="H189" s="130"/>
      <c r="I189" s="130"/>
      <c r="J189" s="130"/>
      <c r="K189" s="130"/>
      <c r="L189" s="130"/>
      <c r="M189" s="130"/>
    </row>
    <row r="190" spans="1:16" x14ac:dyDescent="0.2">
      <c r="A190" s="130"/>
      <c r="B190" s="130"/>
      <c r="C190" s="130"/>
      <c r="D190" s="130"/>
      <c r="E190" s="130"/>
      <c r="F190" s="130"/>
      <c r="G190" s="130"/>
      <c r="H190" s="130"/>
      <c r="I190" s="130"/>
      <c r="J190" s="130"/>
      <c r="K190" s="130"/>
      <c r="L190" s="130"/>
      <c r="M190" s="130"/>
      <c r="P190" s="91"/>
    </row>
    <row r="191" spans="1:16" x14ac:dyDescent="0.2">
      <c r="A191" s="130"/>
      <c r="B191" s="130"/>
      <c r="C191" s="130"/>
      <c r="D191" s="130"/>
      <c r="E191" s="130"/>
      <c r="F191" s="130"/>
      <c r="G191" s="130"/>
      <c r="H191" s="130"/>
      <c r="I191" s="130"/>
      <c r="J191" s="130"/>
      <c r="K191" s="130"/>
      <c r="L191" s="130"/>
      <c r="M191" s="130"/>
    </row>
    <row r="192" spans="1:16" x14ac:dyDescent="0.2">
      <c r="A192" s="130"/>
      <c r="B192" s="130"/>
      <c r="C192" s="130"/>
      <c r="D192" s="130"/>
      <c r="E192" s="130"/>
      <c r="F192" s="130"/>
      <c r="G192" s="130"/>
      <c r="H192" s="130"/>
      <c r="I192" s="130"/>
      <c r="J192" s="130"/>
      <c r="K192" s="130"/>
      <c r="L192" s="130"/>
      <c r="M192" s="130"/>
      <c r="O192" s="107"/>
    </row>
    <row r="193" spans="1:16" x14ac:dyDescent="0.2">
      <c r="A193" s="130"/>
      <c r="B193" s="130"/>
      <c r="C193" s="130"/>
      <c r="D193" s="130"/>
      <c r="E193" s="130"/>
      <c r="F193" s="130"/>
      <c r="G193" s="130"/>
      <c r="H193" s="130"/>
      <c r="I193" s="130"/>
      <c r="J193" s="130"/>
      <c r="K193" s="130"/>
      <c r="L193" s="130"/>
      <c r="M193" s="130"/>
    </row>
    <row r="194" spans="1:16" x14ac:dyDescent="0.2">
      <c r="I194" s="91"/>
      <c r="J194" s="91"/>
      <c r="K194" s="91"/>
      <c r="L194" s="91"/>
      <c r="M194" s="91"/>
      <c r="P194" s="91"/>
    </row>
    <row r="196" spans="1:16" x14ac:dyDescent="0.2">
      <c r="O196" s="107"/>
    </row>
    <row r="198" spans="1:16" x14ac:dyDescent="0.2">
      <c r="P198" s="91"/>
    </row>
    <row r="200" spans="1:16" x14ac:dyDescent="0.2">
      <c r="O200" s="107"/>
    </row>
    <row r="202" spans="1:16" x14ac:dyDescent="0.2">
      <c r="P202" s="91"/>
    </row>
    <row r="204" spans="1:16" x14ac:dyDescent="0.2">
      <c r="O204" s="107"/>
    </row>
    <row r="207" spans="1:16" x14ac:dyDescent="0.2">
      <c r="O207" s="107"/>
    </row>
  </sheetData>
  <autoFilter ref="B2:K154"/>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promptTitle="Clases de Costos">
          <x14:formula1>
            <xm:f>'1'!$A$2:$A$18</xm:f>
          </x14:formula1>
          <xm:sqref>I80:I105 I146:I153 I119:I144</xm:sqref>
        </x14:dataValidation>
        <x14:dataValidation type="list" allowBlank="1" showInputMessage="1" showErrorMessage="1" promptTitle="Clases de Costos">
          <x14:formula1>
            <xm:f>'1'!$A$2:$A$20</xm:f>
          </x14:formula1>
          <xm:sqref>I107:I117 I3:I79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filterMode="1"/>
  <dimension ref="A1:Q85"/>
  <sheetViews>
    <sheetView workbookViewId="0">
      <selection activeCell="D75" sqref="D75"/>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3" t="s">
        <v>62</v>
      </c>
      <c r="B1" s="64" t="s">
        <v>63</v>
      </c>
      <c r="C1" s="64" t="s">
        <v>64</v>
      </c>
      <c r="D1" s="65" t="s">
        <v>65</v>
      </c>
      <c r="E1" s="64" t="s">
        <v>66</v>
      </c>
      <c r="F1" s="64" t="s">
        <v>74</v>
      </c>
      <c r="G1" s="66" t="s">
        <v>37</v>
      </c>
      <c r="H1" s="67">
        <f>F2</f>
        <v>62230841</v>
      </c>
      <c r="J1" t="s">
        <v>38</v>
      </c>
    </row>
    <row r="2" spans="1:17" ht="18.75" hidden="1" x14ac:dyDescent="0.3">
      <c r="A2" s="60">
        <v>43678</v>
      </c>
      <c r="B2" s="61" t="s">
        <v>194</v>
      </c>
      <c r="C2" s="207">
        <v>0</v>
      </c>
      <c r="D2" s="62">
        <v>0</v>
      </c>
      <c r="E2" s="62">
        <v>5845</v>
      </c>
      <c r="F2" s="208">
        <v>62230841</v>
      </c>
      <c r="G2" s="176" t="s">
        <v>135</v>
      </c>
      <c r="J2" s="2" t="s">
        <v>5</v>
      </c>
      <c r="K2" s="2" t="s">
        <v>104</v>
      </c>
      <c r="L2" s="2" t="s">
        <v>105</v>
      </c>
      <c r="M2" s="2" t="s">
        <v>106</v>
      </c>
      <c r="N2" s="2" t="s">
        <v>107</v>
      </c>
      <c r="O2" s="2" t="s">
        <v>108</v>
      </c>
      <c r="P2" s="2" t="s">
        <v>109</v>
      </c>
    </row>
    <row r="3" spans="1:17" ht="18.75" hidden="1" x14ac:dyDescent="0.3">
      <c r="A3" s="60">
        <v>43678</v>
      </c>
      <c r="B3" s="61" t="s">
        <v>197</v>
      </c>
      <c r="C3" s="207">
        <v>90460177</v>
      </c>
      <c r="D3" s="62">
        <v>5000000</v>
      </c>
      <c r="E3" s="62">
        <v>0</v>
      </c>
      <c r="F3" s="208">
        <v>57230841</v>
      </c>
      <c r="G3" s="176" t="s">
        <v>134</v>
      </c>
      <c r="J3" s="119"/>
      <c r="K3" s="117"/>
      <c r="L3" s="117"/>
      <c r="M3" s="117"/>
      <c r="N3" s="117"/>
      <c r="O3" s="117"/>
      <c r="P3" s="118"/>
    </row>
    <row r="4" spans="1:17" ht="18.75" hidden="1" x14ac:dyDescent="0.3">
      <c r="A4" s="60">
        <v>43683</v>
      </c>
      <c r="B4" s="61" t="s">
        <v>194</v>
      </c>
      <c r="C4" s="207">
        <v>0</v>
      </c>
      <c r="D4" s="62">
        <v>0</v>
      </c>
      <c r="E4" s="62">
        <v>161832</v>
      </c>
      <c r="F4" s="208">
        <v>57392673</v>
      </c>
      <c r="G4" s="176" t="s">
        <v>135</v>
      </c>
      <c r="J4" s="119"/>
      <c r="K4" s="117"/>
      <c r="L4" s="117"/>
      <c r="M4" s="117"/>
      <c r="N4" s="117"/>
      <c r="O4" s="117"/>
      <c r="P4" s="118"/>
    </row>
    <row r="5" spans="1:17" ht="18.75" hidden="1" x14ac:dyDescent="0.3">
      <c r="A5" s="60">
        <v>43683</v>
      </c>
      <c r="B5" s="61" t="s">
        <v>644</v>
      </c>
      <c r="C5" s="207">
        <v>0</v>
      </c>
      <c r="D5" s="62">
        <v>0</v>
      </c>
      <c r="E5" s="62">
        <v>6876</v>
      </c>
      <c r="F5" s="208">
        <v>57399549</v>
      </c>
      <c r="G5" s="176" t="s">
        <v>135</v>
      </c>
      <c r="J5" s="119"/>
      <c r="K5" s="117"/>
      <c r="L5" s="117"/>
      <c r="M5" s="117"/>
      <c r="N5" s="117"/>
      <c r="O5" s="117"/>
      <c r="P5" s="118"/>
    </row>
    <row r="6" spans="1:17" ht="18.75" hidden="1" x14ac:dyDescent="0.3">
      <c r="A6" s="60">
        <v>43684</v>
      </c>
      <c r="B6" s="61" t="s">
        <v>194</v>
      </c>
      <c r="C6" s="207">
        <v>0</v>
      </c>
      <c r="D6" s="62">
        <v>0</v>
      </c>
      <c r="E6" s="62">
        <v>552551</v>
      </c>
      <c r="F6" s="208">
        <v>57952100</v>
      </c>
      <c r="G6" s="176" t="s">
        <v>135</v>
      </c>
      <c r="J6" s="119"/>
      <c r="K6" s="117"/>
      <c r="L6" s="117"/>
      <c r="M6" s="117"/>
      <c r="N6" s="117"/>
      <c r="O6" s="117"/>
      <c r="P6" s="118"/>
    </row>
    <row r="7" spans="1:17" ht="18.75" hidden="1" x14ac:dyDescent="0.3">
      <c r="A7" s="60">
        <v>43684</v>
      </c>
      <c r="B7" s="61" t="s">
        <v>195</v>
      </c>
      <c r="C7" s="207">
        <v>0</v>
      </c>
      <c r="D7" s="62">
        <v>1761</v>
      </c>
      <c r="E7" s="62">
        <v>0</v>
      </c>
      <c r="F7" s="208">
        <v>57950339</v>
      </c>
      <c r="G7" s="176" t="s">
        <v>172</v>
      </c>
      <c r="J7" s="119"/>
      <c r="K7" s="117"/>
      <c r="L7" s="117"/>
      <c r="M7" s="117"/>
      <c r="N7" s="117"/>
      <c r="O7" s="117"/>
      <c r="P7" s="118"/>
      <c r="Q7" s="122"/>
    </row>
    <row r="8" spans="1:17" ht="18.75" hidden="1" x14ac:dyDescent="0.3">
      <c r="A8" s="60">
        <v>43684</v>
      </c>
      <c r="B8" s="61" t="s">
        <v>196</v>
      </c>
      <c r="C8" s="207">
        <v>0</v>
      </c>
      <c r="D8" s="62">
        <v>335</v>
      </c>
      <c r="E8" s="62">
        <v>0</v>
      </c>
      <c r="F8" s="208">
        <v>57950004</v>
      </c>
      <c r="G8" s="176" t="s">
        <v>172</v>
      </c>
      <c r="J8" s="119"/>
      <c r="K8" s="117"/>
      <c r="L8" s="117"/>
      <c r="M8" s="117"/>
      <c r="N8" s="117"/>
      <c r="O8" s="117"/>
      <c r="P8" s="118"/>
    </row>
    <row r="9" spans="1:17" ht="18.75" hidden="1" x14ac:dyDescent="0.3">
      <c r="A9" s="60">
        <v>43689</v>
      </c>
      <c r="B9" s="61" t="s">
        <v>236</v>
      </c>
      <c r="C9" s="207">
        <v>526257</v>
      </c>
      <c r="D9" s="62">
        <v>906768</v>
      </c>
      <c r="E9" s="62">
        <v>0</v>
      </c>
      <c r="F9" s="208">
        <v>57043236</v>
      </c>
      <c r="G9" s="176" t="s">
        <v>19</v>
      </c>
      <c r="J9" s="119"/>
      <c r="K9" s="117"/>
      <c r="L9" s="117"/>
      <c r="M9" s="117"/>
      <c r="N9" s="117"/>
      <c r="O9" s="117"/>
      <c r="P9" s="118"/>
      <c r="Q9" s="122"/>
    </row>
    <row r="10" spans="1:17" ht="18.75" hidden="1" x14ac:dyDescent="0.3">
      <c r="A10" s="60">
        <v>43690</v>
      </c>
      <c r="B10" s="61" t="s">
        <v>154</v>
      </c>
      <c r="C10" s="207">
        <v>92006005</v>
      </c>
      <c r="D10" s="62">
        <v>1654272</v>
      </c>
      <c r="E10" s="62">
        <v>0</v>
      </c>
      <c r="F10" s="208">
        <v>55388964</v>
      </c>
      <c r="G10" s="176" t="s">
        <v>30</v>
      </c>
      <c r="J10" s="119"/>
      <c r="K10" s="117"/>
      <c r="L10" s="117"/>
      <c r="M10" s="117"/>
      <c r="N10" s="117"/>
      <c r="O10" s="117"/>
      <c r="P10" s="118"/>
    </row>
    <row r="11" spans="1:17" ht="18.75" hidden="1" x14ac:dyDescent="0.3">
      <c r="A11" s="77">
        <v>43690</v>
      </c>
      <c r="B11" s="78" t="s">
        <v>1150</v>
      </c>
      <c r="C11" s="329">
        <v>0</v>
      </c>
      <c r="D11" s="79">
        <v>0</v>
      </c>
      <c r="E11" s="79">
        <v>20404</v>
      </c>
      <c r="F11" s="330">
        <v>55409368</v>
      </c>
      <c r="G11" s="176" t="s">
        <v>172</v>
      </c>
      <c r="J11" s="119"/>
      <c r="K11" s="117"/>
      <c r="L11" s="117"/>
      <c r="M11" s="117"/>
      <c r="N11" s="117"/>
      <c r="O11" s="117"/>
      <c r="P11" s="118"/>
    </row>
    <row r="12" spans="1:17" ht="18.75" hidden="1" x14ac:dyDescent="0.3">
      <c r="A12" s="77">
        <v>43690</v>
      </c>
      <c r="B12" s="78" t="s">
        <v>1151</v>
      </c>
      <c r="C12" s="329">
        <v>0</v>
      </c>
      <c r="D12" s="79">
        <v>0</v>
      </c>
      <c r="E12" s="79">
        <v>20404</v>
      </c>
      <c r="F12" s="330">
        <v>55429772</v>
      </c>
      <c r="G12" s="176" t="s">
        <v>172</v>
      </c>
      <c r="H12" s="194"/>
      <c r="J12" s="119"/>
      <c r="K12" s="117"/>
      <c r="L12" s="117"/>
      <c r="M12" s="117"/>
      <c r="N12" s="117"/>
      <c r="O12" s="117"/>
      <c r="P12" s="118"/>
    </row>
    <row r="13" spans="1:17" ht="18.75" hidden="1" x14ac:dyDescent="0.3">
      <c r="A13" s="77">
        <v>43690</v>
      </c>
      <c r="B13" s="78" t="s">
        <v>1152</v>
      </c>
      <c r="C13" s="329">
        <v>0</v>
      </c>
      <c r="D13" s="79">
        <v>20404</v>
      </c>
      <c r="E13" s="79">
        <v>0</v>
      </c>
      <c r="F13" s="330">
        <v>55409368</v>
      </c>
      <c r="G13" s="176" t="s">
        <v>172</v>
      </c>
      <c r="H13" s="194"/>
      <c r="J13" s="119"/>
      <c r="K13" s="117"/>
      <c r="L13" s="117"/>
      <c r="M13" s="117"/>
      <c r="N13" s="117"/>
      <c r="O13" s="117"/>
      <c r="P13" s="118"/>
    </row>
    <row r="14" spans="1:17" ht="18.75" hidden="1" x14ac:dyDescent="0.3">
      <c r="A14" s="60">
        <v>43691</v>
      </c>
      <c r="B14" s="61" t="s">
        <v>194</v>
      </c>
      <c r="C14" s="207">
        <v>0</v>
      </c>
      <c r="D14" s="62">
        <v>0</v>
      </c>
      <c r="E14" s="62">
        <v>557584</v>
      </c>
      <c r="F14" s="208">
        <v>55966952</v>
      </c>
      <c r="G14" s="176" t="s">
        <v>135</v>
      </c>
      <c r="H14" s="128"/>
      <c r="J14" s="119"/>
      <c r="K14" s="117"/>
      <c r="L14" s="117"/>
      <c r="M14" s="117"/>
      <c r="N14" s="117"/>
      <c r="O14" s="117"/>
      <c r="P14" s="118"/>
    </row>
    <row r="15" spans="1:17" ht="18.75" x14ac:dyDescent="0.3">
      <c r="A15" s="60">
        <v>43696</v>
      </c>
      <c r="B15" s="61" t="s">
        <v>208</v>
      </c>
      <c r="C15" s="207">
        <v>92299577</v>
      </c>
      <c r="D15" s="62">
        <v>1801131</v>
      </c>
      <c r="E15" s="62">
        <v>0</v>
      </c>
      <c r="F15" s="208">
        <v>54165821</v>
      </c>
      <c r="G15" s="176" t="s">
        <v>24</v>
      </c>
      <c r="H15" s="150"/>
      <c r="J15" s="119"/>
      <c r="K15" s="117"/>
      <c r="L15" s="117"/>
      <c r="M15" s="117"/>
      <c r="N15" s="117"/>
      <c r="O15" s="117"/>
      <c r="P15" s="118"/>
    </row>
    <row r="16" spans="1:17" ht="18.75" hidden="1" x14ac:dyDescent="0.3">
      <c r="A16" s="60">
        <v>43696</v>
      </c>
      <c r="B16" s="61" t="s">
        <v>197</v>
      </c>
      <c r="C16" s="207">
        <v>92335992</v>
      </c>
      <c r="D16" s="62">
        <v>5000000</v>
      </c>
      <c r="E16" s="62">
        <v>0</v>
      </c>
      <c r="F16" s="208">
        <v>49165821</v>
      </c>
      <c r="G16" s="176" t="s">
        <v>134</v>
      </c>
      <c r="I16" s="194"/>
      <c r="J16" s="119"/>
      <c r="K16" s="117"/>
      <c r="L16" s="117"/>
      <c r="M16" s="117"/>
      <c r="N16" s="117"/>
      <c r="O16" s="117"/>
      <c r="P16" s="118"/>
    </row>
    <row r="17" spans="1:16" ht="18.75" hidden="1" x14ac:dyDescent="0.3">
      <c r="A17" s="60">
        <v>43696</v>
      </c>
      <c r="B17" s="61" t="s">
        <v>197</v>
      </c>
      <c r="C17" s="207">
        <v>92336012</v>
      </c>
      <c r="D17" s="62">
        <v>5000000</v>
      </c>
      <c r="E17" s="62">
        <v>0</v>
      </c>
      <c r="F17" s="208">
        <v>44165821</v>
      </c>
      <c r="G17" s="176" t="s">
        <v>134</v>
      </c>
      <c r="H17" s="194"/>
      <c r="J17" s="119"/>
      <c r="K17" s="117"/>
      <c r="L17" s="117"/>
      <c r="M17" s="117"/>
      <c r="N17" s="117"/>
      <c r="O17" s="117"/>
      <c r="P17" s="118"/>
    </row>
    <row r="18" spans="1:16" ht="18.75" hidden="1" x14ac:dyDescent="0.3">
      <c r="A18" s="60">
        <v>43697</v>
      </c>
      <c r="B18" s="61" t="s">
        <v>194</v>
      </c>
      <c r="C18" s="207">
        <v>0</v>
      </c>
      <c r="D18" s="62">
        <v>0</v>
      </c>
      <c r="E18" s="62">
        <v>292289</v>
      </c>
      <c r="F18" s="208">
        <v>44458110</v>
      </c>
      <c r="G18" s="176" t="s">
        <v>135</v>
      </c>
      <c r="H18" s="150"/>
      <c r="J18" s="119"/>
      <c r="K18" s="117"/>
      <c r="L18" s="117"/>
      <c r="M18" s="117"/>
      <c r="N18" s="117"/>
      <c r="O18" s="117"/>
      <c r="P18" s="118"/>
    </row>
    <row r="19" spans="1:16" ht="18.75" hidden="1" x14ac:dyDescent="0.3">
      <c r="A19" s="60">
        <v>43697</v>
      </c>
      <c r="B19" s="61" t="s">
        <v>644</v>
      </c>
      <c r="C19" s="207">
        <v>0</v>
      </c>
      <c r="D19" s="62">
        <v>0</v>
      </c>
      <c r="E19" s="62">
        <v>5894</v>
      </c>
      <c r="F19" s="208">
        <v>44464004</v>
      </c>
      <c r="G19" s="176" t="s">
        <v>135</v>
      </c>
      <c r="H19" s="194"/>
      <c r="J19" s="119"/>
      <c r="K19" s="117"/>
      <c r="L19" s="117"/>
      <c r="M19" s="117"/>
      <c r="N19" s="117"/>
      <c r="O19" s="117"/>
      <c r="P19" s="118"/>
    </row>
    <row r="20" spans="1:16" ht="18.75" hidden="1" x14ac:dyDescent="0.3">
      <c r="A20" s="60">
        <v>43698</v>
      </c>
      <c r="B20" s="61" t="s">
        <v>194</v>
      </c>
      <c r="C20" s="207">
        <v>0</v>
      </c>
      <c r="D20" s="62">
        <v>0</v>
      </c>
      <c r="E20" s="62">
        <v>1662726</v>
      </c>
      <c r="F20" s="208">
        <v>46126730</v>
      </c>
      <c r="G20" s="176" t="s">
        <v>135</v>
      </c>
      <c r="H20" s="253"/>
      <c r="J20" s="119"/>
      <c r="K20" s="117"/>
      <c r="L20" s="117"/>
      <c r="M20" s="117"/>
      <c r="N20" s="117"/>
      <c r="O20" s="117"/>
      <c r="P20" s="118"/>
    </row>
    <row r="21" spans="1:16" ht="18.75" hidden="1" x14ac:dyDescent="0.3">
      <c r="A21" s="60">
        <v>43699</v>
      </c>
      <c r="B21" s="61" t="s">
        <v>194</v>
      </c>
      <c r="C21" s="207">
        <v>0</v>
      </c>
      <c r="D21" s="62">
        <v>0</v>
      </c>
      <c r="E21" s="62">
        <v>198121</v>
      </c>
      <c r="F21" s="208">
        <v>46324851</v>
      </c>
      <c r="G21" s="176" t="s">
        <v>135</v>
      </c>
      <c r="H21" s="253"/>
      <c r="J21" s="119"/>
      <c r="K21" s="117"/>
      <c r="L21" s="117"/>
      <c r="M21" s="117"/>
      <c r="N21" s="117"/>
      <c r="O21" s="117"/>
      <c r="P21" s="118"/>
    </row>
    <row r="22" spans="1:16" ht="18.75" hidden="1" x14ac:dyDescent="0.3">
      <c r="A22" s="60">
        <v>43700</v>
      </c>
      <c r="B22" s="61" t="s">
        <v>194</v>
      </c>
      <c r="C22" s="207">
        <v>0</v>
      </c>
      <c r="D22" s="62">
        <v>0</v>
      </c>
      <c r="E22" s="62">
        <v>144470</v>
      </c>
      <c r="F22" s="208">
        <v>46469321</v>
      </c>
      <c r="G22" s="176" t="s">
        <v>135</v>
      </c>
    </row>
    <row r="23" spans="1:16" ht="18.75" hidden="1" x14ac:dyDescent="0.3">
      <c r="A23" s="60">
        <v>43703</v>
      </c>
      <c r="B23" s="61" t="s">
        <v>194</v>
      </c>
      <c r="C23" s="207">
        <v>0</v>
      </c>
      <c r="D23" s="62">
        <v>0</v>
      </c>
      <c r="E23" s="62">
        <v>162991</v>
      </c>
      <c r="F23" s="208">
        <v>46632312</v>
      </c>
      <c r="G23" s="176" t="s">
        <v>135</v>
      </c>
      <c r="H23" s="150"/>
    </row>
    <row r="24" spans="1:16" ht="18.75" hidden="1" x14ac:dyDescent="0.3">
      <c r="A24" s="60">
        <v>43704</v>
      </c>
      <c r="B24" s="61" t="s">
        <v>194</v>
      </c>
      <c r="C24" s="207">
        <v>0</v>
      </c>
      <c r="D24" s="62">
        <v>0</v>
      </c>
      <c r="E24" s="62">
        <v>160973</v>
      </c>
      <c r="F24" s="208">
        <v>46793285</v>
      </c>
      <c r="G24" s="176" t="s">
        <v>135</v>
      </c>
      <c r="H24" s="194"/>
    </row>
    <row r="25" spans="1:16" ht="18.75" hidden="1" x14ac:dyDescent="0.3">
      <c r="A25" s="60">
        <v>43704</v>
      </c>
      <c r="B25" s="61" t="s">
        <v>1153</v>
      </c>
      <c r="C25" s="207">
        <v>93219247</v>
      </c>
      <c r="D25" s="62">
        <v>0</v>
      </c>
      <c r="E25" s="62">
        <v>18720000</v>
      </c>
      <c r="F25" s="208">
        <v>65513285</v>
      </c>
      <c r="G25" s="176" t="s">
        <v>135</v>
      </c>
      <c r="H25" s="194"/>
    </row>
    <row r="26" spans="1:16" ht="18.75" hidden="1" x14ac:dyDescent="0.3">
      <c r="A26" s="60">
        <v>43705</v>
      </c>
      <c r="B26" s="61" t="s">
        <v>194</v>
      </c>
      <c r="C26" s="207">
        <v>0</v>
      </c>
      <c r="D26" s="62">
        <v>0</v>
      </c>
      <c r="E26" s="62">
        <v>716191</v>
      </c>
      <c r="F26" s="208">
        <v>66229476</v>
      </c>
      <c r="G26" s="176" t="s">
        <v>135</v>
      </c>
      <c r="H26" s="194"/>
    </row>
    <row r="27" spans="1:16" ht="18.75" hidden="1" x14ac:dyDescent="0.3">
      <c r="A27" s="60">
        <v>43707</v>
      </c>
      <c r="B27" s="61" t="s">
        <v>197</v>
      </c>
      <c r="C27" s="207">
        <v>93608841</v>
      </c>
      <c r="D27" s="62">
        <v>5000000</v>
      </c>
      <c r="E27" s="62">
        <v>0</v>
      </c>
      <c r="F27" s="208">
        <v>61229476</v>
      </c>
      <c r="G27" s="176" t="s">
        <v>134</v>
      </c>
      <c r="H27" s="194"/>
    </row>
    <row r="28" spans="1:16" ht="18.75" hidden="1" x14ac:dyDescent="0.3">
      <c r="A28" s="60">
        <v>43707</v>
      </c>
      <c r="B28" s="61" t="s">
        <v>197</v>
      </c>
      <c r="C28" s="207">
        <v>93608967</v>
      </c>
      <c r="D28" s="62">
        <v>5000000</v>
      </c>
      <c r="E28" s="62">
        <v>0</v>
      </c>
      <c r="F28" s="208">
        <v>56229476</v>
      </c>
      <c r="G28" s="176" t="s">
        <v>134</v>
      </c>
      <c r="H28" s="194"/>
    </row>
    <row r="29" spans="1:16" s="150" customFormat="1" ht="18.75" hidden="1" x14ac:dyDescent="0.3">
      <c r="A29" s="60"/>
      <c r="B29" s="61"/>
      <c r="C29" s="61"/>
      <c r="D29" s="62"/>
      <c r="E29" s="62"/>
      <c r="F29" s="135"/>
      <c r="G29" s="176"/>
      <c r="H29" s="190"/>
    </row>
    <row r="30" spans="1:16" s="150" customFormat="1" ht="18.75" hidden="1" x14ac:dyDescent="0.3">
      <c r="A30" s="60"/>
      <c r="B30" s="61"/>
      <c r="C30" s="61"/>
      <c r="D30" s="62"/>
      <c r="E30" s="62"/>
      <c r="F30" s="135"/>
      <c r="G30" s="176"/>
    </row>
    <row r="31" spans="1:16" s="150" customFormat="1" ht="18.75" hidden="1" x14ac:dyDescent="0.3">
      <c r="A31" s="60"/>
      <c r="B31" s="61"/>
      <c r="C31" s="61"/>
      <c r="D31" s="62"/>
      <c r="E31" s="62"/>
      <c r="F31" s="135"/>
      <c r="G31" s="176"/>
    </row>
    <row r="32" spans="1:16" s="150" customFormat="1" ht="18.75" hidden="1" x14ac:dyDescent="0.3">
      <c r="A32" s="60"/>
      <c r="B32" s="61"/>
      <c r="C32" s="61"/>
      <c r="D32" s="62"/>
      <c r="E32" s="62"/>
      <c r="F32" s="135"/>
      <c r="G32" s="176"/>
    </row>
    <row r="33" spans="1:8" s="150" customFormat="1" ht="18.75" hidden="1" x14ac:dyDescent="0.3">
      <c r="A33" s="60"/>
      <c r="B33" s="61"/>
      <c r="C33" s="61"/>
      <c r="D33" s="62"/>
      <c r="E33" s="62"/>
      <c r="F33" s="135"/>
      <c r="G33" s="176"/>
    </row>
    <row r="34" spans="1:8" s="150" customFormat="1" ht="18.75" hidden="1" x14ac:dyDescent="0.3">
      <c r="A34" s="60"/>
      <c r="B34" s="61"/>
      <c r="C34" s="61"/>
      <c r="D34" s="62"/>
      <c r="E34" s="62"/>
      <c r="F34" s="135"/>
      <c r="G34" s="176"/>
    </row>
    <row r="35" spans="1:8" s="150" customFormat="1" ht="18.75" hidden="1" x14ac:dyDescent="0.3">
      <c r="A35" s="60"/>
      <c r="B35" s="61"/>
      <c r="C35" s="61"/>
      <c r="D35" s="62"/>
      <c r="E35" s="62"/>
      <c r="F35" s="135"/>
      <c r="G35" s="176"/>
    </row>
    <row r="36" spans="1:8" s="150" customFormat="1" ht="18.75" hidden="1" x14ac:dyDescent="0.3">
      <c r="A36" s="60"/>
      <c r="B36" s="61"/>
      <c r="C36" s="61"/>
      <c r="D36" s="62"/>
      <c r="E36" s="62"/>
      <c r="F36" s="135"/>
      <c r="G36" s="176"/>
    </row>
    <row r="37" spans="1:8" s="150" customFormat="1" ht="18.75" hidden="1" x14ac:dyDescent="0.3">
      <c r="A37" s="60"/>
      <c r="B37" s="61"/>
      <c r="C37" s="61"/>
      <c r="D37" s="62"/>
      <c r="E37" s="62"/>
      <c r="F37" s="135"/>
      <c r="G37" s="176"/>
    </row>
    <row r="38" spans="1:8" s="150" customFormat="1" hidden="1" x14ac:dyDescent="0.25">
      <c r="A38" s="60"/>
      <c r="B38" s="61"/>
      <c r="C38" s="61"/>
      <c r="D38" s="62"/>
      <c r="E38" s="62"/>
      <c r="F38" s="135"/>
      <c r="G38" s="140"/>
    </row>
    <row r="39" spans="1:8" s="150" customFormat="1" hidden="1" x14ac:dyDescent="0.25">
      <c r="A39" s="60"/>
      <c r="B39" s="61"/>
      <c r="C39" s="61"/>
      <c r="D39" s="62"/>
      <c r="E39" s="62"/>
      <c r="F39" s="135"/>
      <c r="G39" s="140"/>
    </row>
    <row r="40" spans="1:8" s="150" customFormat="1" hidden="1" x14ac:dyDescent="0.25">
      <c r="A40" s="60"/>
      <c r="B40" s="61"/>
      <c r="C40" s="61"/>
      <c r="D40" s="62"/>
      <c r="E40" s="62"/>
      <c r="F40" s="135"/>
      <c r="G40" s="140"/>
    </row>
    <row r="41" spans="1:8" s="150" customFormat="1" hidden="1" x14ac:dyDescent="0.25">
      <c r="A41" s="60"/>
      <c r="B41" s="61"/>
      <c r="C41" s="61"/>
      <c r="D41" s="62"/>
      <c r="E41" s="62"/>
      <c r="F41" s="135"/>
      <c r="G41" s="140"/>
    </row>
    <row r="42" spans="1:8" s="150" customFormat="1" hidden="1" x14ac:dyDescent="0.25">
      <c r="A42" s="60"/>
      <c r="B42" s="61"/>
      <c r="C42" s="61"/>
      <c r="D42" s="62"/>
      <c r="E42" s="62"/>
      <c r="F42" s="135"/>
      <c r="G42" s="140"/>
    </row>
    <row r="43" spans="1:8" hidden="1" x14ac:dyDescent="0.25">
      <c r="A43" s="60"/>
      <c r="B43" s="61"/>
      <c r="C43" s="61"/>
      <c r="D43" s="62"/>
      <c r="E43" s="62"/>
      <c r="F43" s="57"/>
      <c r="G43" s="138"/>
    </row>
    <row r="44" spans="1:8" hidden="1" x14ac:dyDescent="0.25">
      <c r="A44" s="60"/>
      <c r="B44" s="61"/>
      <c r="C44" s="61"/>
      <c r="D44" s="62"/>
      <c r="E44" s="62"/>
      <c r="F44" s="135"/>
      <c r="G44" s="140"/>
      <c r="H44" s="109"/>
    </row>
    <row r="45" spans="1:8" s="109" customFormat="1" hidden="1" x14ac:dyDescent="0.25">
      <c r="A45" s="60"/>
      <c r="B45" s="61"/>
      <c r="C45" s="61"/>
      <c r="D45" s="62"/>
      <c r="E45" s="62"/>
      <c r="F45" s="57"/>
      <c r="G45" s="140"/>
      <c r="H45" s="150"/>
    </row>
    <row r="46" spans="1:8" s="109" customFormat="1" hidden="1" x14ac:dyDescent="0.25">
      <c r="A46" s="60"/>
      <c r="B46" s="61"/>
      <c r="C46" s="61"/>
      <c r="D46" s="62"/>
      <c r="E46" s="62"/>
      <c r="F46" s="135"/>
      <c r="G46" s="140"/>
    </row>
    <row r="47" spans="1:8" s="109" customFormat="1" hidden="1" x14ac:dyDescent="0.25">
      <c r="A47" s="60"/>
      <c r="B47" s="61"/>
      <c r="C47" s="61"/>
      <c r="D47" s="62"/>
      <c r="E47" s="62"/>
      <c r="F47" s="57"/>
      <c r="G47" s="59"/>
    </row>
    <row r="48" spans="1:8" s="109" customFormat="1" hidden="1" x14ac:dyDescent="0.25">
      <c r="A48" s="60"/>
      <c r="B48" s="61"/>
      <c r="C48" s="61"/>
      <c r="D48" s="62"/>
      <c r="E48" s="62"/>
      <c r="F48" s="57"/>
      <c r="G48" s="59"/>
    </row>
    <row r="49" spans="1:7" s="109" customFormat="1" hidden="1" x14ac:dyDescent="0.25">
      <c r="A49" s="60"/>
      <c r="B49" s="61"/>
      <c r="C49" s="61"/>
      <c r="D49" s="62"/>
      <c r="E49" s="62"/>
      <c r="F49" s="57"/>
      <c r="G49" s="45"/>
    </row>
    <row r="50" spans="1:7" s="109" customFormat="1" hidden="1" x14ac:dyDescent="0.25">
      <c r="A50" s="60"/>
      <c r="B50" s="61"/>
      <c r="C50" s="61"/>
      <c r="D50" s="62"/>
      <c r="E50" s="62"/>
      <c r="F50" s="57"/>
      <c r="G50" s="45"/>
    </row>
    <row r="51" spans="1:7" hidden="1" x14ac:dyDescent="0.25">
      <c r="A51" s="60"/>
      <c r="B51" s="61"/>
      <c r="C51" s="61"/>
      <c r="D51" s="62"/>
      <c r="E51" s="62"/>
      <c r="F51" s="57"/>
      <c r="G51" s="59"/>
    </row>
    <row r="52" spans="1:7" ht="15" hidden="1" customHeight="1" x14ac:dyDescent="0.25">
      <c r="A52" s="63" t="s">
        <v>62</v>
      </c>
      <c r="B52" s="64" t="s">
        <v>63</v>
      </c>
      <c r="C52" s="64" t="s">
        <v>64</v>
      </c>
      <c r="D52" s="65" t="s">
        <v>65</v>
      </c>
      <c r="E52" s="64" t="s">
        <v>66</v>
      </c>
      <c r="F52" s="64" t="s">
        <v>74</v>
      </c>
      <c r="G52" s="66" t="s">
        <v>37</v>
      </c>
    </row>
    <row r="53" spans="1:7" ht="15" hidden="1" customHeight="1" x14ac:dyDescent="0.3">
      <c r="A53" s="60">
        <v>43682</v>
      </c>
      <c r="B53" s="61" t="s">
        <v>1154</v>
      </c>
      <c r="C53" s="61">
        <v>91034996</v>
      </c>
      <c r="D53" s="62">
        <v>0</v>
      </c>
      <c r="E53" s="62">
        <v>5959.79</v>
      </c>
      <c r="F53" s="135">
        <v>6028.45</v>
      </c>
      <c r="G53" s="176" t="s">
        <v>135</v>
      </c>
    </row>
    <row r="54" spans="1:7" ht="15" hidden="1" customHeight="1" x14ac:dyDescent="0.3">
      <c r="A54" s="60">
        <v>43686</v>
      </c>
      <c r="B54" s="61" t="s">
        <v>1155</v>
      </c>
      <c r="C54" s="61">
        <v>91686144</v>
      </c>
      <c r="D54" s="62">
        <v>0</v>
      </c>
      <c r="E54" s="62">
        <v>3167.93</v>
      </c>
      <c r="F54" s="135">
        <v>9196.3799999999992</v>
      </c>
      <c r="G54" s="176" t="s">
        <v>135</v>
      </c>
    </row>
    <row r="55" spans="1:7" ht="15" hidden="1" customHeight="1" x14ac:dyDescent="0.3">
      <c r="A55" s="60">
        <v>43691</v>
      </c>
      <c r="B55" s="61" t="s">
        <v>1156</v>
      </c>
      <c r="C55" s="61">
        <v>92140918</v>
      </c>
      <c r="D55" s="62">
        <v>0</v>
      </c>
      <c r="E55" s="62">
        <v>3594.19</v>
      </c>
      <c r="F55" s="135">
        <v>12790.57</v>
      </c>
      <c r="G55" s="176" t="s">
        <v>135</v>
      </c>
    </row>
    <row r="56" spans="1:7" ht="15" hidden="1" customHeight="1" x14ac:dyDescent="0.3">
      <c r="A56" s="60">
        <v>43696</v>
      </c>
      <c r="B56" s="61" t="s">
        <v>1157</v>
      </c>
      <c r="C56" s="61">
        <v>92397289</v>
      </c>
      <c r="D56" s="62">
        <v>0</v>
      </c>
      <c r="E56" s="62">
        <v>5952.48</v>
      </c>
      <c r="F56" s="135">
        <v>18743.05</v>
      </c>
      <c r="G56" s="176" t="s">
        <v>135</v>
      </c>
    </row>
    <row r="57" spans="1:7" ht="15" hidden="1" customHeight="1" x14ac:dyDescent="0.3">
      <c r="A57" s="60">
        <v>43703</v>
      </c>
      <c r="B57" s="61" t="s">
        <v>1158</v>
      </c>
      <c r="C57" s="61">
        <v>93050644</v>
      </c>
      <c r="D57" s="62">
        <v>0</v>
      </c>
      <c r="E57" s="62">
        <v>7281.91</v>
      </c>
      <c r="F57" s="135">
        <v>26024.959999999999</v>
      </c>
      <c r="G57" s="176" t="s">
        <v>135</v>
      </c>
    </row>
    <row r="58" spans="1:7" ht="15" hidden="1" customHeight="1" x14ac:dyDescent="0.3">
      <c r="A58" s="60">
        <v>43704</v>
      </c>
      <c r="B58" s="61" t="s">
        <v>1159</v>
      </c>
      <c r="C58" s="61">
        <v>93219240</v>
      </c>
      <c r="D58" s="62">
        <v>26000</v>
      </c>
      <c r="E58" s="62">
        <v>0</v>
      </c>
      <c r="F58" s="135">
        <v>24.96</v>
      </c>
      <c r="G58" s="176" t="s">
        <v>134</v>
      </c>
    </row>
    <row r="59" spans="1:7" ht="15" hidden="1" customHeight="1" x14ac:dyDescent="0.3">
      <c r="A59" s="60">
        <v>43706</v>
      </c>
      <c r="B59" s="61" t="s">
        <v>1160</v>
      </c>
      <c r="C59" s="61">
        <v>93499371</v>
      </c>
      <c r="D59" s="62">
        <v>0</v>
      </c>
      <c r="E59" s="62">
        <v>6343.52</v>
      </c>
      <c r="F59" s="135">
        <v>6368.48</v>
      </c>
      <c r="G59" s="176" t="s">
        <v>135</v>
      </c>
    </row>
    <row r="60" spans="1:7" ht="15" hidden="1" customHeight="1" x14ac:dyDescent="0.3">
      <c r="A60" s="60"/>
      <c r="B60" s="61"/>
      <c r="C60" s="61"/>
      <c r="D60" s="62"/>
      <c r="E60" s="62"/>
      <c r="F60" s="57"/>
      <c r="G60" s="176"/>
    </row>
    <row r="61" spans="1:7" ht="15" hidden="1" customHeight="1" x14ac:dyDescent="0.3">
      <c r="A61" s="77"/>
      <c r="B61" s="78"/>
      <c r="C61" s="78"/>
      <c r="D61" s="79"/>
      <c r="E61" s="79"/>
      <c r="F61" s="79"/>
      <c r="G61" s="176"/>
    </row>
    <row r="64" spans="1:7" x14ac:dyDescent="0.25">
      <c r="D64" s="1">
        <f>SUBTOTAL(9,D2:D61)</f>
        <v>1801131</v>
      </c>
      <c r="E64" s="1">
        <f>SUBTOTAL(9,E2:E61)</f>
        <v>0</v>
      </c>
    </row>
    <row r="66" spans="1:10" x14ac:dyDescent="0.25">
      <c r="F66" s="56"/>
      <c r="G66" s="56" t="s">
        <v>4</v>
      </c>
    </row>
    <row r="67" spans="1:10" ht="18.75" x14ac:dyDescent="0.3">
      <c r="A67" s="63" t="s">
        <v>62</v>
      </c>
      <c r="B67" s="64" t="s">
        <v>63</v>
      </c>
      <c r="C67" s="64" t="s">
        <v>64</v>
      </c>
      <c r="D67" s="65" t="s">
        <v>65</v>
      </c>
      <c r="F67" s="57">
        <f>SUMIF($G$2:$G$61,G67,$D$2:$D$61)-SUMIF($G$2:$G$61,G67,$E$2:$E$61)</f>
        <v>-18308</v>
      </c>
      <c r="G67" s="176" t="s">
        <v>172</v>
      </c>
    </row>
    <row r="68" spans="1:10" ht="18.75" x14ac:dyDescent="0.3">
      <c r="A68" s="60"/>
      <c r="B68" s="61"/>
      <c r="C68" s="61"/>
      <c r="D68" s="62"/>
      <c r="F68" s="57">
        <f t="shared" ref="F68:F83" si="0">SUMIF($G$2:$G$61,G68,$D$2:$D$61)-SUMIF($G$2:$G$61,G68,$E$2:$E$61)</f>
        <v>0</v>
      </c>
      <c r="G68" s="176" t="s">
        <v>31</v>
      </c>
    </row>
    <row r="69" spans="1:10" ht="18.75" x14ac:dyDescent="0.3">
      <c r="A69" s="60"/>
      <c r="B69" s="61"/>
      <c r="C69" s="61"/>
      <c r="D69" s="62"/>
      <c r="F69" s="57">
        <f t="shared" si="0"/>
        <v>0</v>
      </c>
      <c r="G69" s="176" t="s">
        <v>101</v>
      </c>
    </row>
    <row r="70" spans="1:10" ht="18.75" x14ac:dyDescent="0.3">
      <c r="A70" s="60"/>
      <c r="B70" s="61"/>
      <c r="C70" s="61"/>
      <c r="D70" s="62"/>
      <c r="F70" s="57">
        <f t="shared" si="0"/>
        <v>0</v>
      </c>
      <c r="G70" s="177" t="s">
        <v>171</v>
      </c>
    </row>
    <row r="71" spans="1:10" ht="18.75" x14ac:dyDescent="0.3">
      <c r="F71" s="57">
        <f t="shared" si="0"/>
        <v>0</v>
      </c>
      <c r="G71" s="177" t="s">
        <v>8</v>
      </c>
    </row>
    <row r="72" spans="1:10" ht="18.75" x14ac:dyDescent="0.3">
      <c r="F72" s="57">
        <f t="shared" si="0"/>
        <v>0</v>
      </c>
      <c r="G72" s="178" t="s">
        <v>173</v>
      </c>
      <c r="H72" s="83"/>
    </row>
    <row r="73" spans="1:10" ht="18.75" x14ac:dyDescent="0.3">
      <c r="F73" s="57">
        <f t="shared" si="0"/>
        <v>0</v>
      </c>
      <c r="G73" s="176" t="s">
        <v>175</v>
      </c>
    </row>
    <row r="74" spans="1:10" ht="18.75" x14ac:dyDescent="0.3">
      <c r="F74" s="57">
        <f t="shared" si="0"/>
        <v>0</v>
      </c>
      <c r="G74" s="176" t="s">
        <v>174</v>
      </c>
    </row>
    <row r="75" spans="1:10" ht="18.75" x14ac:dyDescent="0.3">
      <c r="F75" s="57">
        <f t="shared" si="0"/>
        <v>1801131</v>
      </c>
      <c r="G75" s="178" t="s">
        <v>24</v>
      </c>
    </row>
    <row r="76" spans="1:10" ht="18.75" x14ac:dyDescent="0.3">
      <c r="F76" s="57">
        <f t="shared" si="0"/>
        <v>0</v>
      </c>
      <c r="G76" s="176" t="s">
        <v>11</v>
      </c>
      <c r="H76" s="84"/>
      <c r="I76" s="109"/>
      <c r="J76" s="109"/>
    </row>
    <row r="77" spans="1:10" ht="18.75" x14ac:dyDescent="0.3">
      <c r="F77" s="57">
        <f t="shared" si="0"/>
        <v>906768</v>
      </c>
      <c r="G77" s="176" t="s">
        <v>19</v>
      </c>
      <c r="I77" s="109"/>
      <c r="J77" s="109"/>
    </row>
    <row r="78" spans="1:10" ht="18.75" x14ac:dyDescent="0.3">
      <c r="F78" s="57">
        <f t="shared" si="0"/>
        <v>0</v>
      </c>
      <c r="G78" s="177" t="s">
        <v>176</v>
      </c>
      <c r="I78" s="109"/>
    </row>
    <row r="79" spans="1:10" ht="18.75" x14ac:dyDescent="0.3">
      <c r="F79" s="57">
        <f t="shared" si="0"/>
        <v>1654272</v>
      </c>
      <c r="G79" s="176" t="s">
        <v>30</v>
      </c>
      <c r="I79" s="109"/>
      <c r="J79" s="109"/>
    </row>
    <row r="80" spans="1:10" ht="18.75" x14ac:dyDescent="0.3">
      <c r="F80" s="57">
        <f t="shared" si="0"/>
        <v>25026000</v>
      </c>
      <c r="G80" s="177" t="s">
        <v>134</v>
      </c>
      <c r="I80" s="109"/>
      <c r="J80" s="109"/>
    </row>
    <row r="81" spans="4:10" ht="18.75" x14ac:dyDescent="0.3">
      <c r="F81" s="57">
        <f t="shared" si="0"/>
        <v>-23380642.82</v>
      </c>
      <c r="G81" s="176" t="s">
        <v>135</v>
      </c>
      <c r="I81" s="109"/>
      <c r="J81" s="109"/>
    </row>
    <row r="82" spans="4:10" ht="18.75" x14ac:dyDescent="0.3">
      <c r="F82" s="57">
        <f t="shared" si="0"/>
        <v>0</v>
      </c>
      <c r="G82" s="176" t="s">
        <v>177</v>
      </c>
      <c r="I82" s="109"/>
      <c r="J82" s="109"/>
    </row>
    <row r="83" spans="4:10" ht="18.75" x14ac:dyDescent="0.3">
      <c r="F83" s="57">
        <f t="shared" si="0"/>
        <v>0</v>
      </c>
      <c r="G83" s="176" t="s">
        <v>178</v>
      </c>
      <c r="I83" s="109"/>
      <c r="J83" s="109"/>
    </row>
    <row r="84" spans="4:10" s="194" customFormat="1" ht="18.75" x14ac:dyDescent="0.3">
      <c r="D84" s="1"/>
      <c r="F84" s="57">
        <f>SUMIF($G$2:$G$61,G84,$D$2:$D$61)-SUMIF($G$2:$G$61,G84,$E$2:$E$61)</f>
        <v>0</v>
      </c>
      <c r="G84" s="176" t="s">
        <v>203</v>
      </c>
    </row>
    <row r="85" spans="4:10" x14ac:dyDescent="0.25">
      <c r="F85" s="58"/>
      <c r="G85" s="56" t="s">
        <v>22</v>
      </c>
    </row>
  </sheetData>
  <autoFilter ref="A1:G61">
    <filterColumn colId="6">
      <filters>
        <filter val="Impuestos"/>
      </filters>
    </filterColumn>
  </autoFilter>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38" workbookViewId="0">
      <selection activeCell="H142" sqref="H142:H158"/>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3" t="s">
        <v>5</v>
      </c>
      <c r="B1" s="43" t="s">
        <v>25</v>
      </c>
      <c r="C1" s="43" t="s">
        <v>156</v>
      </c>
      <c r="D1" s="43" t="s">
        <v>157</v>
      </c>
      <c r="E1" s="43" t="s">
        <v>158</v>
      </c>
      <c r="F1" s="43" t="s">
        <v>159</v>
      </c>
      <c r="G1" s="73" t="s">
        <v>76</v>
      </c>
      <c r="H1" s="43" t="s">
        <v>160</v>
      </c>
      <c r="I1" s="43" t="s">
        <v>161</v>
      </c>
      <c r="J1" s="74"/>
      <c r="K1" s="19"/>
      <c r="L1" s="19"/>
      <c r="M1" s="19"/>
      <c r="N1" s="19"/>
      <c r="O1" s="19"/>
      <c r="P1" s="19"/>
      <c r="Q1" s="19"/>
      <c r="R1" s="19"/>
      <c r="S1" s="53"/>
      <c r="T1" s="19"/>
      <c r="U1" s="19"/>
      <c r="V1" s="19"/>
    </row>
    <row r="2" spans="1:53" x14ac:dyDescent="0.25">
      <c r="A2" s="195" t="s">
        <v>1030</v>
      </c>
      <c r="B2" s="159" t="s">
        <v>131</v>
      </c>
      <c r="C2" s="159" t="s">
        <v>132</v>
      </c>
      <c r="D2" s="159" t="s">
        <v>150</v>
      </c>
      <c r="E2" s="160">
        <v>6664</v>
      </c>
      <c r="F2" s="159">
        <v>0</v>
      </c>
      <c r="G2" s="204" t="s">
        <v>274</v>
      </c>
      <c r="H2" s="204">
        <v>3358</v>
      </c>
      <c r="I2" s="204" t="s">
        <v>188</v>
      </c>
      <c r="J2" s="138"/>
      <c r="K2" s="153"/>
      <c r="L2" s="19"/>
      <c r="M2" s="19"/>
      <c r="N2" s="19"/>
      <c r="O2" s="19"/>
      <c r="P2" s="19"/>
      <c r="Q2" s="19"/>
      <c r="R2" s="19"/>
      <c r="S2" s="53"/>
      <c r="T2" s="19"/>
      <c r="U2" s="19"/>
      <c r="V2" s="19"/>
      <c r="AF2" s="110"/>
    </row>
    <row r="3" spans="1:53" x14ac:dyDescent="0.25">
      <c r="A3" s="195" t="s">
        <v>1033</v>
      </c>
      <c r="B3" s="159" t="s">
        <v>131</v>
      </c>
      <c r="C3" s="159" t="s">
        <v>132</v>
      </c>
      <c r="D3" s="160" t="s">
        <v>150</v>
      </c>
      <c r="E3" s="160">
        <v>40777</v>
      </c>
      <c r="F3" s="159">
        <v>0</v>
      </c>
      <c r="G3" s="204" t="s">
        <v>141</v>
      </c>
      <c r="H3" s="204">
        <v>197235</v>
      </c>
      <c r="I3" s="204" t="s">
        <v>186</v>
      </c>
      <c r="J3" s="133"/>
      <c r="K3" s="153"/>
      <c r="L3" s="19"/>
      <c r="M3" s="75">
        <v>41791</v>
      </c>
      <c r="N3" s="75">
        <v>41821</v>
      </c>
      <c r="O3" s="75">
        <v>41852</v>
      </c>
      <c r="P3" s="75">
        <v>41883</v>
      </c>
      <c r="Q3" s="75">
        <v>41913</v>
      </c>
      <c r="R3" s="75">
        <v>41944</v>
      </c>
      <c r="S3" s="75">
        <v>41974</v>
      </c>
      <c r="T3" s="75">
        <v>42005</v>
      </c>
      <c r="U3" s="75">
        <v>42036</v>
      </c>
      <c r="V3" s="75">
        <v>42064</v>
      </c>
      <c r="W3" s="75">
        <v>42095</v>
      </c>
      <c r="X3" s="75"/>
      <c r="Y3" s="75">
        <v>42156</v>
      </c>
      <c r="Z3" s="75">
        <v>42186</v>
      </c>
      <c r="AA3" s="75">
        <v>42217</v>
      </c>
      <c r="AB3" s="75">
        <v>42248</v>
      </c>
      <c r="AC3" s="75">
        <v>42278</v>
      </c>
      <c r="AD3" s="75">
        <v>42309</v>
      </c>
      <c r="AE3" s="75">
        <v>42339</v>
      </c>
      <c r="AF3" s="75">
        <v>42370</v>
      </c>
      <c r="AG3" s="75">
        <v>42401</v>
      </c>
      <c r="AH3" s="75">
        <v>42430</v>
      </c>
      <c r="AI3" s="75">
        <v>42461</v>
      </c>
      <c r="AJ3" s="75">
        <v>42491</v>
      </c>
      <c r="AK3" s="75">
        <v>42522</v>
      </c>
      <c r="AL3" s="75">
        <v>42552</v>
      </c>
      <c r="AM3" s="75">
        <v>42583</v>
      </c>
      <c r="AN3" s="75">
        <v>42614</v>
      </c>
      <c r="AO3" s="75">
        <v>42644</v>
      </c>
      <c r="AP3" s="75">
        <v>42675</v>
      </c>
      <c r="AQ3" s="75">
        <v>42705</v>
      </c>
      <c r="AR3" s="75">
        <v>42736</v>
      </c>
      <c r="AS3" s="75">
        <v>42767</v>
      </c>
      <c r="AT3" s="75">
        <v>42795</v>
      </c>
      <c r="AU3" s="75">
        <v>42826</v>
      </c>
      <c r="AV3" s="75">
        <v>42856</v>
      </c>
      <c r="AW3" s="75">
        <v>42887</v>
      </c>
      <c r="AX3" s="75">
        <v>42917</v>
      </c>
      <c r="AY3" s="75">
        <v>42948</v>
      </c>
      <c r="AZ3" s="75">
        <v>42979</v>
      </c>
      <c r="BA3" s="75">
        <v>43009</v>
      </c>
    </row>
    <row r="4" spans="1:53" x14ac:dyDescent="0.25">
      <c r="A4" s="195" t="s">
        <v>1033</v>
      </c>
      <c r="B4" s="159" t="s">
        <v>131</v>
      </c>
      <c r="C4" s="159" t="s">
        <v>132</v>
      </c>
      <c r="D4" s="160" t="s">
        <v>150</v>
      </c>
      <c r="E4" s="160">
        <v>40220</v>
      </c>
      <c r="F4" s="159">
        <v>0</v>
      </c>
      <c r="G4" s="204" t="s">
        <v>250</v>
      </c>
      <c r="H4" s="204">
        <v>69405227</v>
      </c>
      <c r="I4" s="204" t="s">
        <v>187</v>
      </c>
      <c r="J4" s="133"/>
      <c r="K4" s="153"/>
      <c r="L4" s="50" t="s">
        <v>49</v>
      </c>
      <c r="M4" s="51" t="s">
        <v>50</v>
      </c>
      <c r="N4" s="51" t="s">
        <v>50</v>
      </c>
      <c r="O4" s="51" t="s">
        <v>50</v>
      </c>
      <c r="P4" s="51" t="s">
        <v>50</v>
      </c>
      <c r="Q4" s="51" t="s">
        <v>50</v>
      </c>
      <c r="R4" s="51" t="s">
        <v>50</v>
      </c>
      <c r="S4" s="51" t="s">
        <v>50</v>
      </c>
      <c r="T4" s="51" t="s">
        <v>50</v>
      </c>
      <c r="U4" s="51" t="s">
        <v>50</v>
      </c>
      <c r="V4" s="51" t="s">
        <v>50</v>
      </c>
      <c r="W4" s="51" t="s">
        <v>50</v>
      </c>
      <c r="X4" s="51"/>
      <c r="Y4" s="51" t="s">
        <v>50</v>
      </c>
      <c r="Z4" s="51" t="s">
        <v>50</v>
      </c>
      <c r="AA4" s="51" t="s">
        <v>50</v>
      </c>
      <c r="AB4" s="51" t="s">
        <v>50</v>
      </c>
      <c r="AC4" s="51" t="s">
        <v>50</v>
      </c>
      <c r="AD4" s="51" t="s">
        <v>50</v>
      </c>
      <c r="AE4" s="51" t="s">
        <v>50</v>
      </c>
      <c r="AF4" s="51" t="s">
        <v>50</v>
      </c>
      <c r="AG4" s="51" t="s">
        <v>50</v>
      </c>
      <c r="AH4" s="51" t="s">
        <v>50</v>
      </c>
      <c r="AI4" s="51" t="s">
        <v>50</v>
      </c>
      <c r="AJ4" s="51" t="s">
        <v>50</v>
      </c>
      <c r="AK4" s="51" t="s">
        <v>50</v>
      </c>
      <c r="AL4" s="51" t="s">
        <v>50</v>
      </c>
      <c r="AM4" s="51" t="s">
        <v>50</v>
      </c>
      <c r="AN4" s="51" t="s">
        <v>50</v>
      </c>
      <c r="AO4" s="51" t="s">
        <v>50</v>
      </c>
      <c r="AP4" s="51" t="s">
        <v>209</v>
      </c>
      <c r="AQ4" s="51" t="s">
        <v>209</v>
      </c>
      <c r="AR4" s="51" t="s">
        <v>209</v>
      </c>
      <c r="AS4" s="51" t="s">
        <v>209</v>
      </c>
      <c r="AT4" s="51" t="s">
        <v>209</v>
      </c>
      <c r="AU4" s="51" t="s">
        <v>50</v>
      </c>
      <c r="AV4" s="51" t="s">
        <v>50</v>
      </c>
      <c r="AW4" s="51"/>
      <c r="AX4" s="51" t="s">
        <v>50</v>
      </c>
      <c r="AY4" s="51" t="s">
        <v>50</v>
      </c>
      <c r="AZ4" s="51" t="s">
        <v>50</v>
      </c>
      <c r="BA4" s="51" t="s">
        <v>50</v>
      </c>
    </row>
    <row r="5" spans="1:53" x14ac:dyDescent="0.25">
      <c r="A5" s="195" t="s">
        <v>1033</v>
      </c>
      <c r="B5" s="159" t="s">
        <v>131</v>
      </c>
      <c r="C5" s="159" t="s">
        <v>132</v>
      </c>
      <c r="D5" s="160" t="s">
        <v>150</v>
      </c>
      <c r="E5" s="160">
        <v>58264</v>
      </c>
      <c r="F5" s="159">
        <v>0</v>
      </c>
      <c r="G5" s="204" t="s">
        <v>250</v>
      </c>
      <c r="H5" s="204">
        <v>69405226</v>
      </c>
      <c r="I5" s="204" t="s">
        <v>189</v>
      </c>
      <c r="J5" s="133"/>
      <c r="K5" s="153"/>
      <c r="L5" s="49" t="s">
        <v>51</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195" t="s">
        <v>1033</v>
      </c>
      <c r="B6" s="159" t="s">
        <v>131</v>
      </c>
      <c r="C6" s="159" t="s">
        <v>132</v>
      </c>
      <c r="D6" s="159" t="s">
        <v>150</v>
      </c>
      <c r="E6" s="160">
        <v>190086</v>
      </c>
      <c r="F6" s="159">
        <v>0</v>
      </c>
      <c r="G6" s="204" t="s">
        <v>250</v>
      </c>
      <c r="H6" s="204">
        <v>69405015</v>
      </c>
      <c r="I6" s="204" t="s">
        <v>188</v>
      </c>
      <c r="J6" s="133"/>
      <c r="K6" s="153"/>
      <c r="L6" s="49" t="s">
        <v>52</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195" t="s">
        <v>1033</v>
      </c>
      <c r="B7" s="159" t="s">
        <v>131</v>
      </c>
      <c r="C7" s="159" t="s">
        <v>132</v>
      </c>
      <c r="D7" s="159" t="s">
        <v>150</v>
      </c>
      <c r="E7" s="160">
        <v>47030</v>
      </c>
      <c r="F7" s="159">
        <v>0</v>
      </c>
      <c r="G7" s="204" t="s">
        <v>1167</v>
      </c>
      <c r="H7" s="204">
        <v>99845268</v>
      </c>
      <c r="I7" s="204" t="s">
        <v>56</v>
      </c>
      <c r="J7" s="133"/>
      <c r="K7" s="153"/>
      <c r="L7" s="49" t="s">
        <v>53</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210</v>
      </c>
      <c r="AQ7" s="22" t="s">
        <v>210</v>
      </c>
      <c r="AR7" s="22" t="s">
        <v>210</v>
      </c>
      <c r="AS7" s="22" t="s">
        <v>210</v>
      </c>
      <c r="AT7" s="22" t="s">
        <v>210</v>
      </c>
      <c r="AU7" s="22">
        <v>0</v>
      </c>
      <c r="AV7" s="22">
        <v>356012</v>
      </c>
      <c r="AW7" s="22"/>
      <c r="AX7" s="22">
        <v>416262</v>
      </c>
      <c r="AY7" s="22">
        <v>409806</v>
      </c>
      <c r="AZ7" s="22">
        <v>227742</v>
      </c>
      <c r="BA7" s="22">
        <v>0</v>
      </c>
    </row>
    <row r="8" spans="1:53" x14ac:dyDescent="0.25">
      <c r="A8" s="195" t="s">
        <v>1033</v>
      </c>
      <c r="B8" s="159" t="s">
        <v>131</v>
      </c>
      <c r="C8" s="159" t="s">
        <v>132</v>
      </c>
      <c r="D8" s="160" t="s">
        <v>150</v>
      </c>
      <c r="E8" s="160">
        <v>42100</v>
      </c>
      <c r="F8" s="159">
        <v>0</v>
      </c>
      <c r="G8" s="204" t="s">
        <v>645</v>
      </c>
      <c r="H8" s="204">
        <v>40966</v>
      </c>
      <c r="I8" s="204" t="s">
        <v>188</v>
      </c>
      <c r="J8" s="133"/>
      <c r="K8" s="153"/>
      <c r="L8" s="49" t="s">
        <v>54</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195" t="s">
        <v>1033</v>
      </c>
      <c r="B9" s="159" t="s">
        <v>131</v>
      </c>
      <c r="C9" s="159" t="s">
        <v>132</v>
      </c>
      <c r="D9" s="160" t="s">
        <v>150</v>
      </c>
      <c r="E9" s="160">
        <v>48980</v>
      </c>
      <c r="F9" s="159">
        <v>0</v>
      </c>
      <c r="G9" s="204" t="s">
        <v>645</v>
      </c>
      <c r="H9" s="204">
        <v>40965</v>
      </c>
      <c r="I9" s="204" t="s">
        <v>188</v>
      </c>
      <c r="J9" s="133"/>
      <c r="K9" s="153"/>
      <c r="L9" s="49" t="s">
        <v>55</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195" t="s">
        <v>1033</v>
      </c>
      <c r="B10" s="159" t="s">
        <v>131</v>
      </c>
      <c r="C10" s="159" t="s">
        <v>132</v>
      </c>
      <c r="D10" s="160" t="s">
        <v>150</v>
      </c>
      <c r="E10" s="160">
        <v>8104</v>
      </c>
      <c r="F10" s="159">
        <v>0</v>
      </c>
      <c r="G10" s="204" t="s">
        <v>645</v>
      </c>
      <c r="H10" s="204"/>
      <c r="I10" s="204" t="s">
        <v>188</v>
      </c>
      <c r="J10" s="133"/>
      <c r="K10" s="153"/>
      <c r="L10" s="49" t="s">
        <v>56</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195" t="s">
        <v>1035</v>
      </c>
      <c r="B11" s="159" t="s">
        <v>131</v>
      </c>
      <c r="C11" s="159" t="s">
        <v>132</v>
      </c>
      <c r="D11" s="160" t="s">
        <v>150</v>
      </c>
      <c r="E11" s="160">
        <v>105758</v>
      </c>
      <c r="F11" s="159">
        <v>0</v>
      </c>
      <c r="G11" s="204" t="s">
        <v>141</v>
      </c>
      <c r="H11" s="204">
        <v>197546</v>
      </c>
      <c r="I11" s="204" t="s">
        <v>198</v>
      </c>
      <c r="J11" s="133"/>
      <c r="K11" s="153"/>
      <c r="L11" s="49" t="s">
        <v>57</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195" t="s">
        <v>1035</v>
      </c>
      <c r="B12" s="159" t="s">
        <v>131</v>
      </c>
      <c r="C12" s="159" t="s">
        <v>132</v>
      </c>
      <c r="D12" s="160" t="s">
        <v>150</v>
      </c>
      <c r="E12" s="160">
        <v>38280</v>
      </c>
      <c r="F12" s="159">
        <v>0</v>
      </c>
      <c r="G12" s="204" t="s">
        <v>190</v>
      </c>
      <c r="H12" s="204">
        <v>11857283</v>
      </c>
      <c r="I12" s="204" t="s">
        <v>149</v>
      </c>
      <c r="J12" s="133"/>
      <c r="K12" s="153"/>
      <c r="L12" s="49" t="s">
        <v>68</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210</v>
      </c>
      <c r="AQ12" s="22">
        <v>30000</v>
      </c>
      <c r="AR12" s="22">
        <v>90000</v>
      </c>
      <c r="AS12" s="22">
        <v>90000</v>
      </c>
      <c r="AT12" s="22" t="s">
        <v>210</v>
      </c>
      <c r="AU12" s="22">
        <v>0</v>
      </c>
      <c r="AV12" s="22">
        <v>0</v>
      </c>
      <c r="AW12" s="22"/>
      <c r="AX12" s="22">
        <v>45000</v>
      </c>
      <c r="AY12" s="22">
        <v>0</v>
      </c>
      <c r="AZ12" s="22">
        <v>30000</v>
      </c>
      <c r="BA12" s="22">
        <v>240000</v>
      </c>
    </row>
    <row r="13" spans="1:53" x14ac:dyDescent="0.25">
      <c r="A13" s="195" t="s">
        <v>1035</v>
      </c>
      <c r="B13" s="159" t="s">
        <v>131</v>
      </c>
      <c r="C13" s="159" t="s">
        <v>132</v>
      </c>
      <c r="D13" s="160" t="s">
        <v>150</v>
      </c>
      <c r="E13" s="160">
        <v>396990</v>
      </c>
      <c r="F13" s="159">
        <v>0</v>
      </c>
      <c r="G13" s="204" t="s">
        <v>1193</v>
      </c>
      <c r="H13" s="204"/>
      <c r="I13" s="204" t="s">
        <v>56</v>
      </c>
      <c r="J13" s="133"/>
      <c r="K13" s="153"/>
      <c r="L13" s="49" t="s">
        <v>149</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195" t="s">
        <v>1168</v>
      </c>
      <c r="B14" s="159" t="s">
        <v>131</v>
      </c>
      <c r="C14" s="159" t="s">
        <v>132</v>
      </c>
      <c r="D14" s="160" t="s">
        <v>150</v>
      </c>
      <c r="E14" s="160">
        <v>14700</v>
      </c>
      <c r="F14" s="159">
        <v>0</v>
      </c>
      <c r="G14" s="204" t="s">
        <v>645</v>
      </c>
      <c r="H14" s="204">
        <v>41092</v>
      </c>
      <c r="I14" s="204" t="s">
        <v>188</v>
      </c>
      <c r="J14" s="133"/>
      <c r="K14" s="153"/>
      <c r="L14" s="68" t="s">
        <v>58</v>
      </c>
      <c r="M14" s="69">
        <v>1737064</v>
      </c>
      <c r="N14" s="69">
        <v>1815495</v>
      </c>
      <c r="O14" s="69">
        <v>1815495</v>
      </c>
      <c r="P14" s="69">
        <v>1934628</v>
      </c>
      <c r="Q14" s="69">
        <v>2245050</v>
      </c>
      <c r="R14" s="69">
        <v>2078993</v>
      </c>
      <c r="S14" s="69">
        <v>2475588</v>
      </c>
      <c r="T14" s="69">
        <v>2000000</v>
      </c>
      <c r="U14" s="69">
        <v>2541076</v>
      </c>
      <c r="V14" s="69">
        <v>1980555</v>
      </c>
      <c r="W14" s="69">
        <v>2591377</v>
      </c>
      <c r="X14" s="69"/>
      <c r="Y14" s="69"/>
      <c r="Z14" s="69">
        <v>3379548</v>
      </c>
      <c r="AA14" s="69">
        <f>SUM(AA5:AA12)</f>
        <v>2586439</v>
      </c>
      <c r="AB14" s="69">
        <v>2807728</v>
      </c>
      <c r="AC14" s="69">
        <v>2012767</v>
      </c>
      <c r="AD14" s="69">
        <v>2066525</v>
      </c>
      <c r="AE14" s="69">
        <v>2559398</v>
      </c>
      <c r="AF14" s="69">
        <v>2536145</v>
      </c>
      <c r="AG14" s="69"/>
      <c r="AH14" s="69"/>
      <c r="AI14" s="69">
        <f>SUM(AI5:AI13)</f>
        <v>2760596</v>
      </c>
      <c r="AJ14" s="69">
        <f t="shared" ref="AJ14:AM14" si="0">SUM(AJ5:AJ13)</f>
        <v>1510370</v>
      </c>
      <c r="AK14" s="69">
        <f t="shared" si="0"/>
        <v>431441</v>
      </c>
      <c r="AL14" s="69">
        <f t="shared" si="0"/>
        <v>2392906</v>
      </c>
      <c r="AM14" s="69">
        <f t="shared" si="0"/>
        <v>2781371</v>
      </c>
      <c r="AN14" s="69">
        <f t="shared" ref="AN14" si="1">SUM(AN5:AN13)</f>
        <v>2607790</v>
      </c>
      <c r="AO14" s="69">
        <v>2480261</v>
      </c>
      <c r="AP14" s="69">
        <v>2564608</v>
      </c>
      <c r="AQ14" s="69">
        <v>2390184</v>
      </c>
      <c r="AR14" s="69">
        <v>2732497</v>
      </c>
      <c r="AS14" s="69">
        <v>2732497</v>
      </c>
      <c r="AT14" s="69">
        <v>2692799</v>
      </c>
      <c r="AU14" s="69">
        <v>2755072</v>
      </c>
      <c r="AV14" s="69">
        <f>SUM(AV5:AV13)</f>
        <v>2342742</v>
      </c>
      <c r="AW14" s="69"/>
      <c r="AX14" s="69">
        <v>2089468</v>
      </c>
      <c r="AY14" s="69">
        <v>2926825</v>
      </c>
      <c r="AZ14" s="69">
        <v>2371029</v>
      </c>
      <c r="BA14" s="69">
        <v>3232513</v>
      </c>
    </row>
    <row r="15" spans="1:53" x14ac:dyDescent="0.25">
      <c r="A15" s="195" t="s">
        <v>1168</v>
      </c>
      <c r="B15" s="159" t="s">
        <v>131</v>
      </c>
      <c r="C15" s="159" t="s">
        <v>132</v>
      </c>
      <c r="D15" s="160" t="s">
        <v>150</v>
      </c>
      <c r="E15" s="160">
        <v>37500</v>
      </c>
      <c r="F15" s="159">
        <v>0</v>
      </c>
      <c r="G15" s="204" t="s">
        <v>645</v>
      </c>
      <c r="H15" s="204">
        <v>41091</v>
      </c>
      <c r="I15" s="204" t="s">
        <v>188</v>
      </c>
      <c r="J15" s="133"/>
      <c r="K15" s="153"/>
      <c r="L15" s="19"/>
      <c r="M15" s="19"/>
      <c r="N15" s="19"/>
      <c r="O15" s="19"/>
      <c r="P15" s="19"/>
      <c r="Q15" s="19"/>
      <c r="R15" s="19"/>
      <c r="S15" s="53"/>
      <c r="T15" s="53"/>
      <c r="U15" s="53"/>
      <c r="V15" s="53"/>
    </row>
    <row r="16" spans="1:53" x14ac:dyDescent="0.25">
      <c r="A16" s="195" t="s">
        <v>1036</v>
      </c>
      <c r="B16" s="159" t="s">
        <v>131</v>
      </c>
      <c r="C16" s="159" t="s">
        <v>132</v>
      </c>
      <c r="D16" s="160" t="s">
        <v>150</v>
      </c>
      <c r="E16" s="160">
        <v>18070</v>
      </c>
      <c r="F16" s="159">
        <v>0</v>
      </c>
      <c r="G16" s="204" t="s">
        <v>250</v>
      </c>
      <c r="H16" s="204">
        <v>69403924</v>
      </c>
      <c r="I16" s="204" t="s">
        <v>187</v>
      </c>
      <c r="J16" s="133"/>
      <c r="K16" s="153"/>
      <c r="L16" s="3"/>
      <c r="M16"/>
      <c r="N16"/>
      <c r="O16"/>
      <c r="P16"/>
      <c r="Q16"/>
      <c r="R16"/>
      <c r="S16" s="53"/>
      <c r="T16" s="53"/>
      <c r="U16" s="53"/>
      <c r="V16" s="53"/>
    </row>
    <row r="17" spans="1:22" x14ac:dyDescent="0.25">
      <c r="A17" s="195" t="s">
        <v>1036</v>
      </c>
      <c r="B17" s="159" t="s">
        <v>131</v>
      </c>
      <c r="C17" s="159" t="s">
        <v>132</v>
      </c>
      <c r="D17" s="160" t="s">
        <v>150</v>
      </c>
      <c r="E17" s="160">
        <v>27586</v>
      </c>
      <c r="F17" s="159">
        <v>0</v>
      </c>
      <c r="G17" s="204" t="s">
        <v>250</v>
      </c>
      <c r="H17" s="204">
        <v>69403923</v>
      </c>
      <c r="I17" s="204" t="s">
        <v>189</v>
      </c>
      <c r="J17" s="133"/>
      <c r="K17" s="153"/>
      <c r="L17" s="3"/>
      <c r="M17" s="5"/>
      <c r="N17"/>
      <c r="O17"/>
      <c r="P17"/>
      <c r="Q17"/>
      <c r="R17"/>
      <c r="S17" s="53"/>
      <c r="T17" s="53"/>
      <c r="U17" s="53"/>
      <c r="V17" s="53"/>
    </row>
    <row r="18" spans="1:22" x14ac:dyDescent="0.25">
      <c r="A18" s="195" t="s">
        <v>1036</v>
      </c>
      <c r="B18" s="159" t="s">
        <v>131</v>
      </c>
      <c r="C18" s="159" t="s">
        <v>132</v>
      </c>
      <c r="D18" s="159" t="s">
        <v>150</v>
      </c>
      <c r="E18" s="160">
        <v>143099</v>
      </c>
      <c r="F18" s="159">
        <v>0</v>
      </c>
      <c r="G18" s="204" t="s">
        <v>250</v>
      </c>
      <c r="H18" s="204">
        <v>69403922</v>
      </c>
      <c r="I18" s="204" t="s">
        <v>188</v>
      </c>
      <c r="J18" s="133"/>
      <c r="K18" s="153"/>
      <c r="L18" s="3"/>
      <c r="M18" s="5"/>
      <c r="N18"/>
      <c r="O18"/>
      <c r="P18"/>
      <c r="Q18"/>
      <c r="R18"/>
      <c r="S18" s="53"/>
      <c r="T18" s="53"/>
      <c r="U18" s="53"/>
      <c r="V18" s="53"/>
    </row>
    <row r="19" spans="1:22" x14ac:dyDescent="0.25">
      <c r="A19" s="195" t="s">
        <v>1038</v>
      </c>
      <c r="B19" s="159" t="s">
        <v>131</v>
      </c>
      <c r="C19" s="159" t="s">
        <v>132</v>
      </c>
      <c r="D19" s="159" t="s">
        <v>150</v>
      </c>
      <c r="E19" s="160">
        <v>106004</v>
      </c>
      <c r="F19" s="159">
        <v>0</v>
      </c>
      <c r="G19" s="204" t="s">
        <v>141</v>
      </c>
      <c r="H19" s="204">
        <v>198527</v>
      </c>
      <c r="I19" s="204" t="s">
        <v>198</v>
      </c>
      <c r="J19" s="133"/>
      <c r="K19" s="49" t="s">
        <v>189</v>
      </c>
      <c r="L19" s="3"/>
      <c r="M19" s="5"/>
      <c r="N19"/>
      <c r="O19"/>
      <c r="P19"/>
      <c r="Q19"/>
      <c r="R19"/>
      <c r="S19" s="53"/>
      <c r="T19" s="53"/>
      <c r="U19" s="53"/>
      <c r="V19" s="53"/>
    </row>
    <row r="20" spans="1:22" x14ac:dyDescent="0.25">
      <c r="A20" s="195" t="s">
        <v>1038</v>
      </c>
      <c r="B20" s="159" t="s">
        <v>131</v>
      </c>
      <c r="C20" s="159" t="s">
        <v>132</v>
      </c>
      <c r="D20" s="159" t="s">
        <v>150</v>
      </c>
      <c r="E20" s="160">
        <v>41760</v>
      </c>
      <c r="F20" s="159">
        <v>0</v>
      </c>
      <c r="G20" s="204" t="s">
        <v>190</v>
      </c>
      <c r="H20" s="204">
        <v>11893928</v>
      </c>
      <c r="I20" s="204" t="s">
        <v>149</v>
      </c>
      <c r="J20" s="133"/>
      <c r="K20" s="49" t="s">
        <v>187</v>
      </c>
      <c r="L20" s="3"/>
      <c r="M20" s="5"/>
      <c r="N20"/>
      <c r="O20"/>
      <c r="P20"/>
      <c r="Q20"/>
      <c r="R20"/>
      <c r="S20" s="53"/>
      <c r="T20" s="53"/>
      <c r="U20" s="53"/>
      <c r="V20" s="53"/>
    </row>
    <row r="21" spans="1:22" x14ac:dyDescent="0.25">
      <c r="A21" s="195" t="s">
        <v>1038</v>
      </c>
      <c r="B21" s="159" t="s">
        <v>131</v>
      </c>
      <c r="C21" s="159" t="s">
        <v>132</v>
      </c>
      <c r="D21" s="160" t="s">
        <v>150</v>
      </c>
      <c r="E21" s="160">
        <v>79346</v>
      </c>
      <c r="F21" s="159">
        <v>0</v>
      </c>
      <c r="G21" s="204" t="s">
        <v>250</v>
      </c>
      <c r="H21" s="204">
        <v>69437905</v>
      </c>
      <c r="I21" s="204" t="s">
        <v>189</v>
      </c>
      <c r="J21" s="133"/>
      <c r="K21" s="49" t="s">
        <v>198</v>
      </c>
      <c r="L21" s="3"/>
      <c r="M21" s="5"/>
      <c r="N21"/>
      <c r="O21"/>
      <c r="P21"/>
      <c r="Q21"/>
      <c r="R21"/>
      <c r="S21" s="53"/>
      <c r="T21" s="53"/>
      <c r="U21" s="53"/>
      <c r="V21" s="53"/>
    </row>
    <row r="22" spans="1:22" x14ac:dyDescent="0.25">
      <c r="A22" s="195" t="s">
        <v>1038</v>
      </c>
      <c r="B22" s="159" t="s">
        <v>131</v>
      </c>
      <c r="C22" s="159" t="s">
        <v>132</v>
      </c>
      <c r="D22" s="160" t="s">
        <v>150</v>
      </c>
      <c r="E22" s="160">
        <v>22170</v>
      </c>
      <c r="F22" s="159">
        <v>0</v>
      </c>
      <c r="G22" s="204" t="s">
        <v>250</v>
      </c>
      <c r="H22" s="204">
        <v>69437904</v>
      </c>
      <c r="I22" s="204" t="s">
        <v>187</v>
      </c>
      <c r="J22" s="133"/>
      <c r="K22" s="49" t="s">
        <v>186</v>
      </c>
      <c r="L22" s="3"/>
      <c r="M22" s="5"/>
      <c r="N22"/>
      <c r="O22"/>
      <c r="P22"/>
      <c r="Q22"/>
      <c r="R22"/>
      <c r="S22" s="53"/>
      <c r="T22" s="53"/>
      <c r="U22" s="53"/>
      <c r="V22" s="53"/>
    </row>
    <row r="23" spans="1:22" x14ac:dyDescent="0.25">
      <c r="A23" s="195" t="s">
        <v>1038</v>
      </c>
      <c r="B23" s="159" t="s">
        <v>131</v>
      </c>
      <c r="C23" s="159" t="s">
        <v>132</v>
      </c>
      <c r="D23" s="160" t="s">
        <v>150</v>
      </c>
      <c r="E23" s="160">
        <v>153128</v>
      </c>
      <c r="F23" s="159">
        <v>0</v>
      </c>
      <c r="G23" s="204" t="s">
        <v>250</v>
      </c>
      <c r="H23" s="204">
        <v>69437903</v>
      </c>
      <c r="I23" s="204" t="s">
        <v>188</v>
      </c>
      <c r="J23" s="133"/>
      <c r="K23" s="49" t="s">
        <v>188</v>
      </c>
      <c r="L23" s="3"/>
      <c r="M23" s="5"/>
      <c r="N23"/>
      <c r="O23"/>
      <c r="P23"/>
      <c r="Q23"/>
      <c r="R23"/>
      <c r="S23" s="53"/>
      <c r="T23" s="53"/>
      <c r="U23" s="53"/>
      <c r="V23" s="53"/>
    </row>
    <row r="24" spans="1:22" x14ac:dyDescent="0.25">
      <c r="A24" s="195" t="s">
        <v>1038</v>
      </c>
      <c r="B24" s="159" t="s">
        <v>131</v>
      </c>
      <c r="C24" s="159" t="s">
        <v>132</v>
      </c>
      <c r="D24" s="160" t="s">
        <v>150</v>
      </c>
      <c r="E24" s="160">
        <v>36011</v>
      </c>
      <c r="F24" s="159">
        <v>0</v>
      </c>
      <c r="G24" s="204" t="s">
        <v>141</v>
      </c>
      <c r="H24" s="204">
        <v>198393</v>
      </c>
      <c r="I24" s="204" t="s">
        <v>186</v>
      </c>
      <c r="J24" s="133"/>
      <c r="K24" s="49" t="s">
        <v>56</v>
      </c>
      <c r="L24" s="19"/>
      <c r="M24" s="5"/>
      <c r="N24" s="19"/>
      <c r="O24" s="19"/>
      <c r="P24" s="19"/>
      <c r="Q24" s="19"/>
      <c r="R24" s="19"/>
      <c r="S24" s="53"/>
      <c r="T24" s="53"/>
      <c r="U24" s="53"/>
      <c r="V24" s="53"/>
    </row>
    <row r="25" spans="1:22" x14ac:dyDescent="0.25">
      <c r="A25" s="195" t="s">
        <v>1040</v>
      </c>
      <c r="B25" s="159" t="s">
        <v>131</v>
      </c>
      <c r="C25" s="159" t="s">
        <v>132</v>
      </c>
      <c r="D25" s="160" t="s">
        <v>150</v>
      </c>
      <c r="E25" s="160">
        <v>6760</v>
      </c>
      <c r="F25" s="159">
        <v>0</v>
      </c>
      <c r="G25" s="204"/>
      <c r="H25" s="204"/>
      <c r="I25" s="204"/>
      <c r="J25" s="133"/>
      <c r="K25" s="49" t="s">
        <v>191</v>
      </c>
      <c r="L25" s="19"/>
      <c r="M25" s="5"/>
      <c r="N25" s="19"/>
      <c r="O25" s="19"/>
      <c r="P25" s="19"/>
      <c r="Q25" s="19"/>
      <c r="R25" s="19"/>
      <c r="S25" s="53"/>
      <c r="T25" s="53"/>
      <c r="U25" s="53"/>
      <c r="V25" s="53"/>
    </row>
    <row r="26" spans="1:22" x14ac:dyDescent="0.25">
      <c r="A26" s="195" t="s">
        <v>1040</v>
      </c>
      <c r="B26" s="159" t="s">
        <v>131</v>
      </c>
      <c r="C26" s="159" t="s">
        <v>132</v>
      </c>
      <c r="D26" s="160" t="s">
        <v>150</v>
      </c>
      <c r="E26" s="160">
        <v>75009</v>
      </c>
      <c r="F26" s="159">
        <v>0</v>
      </c>
      <c r="G26" s="204" t="s">
        <v>141</v>
      </c>
      <c r="H26" s="204">
        <v>198759</v>
      </c>
      <c r="I26" s="204" t="s">
        <v>198</v>
      </c>
      <c r="J26" s="133"/>
      <c r="K26" s="49" t="s">
        <v>68</v>
      </c>
      <c r="L26" s="19"/>
      <c r="M26" s="5"/>
      <c r="N26" s="19"/>
      <c r="O26" s="19"/>
      <c r="P26" s="19"/>
      <c r="Q26" s="19"/>
      <c r="R26" s="19"/>
      <c r="S26" s="53"/>
      <c r="T26" s="53"/>
      <c r="U26" s="53"/>
      <c r="V26" s="53"/>
    </row>
    <row r="27" spans="1:22" x14ac:dyDescent="0.25">
      <c r="A27" s="195" t="s">
        <v>1169</v>
      </c>
      <c r="B27" s="159" t="s">
        <v>131</v>
      </c>
      <c r="C27" s="159" t="s">
        <v>132</v>
      </c>
      <c r="D27" s="160" t="s">
        <v>150</v>
      </c>
      <c r="E27" s="160">
        <v>44980</v>
      </c>
      <c r="F27" s="159">
        <v>0</v>
      </c>
      <c r="G27" s="204" t="s">
        <v>250</v>
      </c>
      <c r="H27" s="204">
        <v>69508772</v>
      </c>
      <c r="I27" s="204" t="s">
        <v>149</v>
      </c>
      <c r="J27" s="133"/>
      <c r="K27" s="49" t="s">
        <v>149</v>
      </c>
      <c r="L27" s="19"/>
      <c r="M27" s="5"/>
      <c r="N27" s="19"/>
      <c r="O27" s="19"/>
      <c r="P27" s="19"/>
      <c r="Q27" s="19"/>
      <c r="R27" s="19"/>
      <c r="S27" s="53"/>
      <c r="T27" s="53"/>
      <c r="U27" s="53"/>
      <c r="V27" s="53"/>
    </row>
    <row r="28" spans="1:22" x14ac:dyDescent="0.25">
      <c r="A28" s="195" t="s">
        <v>1169</v>
      </c>
      <c r="B28" s="159" t="s">
        <v>131</v>
      </c>
      <c r="C28" s="159" t="s">
        <v>132</v>
      </c>
      <c r="D28" s="160" t="s">
        <v>150</v>
      </c>
      <c r="E28" s="160">
        <v>30780</v>
      </c>
      <c r="F28" s="159">
        <v>0</v>
      </c>
      <c r="G28" s="204" t="s">
        <v>250</v>
      </c>
      <c r="H28" s="204">
        <v>69508771</v>
      </c>
      <c r="I28" s="204" t="s">
        <v>187</v>
      </c>
      <c r="J28" s="133"/>
      <c r="K28" s="153"/>
      <c r="L28" s="19"/>
      <c r="M28" s="5"/>
      <c r="N28" s="19"/>
      <c r="O28" s="19"/>
      <c r="P28" s="19"/>
      <c r="Q28" s="19"/>
      <c r="R28" s="19"/>
      <c r="S28" s="53"/>
      <c r="T28" s="53"/>
      <c r="U28" s="53"/>
      <c r="V28" s="53"/>
    </row>
    <row r="29" spans="1:22" x14ac:dyDescent="0.25">
      <c r="A29" s="195" t="s">
        <v>1169</v>
      </c>
      <c r="B29" s="159" t="s">
        <v>131</v>
      </c>
      <c r="C29" s="159" t="s">
        <v>132</v>
      </c>
      <c r="D29" s="160" t="s">
        <v>150</v>
      </c>
      <c r="E29" s="160">
        <v>102648</v>
      </c>
      <c r="F29" s="159">
        <v>0</v>
      </c>
      <c r="G29" s="204" t="s">
        <v>250</v>
      </c>
      <c r="H29" s="204">
        <v>69508770</v>
      </c>
      <c r="I29" s="204" t="s">
        <v>189</v>
      </c>
      <c r="J29" s="133"/>
      <c r="K29" s="153"/>
      <c r="L29" s="19"/>
      <c r="M29" s="5"/>
      <c r="N29" s="19"/>
      <c r="O29" s="19"/>
      <c r="P29" s="19"/>
      <c r="Q29" s="19"/>
      <c r="R29" s="19"/>
      <c r="S29" s="53"/>
      <c r="T29" s="53"/>
      <c r="U29" s="53"/>
      <c r="V29" s="53"/>
    </row>
    <row r="30" spans="1:22" x14ac:dyDescent="0.25">
      <c r="A30" s="195" t="s">
        <v>1169</v>
      </c>
      <c r="B30" s="159" t="s">
        <v>131</v>
      </c>
      <c r="C30" s="159" t="s">
        <v>132</v>
      </c>
      <c r="D30" s="159" t="s">
        <v>150</v>
      </c>
      <c r="E30" s="160">
        <v>223590</v>
      </c>
      <c r="F30" s="159">
        <v>0</v>
      </c>
      <c r="G30" s="204" t="s">
        <v>250</v>
      </c>
      <c r="H30" s="204">
        <v>69508769</v>
      </c>
      <c r="I30" s="204" t="s">
        <v>188</v>
      </c>
      <c r="J30" s="133"/>
      <c r="K30" s="153"/>
      <c r="L30" s="19"/>
      <c r="M30" s="5"/>
      <c r="N30" s="19"/>
      <c r="O30" s="19"/>
      <c r="P30" s="19"/>
      <c r="Q30" s="19"/>
      <c r="R30" s="19"/>
      <c r="S30" s="53"/>
      <c r="T30" s="53"/>
      <c r="U30" s="53"/>
      <c r="V30" s="53"/>
    </row>
    <row r="31" spans="1:22" x14ac:dyDescent="0.25">
      <c r="A31" s="195" t="s">
        <v>1169</v>
      </c>
      <c r="B31" s="159" t="s">
        <v>131</v>
      </c>
      <c r="C31" s="159" t="s">
        <v>132</v>
      </c>
      <c r="D31" s="159" t="s">
        <v>150</v>
      </c>
      <c r="E31" s="160">
        <v>56920</v>
      </c>
      <c r="F31" s="159">
        <v>0</v>
      </c>
      <c r="G31" s="204" t="s">
        <v>1167</v>
      </c>
      <c r="H31" s="204">
        <v>100158109</v>
      </c>
      <c r="I31" s="204"/>
      <c r="J31" s="133"/>
      <c r="K31" s="153"/>
      <c r="L31" s="19"/>
      <c r="M31" s="5"/>
      <c r="N31" s="19"/>
      <c r="O31" s="19"/>
      <c r="P31" s="19"/>
      <c r="Q31" s="19"/>
      <c r="R31" s="19"/>
      <c r="S31" s="53"/>
      <c r="T31" s="53"/>
      <c r="U31" s="53"/>
      <c r="V31" s="53"/>
    </row>
    <row r="32" spans="1:22" s="110" customFormat="1" x14ac:dyDescent="0.25">
      <c r="A32" s="195" t="s">
        <v>1169</v>
      </c>
      <c r="B32" s="159" t="s">
        <v>131</v>
      </c>
      <c r="C32" s="159" t="s">
        <v>132</v>
      </c>
      <c r="D32" s="159" t="s">
        <v>150</v>
      </c>
      <c r="E32" s="160">
        <v>92400</v>
      </c>
      <c r="F32" s="159">
        <v>0</v>
      </c>
      <c r="G32" s="204" t="s">
        <v>645</v>
      </c>
      <c r="H32" s="204">
        <v>41539</v>
      </c>
      <c r="I32" s="204" t="s">
        <v>188</v>
      </c>
      <c r="J32" s="133"/>
      <c r="K32" s="153"/>
      <c r="M32" s="5"/>
      <c r="S32" s="53"/>
      <c r="T32" s="53"/>
      <c r="U32" s="53"/>
      <c r="V32" s="53"/>
    </row>
    <row r="33" spans="1:22" s="110" customFormat="1" x14ac:dyDescent="0.25">
      <c r="A33" s="195" t="s">
        <v>1169</v>
      </c>
      <c r="B33" s="136" t="s">
        <v>131</v>
      </c>
      <c r="C33" s="162" t="s">
        <v>132</v>
      </c>
      <c r="D33" s="163" t="s">
        <v>150</v>
      </c>
      <c r="E33" s="160">
        <v>30400</v>
      </c>
      <c r="F33" s="159">
        <v>0</v>
      </c>
      <c r="G33" s="204" t="s">
        <v>250</v>
      </c>
      <c r="H33" s="204">
        <v>41540</v>
      </c>
      <c r="I33" s="204" t="s">
        <v>188</v>
      </c>
      <c r="J33" s="133"/>
      <c r="K33" s="153"/>
      <c r="M33" s="5"/>
      <c r="S33" s="53"/>
      <c r="T33" s="53"/>
      <c r="U33" s="53"/>
      <c r="V33" s="53"/>
    </row>
    <row r="34" spans="1:22" s="110" customFormat="1" x14ac:dyDescent="0.25">
      <c r="A34" s="195" t="s">
        <v>1044</v>
      </c>
      <c r="B34" s="136" t="s">
        <v>131</v>
      </c>
      <c r="C34" s="162" t="s">
        <v>132</v>
      </c>
      <c r="D34" s="163" t="s">
        <v>150</v>
      </c>
      <c r="E34" s="160">
        <v>31000</v>
      </c>
      <c r="F34" s="159">
        <v>0</v>
      </c>
      <c r="G34" s="204" t="s">
        <v>141</v>
      </c>
      <c r="H34" s="204">
        <v>121414</v>
      </c>
      <c r="I34" s="204" t="s">
        <v>186</v>
      </c>
      <c r="J34" s="133"/>
      <c r="K34" s="153"/>
      <c r="M34" s="5"/>
      <c r="S34" s="53"/>
      <c r="T34" s="53"/>
      <c r="U34" s="53"/>
      <c r="V34" s="53"/>
    </row>
    <row r="35" spans="1:22" s="110" customFormat="1" x14ac:dyDescent="0.25">
      <c r="A35" s="195" t="s">
        <v>1044</v>
      </c>
      <c r="B35" s="136" t="s">
        <v>131</v>
      </c>
      <c r="C35" s="162" t="s">
        <v>132</v>
      </c>
      <c r="D35" s="151" t="s">
        <v>150</v>
      </c>
      <c r="E35" s="160">
        <v>41274</v>
      </c>
      <c r="F35" s="159">
        <v>0</v>
      </c>
      <c r="G35" s="204" t="s">
        <v>250</v>
      </c>
      <c r="H35" s="204">
        <v>11959489</v>
      </c>
      <c r="I35" s="204" t="s">
        <v>149</v>
      </c>
      <c r="J35" s="133"/>
      <c r="K35" s="153"/>
      <c r="M35" s="5"/>
      <c r="S35" s="53"/>
      <c r="T35" s="53"/>
      <c r="U35" s="53"/>
      <c r="V35" s="53"/>
    </row>
    <row r="36" spans="1:22" s="110" customFormat="1" x14ac:dyDescent="0.25">
      <c r="A36" s="195" t="s">
        <v>1044</v>
      </c>
      <c r="B36" s="136" t="s">
        <v>131</v>
      </c>
      <c r="C36" s="162" t="s">
        <v>132</v>
      </c>
      <c r="D36" s="151" t="s">
        <v>150</v>
      </c>
      <c r="E36" s="160">
        <v>125770</v>
      </c>
      <c r="F36" s="159">
        <v>0</v>
      </c>
      <c r="G36" s="204" t="s">
        <v>358</v>
      </c>
      <c r="H36" s="204">
        <v>3491552</v>
      </c>
      <c r="I36" s="204" t="s">
        <v>191</v>
      </c>
      <c r="J36" s="133"/>
      <c r="K36" s="153"/>
      <c r="M36" s="5"/>
      <c r="S36" s="53"/>
      <c r="T36" s="53"/>
      <c r="U36" s="53"/>
      <c r="V36" s="53"/>
    </row>
    <row r="37" spans="1:22" s="110" customFormat="1" x14ac:dyDescent="0.25">
      <c r="A37" s="195" t="s">
        <v>1044</v>
      </c>
      <c r="B37" s="136" t="s">
        <v>131</v>
      </c>
      <c r="C37" s="162" t="s">
        <v>132</v>
      </c>
      <c r="D37" s="151" t="s">
        <v>150</v>
      </c>
      <c r="E37" s="160">
        <v>132413</v>
      </c>
      <c r="F37" s="159">
        <v>0</v>
      </c>
      <c r="G37" s="204" t="s">
        <v>250</v>
      </c>
      <c r="H37" s="204">
        <v>69521293</v>
      </c>
      <c r="I37" s="204" t="s">
        <v>187</v>
      </c>
      <c r="J37" s="133"/>
      <c r="K37" s="153"/>
      <c r="M37" s="5"/>
      <c r="S37" s="53"/>
      <c r="T37" s="53"/>
      <c r="U37" s="53"/>
      <c r="V37" s="53"/>
    </row>
    <row r="38" spans="1:22" s="110" customFormat="1" x14ac:dyDescent="0.25">
      <c r="A38" s="195" t="s">
        <v>1044</v>
      </c>
      <c r="B38" s="136" t="s">
        <v>131</v>
      </c>
      <c r="C38" s="162" t="s">
        <v>132</v>
      </c>
      <c r="D38" s="151" t="s">
        <v>150</v>
      </c>
      <c r="E38" s="160">
        <v>68700</v>
      </c>
      <c r="F38" s="159">
        <v>0</v>
      </c>
      <c r="G38" s="204" t="s">
        <v>273</v>
      </c>
      <c r="H38" s="204">
        <v>100222480</v>
      </c>
      <c r="I38" s="204" t="s">
        <v>56</v>
      </c>
      <c r="J38" s="133"/>
      <c r="K38" s="153"/>
      <c r="M38" s="5"/>
      <c r="S38" s="53"/>
      <c r="T38" s="53"/>
      <c r="U38" s="53"/>
      <c r="V38" s="53"/>
    </row>
    <row r="39" spans="1:22" s="110" customFormat="1" x14ac:dyDescent="0.25">
      <c r="A39" s="195" t="s">
        <v>1044</v>
      </c>
      <c r="B39" s="136" t="s">
        <v>131</v>
      </c>
      <c r="C39" s="162" t="s">
        <v>132</v>
      </c>
      <c r="D39" s="151" t="s">
        <v>150</v>
      </c>
      <c r="E39" s="160">
        <v>102642</v>
      </c>
      <c r="F39" s="159">
        <v>0</v>
      </c>
      <c r="G39" s="204" t="s">
        <v>646</v>
      </c>
      <c r="H39" s="204">
        <v>20684673</v>
      </c>
      <c r="I39" s="204" t="s">
        <v>56</v>
      </c>
      <c r="J39" s="133"/>
      <c r="K39" s="153"/>
      <c r="M39" s="5"/>
      <c r="S39" s="53"/>
      <c r="T39" s="53"/>
      <c r="U39" s="53"/>
      <c r="V39" s="53"/>
    </row>
    <row r="40" spans="1:22" s="110" customFormat="1" x14ac:dyDescent="0.25">
      <c r="A40" s="195" t="s">
        <v>1044</v>
      </c>
      <c r="B40" s="136" t="s">
        <v>580</v>
      </c>
      <c r="C40" s="162" t="s">
        <v>127</v>
      </c>
      <c r="D40" s="151" t="s">
        <v>150</v>
      </c>
      <c r="E40" s="160">
        <v>7000</v>
      </c>
      <c r="F40" s="159">
        <v>0</v>
      </c>
      <c r="G40" s="204" t="s">
        <v>1170</v>
      </c>
      <c r="H40" s="204">
        <v>116886</v>
      </c>
      <c r="I40" s="204" t="s">
        <v>191</v>
      </c>
      <c r="J40" s="133"/>
      <c r="K40" s="153"/>
      <c r="M40" s="5"/>
      <c r="S40" s="53"/>
      <c r="T40" s="53"/>
      <c r="U40" s="53"/>
      <c r="V40" s="53"/>
    </row>
    <row r="41" spans="1:22" s="110" customFormat="1" x14ac:dyDescent="0.25">
      <c r="A41" s="195" t="s">
        <v>1046</v>
      </c>
      <c r="B41" s="136" t="s">
        <v>131</v>
      </c>
      <c r="C41" s="162" t="s">
        <v>132</v>
      </c>
      <c r="D41" s="151" t="s">
        <v>150</v>
      </c>
      <c r="E41" s="160">
        <v>103510</v>
      </c>
      <c r="F41" s="159">
        <v>0</v>
      </c>
      <c r="G41" s="204" t="s">
        <v>645</v>
      </c>
      <c r="H41" s="204" t="s">
        <v>1171</v>
      </c>
      <c r="I41" s="204" t="s">
        <v>188</v>
      </c>
      <c r="J41" s="133"/>
      <c r="K41" s="153"/>
      <c r="M41" s="5"/>
      <c r="S41" s="53"/>
      <c r="T41" s="53"/>
      <c r="U41" s="53"/>
      <c r="V41" s="53"/>
    </row>
    <row r="42" spans="1:22" s="110" customFormat="1" x14ac:dyDescent="0.25">
      <c r="A42" s="195" t="s">
        <v>1047</v>
      </c>
      <c r="B42" s="136" t="s">
        <v>131</v>
      </c>
      <c r="C42" s="162" t="s">
        <v>132</v>
      </c>
      <c r="D42" s="151" t="s">
        <v>150</v>
      </c>
      <c r="E42" s="160">
        <v>78971</v>
      </c>
      <c r="F42" s="136">
        <v>0</v>
      </c>
      <c r="G42" s="204" t="s">
        <v>141</v>
      </c>
      <c r="H42" s="204">
        <v>768428107</v>
      </c>
      <c r="I42" s="204" t="s">
        <v>198</v>
      </c>
      <c r="J42" s="133"/>
      <c r="K42" s="153"/>
      <c r="M42" s="5"/>
      <c r="S42" s="53"/>
      <c r="T42" s="53"/>
      <c r="U42" s="53"/>
      <c r="V42" s="53"/>
    </row>
    <row r="43" spans="1:22" s="110" customFormat="1" x14ac:dyDescent="0.25">
      <c r="A43" s="195" t="s">
        <v>1047</v>
      </c>
      <c r="B43" s="136" t="s">
        <v>131</v>
      </c>
      <c r="C43" s="162" t="s">
        <v>132</v>
      </c>
      <c r="D43" s="151" t="s">
        <v>150</v>
      </c>
      <c r="E43" s="160">
        <v>36650</v>
      </c>
      <c r="F43" s="136">
        <v>0</v>
      </c>
      <c r="G43" s="204" t="s">
        <v>190</v>
      </c>
      <c r="H43" s="204">
        <v>11972182</v>
      </c>
      <c r="I43" s="204" t="s">
        <v>149</v>
      </c>
      <c r="J43" s="133"/>
      <c r="K43" s="153"/>
      <c r="M43" s="5"/>
      <c r="S43" s="53"/>
      <c r="T43" s="53"/>
      <c r="U43" s="53"/>
      <c r="V43" s="53"/>
    </row>
    <row r="44" spans="1:22" s="110" customFormat="1" x14ac:dyDescent="0.25">
      <c r="A44" s="195" t="s">
        <v>1047</v>
      </c>
      <c r="B44" s="136" t="s">
        <v>131</v>
      </c>
      <c r="C44" s="162" t="s">
        <v>132</v>
      </c>
      <c r="D44" s="151" t="s">
        <v>150</v>
      </c>
      <c r="E44" s="163">
        <v>29380</v>
      </c>
      <c r="F44" s="136">
        <v>0</v>
      </c>
      <c r="G44" s="204" t="s">
        <v>646</v>
      </c>
      <c r="H44" s="204">
        <v>20699334</v>
      </c>
      <c r="I44" s="204" t="s">
        <v>56</v>
      </c>
      <c r="J44" s="133"/>
      <c r="K44" s="153"/>
      <c r="M44" s="5"/>
      <c r="S44" s="53"/>
      <c r="T44" s="53"/>
      <c r="U44" s="53"/>
      <c r="V44" s="53"/>
    </row>
    <row r="45" spans="1:22" s="110" customFormat="1" x14ac:dyDescent="0.25">
      <c r="A45" s="195" t="s">
        <v>1047</v>
      </c>
      <c r="B45" s="136" t="s">
        <v>131</v>
      </c>
      <c r="C45" s="162" t="s">
        <v>132</v>
      </c>
      <c r="D45" s="151" t="s">
        <v>150</v>
      </c>
      <c r="E45" s="163">
        <v>68461</v>
      </c>
      <c r="F45" s="136">
        <v>0</v>
      </c>
      <c r="G45" s="204" t="s">
        <v>250</v>
      </c>
      <c r="H45" s="204">
        <v>69521680</v>
      </c>
      <c r="I45" s="204" t="s">
        <v>189</v>
      </c>
      <c r="J45" s="133"/>
      <c r="K45" s="153"/>
      <c r="M45" s="5"/>
      <c r="S45" s="53"/>
      <c r="T45" s="53"/>
      <c r="U45" s="53"/>
      <c r="V45" s="53"/>
    </row>
    <row r="46" spans="1:22" s="110" customFormat="1" x14ac:dyDescent="0.25">
      <c r="A46" s="195" t="s">
        <v>1047</v>
      </c>
      <c r="B46" s="136" t="s">
        <v>131</v>
      </c>
      <c r="C46" s="162" t="s">
        <v>132</v>
      </c>
      <c r="D46" s="151" t="s">
        <v>150</v>
      </c>
      <c r="E46" s="163">
        <v>196962</v>
      </c>
      <c r="F46" s="136">
        <v>0</v>
      </c>
      <c r="G46" s="204" t="s">
        <v>250</v>
      </c>
      <c r="H46" s="204">
        <v>69521679</v>
      </c>
      <c r="I46" s="204" t="s">
        <v>188</v>
      </c>
      <c r="J46" s="133"/>
      <c r="K46" s="153"/>
      <c r="M46" s="5"/>
      <c r="S46" s="53"/>
      <c r="T46" s="53"/>
      <c r="U46" s="53"/>
      <c r="V46" s="53"/>
    </row>
    <row r="47" spans="1:22" s="110" customFormat="1" x14ac:dyDescent="0.25">
      <c r="A47" s="195"/>
      <c r="B47" s="159"/>
      <c r="C47" s="159"/>
      <c r="D47" s="160"/>
      <c r="E47" s="160"/>
      <c r="F47" s="159"/>
      <c r="G47" s="204"/>
      <c r="H47" s="204"/>
      <c r="I47" s="204"/>
      <c r="J47" s="133"/>
      <c r="M47" s="5"/>
      <c r="S47" s="53"/>
      <c r="T47" s="53"/>
      <c r="U47" s="53"/>
      <c r="V47" s="53"/>
    </row>
    <row r="48" spans="1:22" s="110" customFormat="1" x14ac:dyDescent="0.25">
      <c r="A48" s="195"/>
      <c r="B48" s="159"/>
      <c r="C48" s="159"/>
      <c r="D48" s="160"/>
      <c r="E48" s="160"/>
      <c r="F48" s="159"/>
      <c r="G48" s="204"/>
      <c r="H48" s="204"/>
      <c r="I48" s="204"/>
      <c r="J48" s="133"/>
      <c r="M48" s="5"/>
      <c r="S48" s="53"/>
      <c r="T48" s="53"/>
      <c r="U48" s="53"/>
      <c r="V48" s="53"/>
    </row>
    <row r="49" spans="1:22" s="110" customFormat="1" x14ac:dyDescent="0.25">
      <c r="A49" s="195"/>
      <c r="B49" s="159"/>
      <c r="C49" s="159"/>
      <c r="D49" s="160"/>
      <c r="E49" s="160"/>
      <c r="F49" s="159"/>
      <c r="G49" s="204"/>
      <c r="H49" s="204"/>
      <c r="I49" s="204"/>
      <c r="J49" s="133"/>
      <c r="M49" s="5"/>
      <c r="S49" s="53"/>
      <c r="T49" s="53"/>
      <c r="U49" s="53"/>
      <c r="V49" s="53"/>
    </row>
    <row r="50" spans="1:22" s="110" customFormat="1" x14ac:dyDescent="0.25">
      <c r="A50" s="195"/>
      <c r="B50" s="159"/>
      <c r="C50" s="159"/>
      <c r="D50" s="160"/>
      <c r="E50" s="160"/>
      <c r="F50" s="159"/>
      <c r="G50" s="204"/>
      <c r="H50" s="204"/>
      <c r="I50" s="204"/>
      <c r="J50" s="133"/>
      <c r="M50" s="5"/>
      <c r="S50" s="53"/>
      <c r="T50" s="53"/>
      <c r="U50" s="53"/>
      <c r="V50" s="53"/>
    </row>
    <row r="51" spans="1:22" s="110" customFormat="1" x14ac:dyDescent="0.25">
      <c r="A51" s="195"/>
      <c r="B51" s="136"/>
      <c r="C51" s="162"/>
      <c r="D51" s="163"/>
      <c r="E51" s="163"/>
      <c r="F51" s="136"/>
      <c r="G51" s="204"/>
      <c r="H51" s="204"/>
      <c r="I51" s="204"/>
      <c r="J51" s="133"/>
      <c r="M51" s="5"/>
      <c r="S51" s="53"/>
      <c r="T51" s="53"/>
      <c r="U51" s="53"/>
      <c r="V51" s="53"/>
    </row>
    <row r="52" spans="1:22" s="110" customFormat="1" x14ac:dyDescent="0.25">
      <c r="A52" s="195"/>
      <c r="B52" s="136"/>
      <c r="C52" s="162"/>
      <c r="D52" s="163"/>
      <c r="E52" s="163"/>
      <c r="F52" s="136"/>
      <c r="G52" s="204"/>
      <c r="H52" s="204"/>
      <c r="I52" s="204"/>
      <c r="J52" s="133"/>
      <c r="M52" s="5"/>
      <c r="S52" s="53"/>
      <c r="T52" s="53"/>
      <c r="U52" s="53"/>
      <c r="V52" s="53"/>
    </row>
    <row r="53" spans="1:22" s="110" customFormat="1" x14ac:dyDescent="0.25">
      <c r="A53" s="195"/>
      <c r="B53" s="136"/>
      <c r="C53" s="162"/>
      <c r="D53" s="62"/>
      <c r="E53" s="163"/>
      <c r="F53" s="136"/>
      <c r="G53" s="204"/>
      <c r="H53" s="204"/>
      <c r="I53" s="204"/>
      <c r="J53" s="133"/>
      <c r="M53" s="5"/>
      <c r="S53" s="53"/>
      <c r="T53" s="53"/>
      <c r="U53" s="53"/>
      <c r="V53" s="53"/>
    </row>
    <row r="54" spans="1:22" s="110" customFormat="1" x14ac:dyDescent="0.25">
      <c r="A54" s="195"/>
      <c r="B54" s="136"/>
      <c r="C54" s="162"/>
      <c r="D54" s="62"/>
      <c r="E54" s="163"/>
      <c r="F54" s="136"/>
      <c r="G54" s="204"/>
      <c r="H54" s="204"/>
      <c r="I54" s="204"/>
      <c r="J54" s="133"/>
      <c r="M54" s="5"/>
      <c r="S54" s="53"/>
      <c r="T54" s="53"/>
      <c r="U54" s="53"/>
      <c r="V54" s="53"/>
    </row>
    <row r="55" spans="1:22" s="110" customFormat="1" x14ac:dyDescent="0.25">
      <c r="A55" s="195"/>
      <c r="B55" s="136"/>
      <c r="C55" s="162"/>
      <c r="D55" s="62"/>
      <c r="E55" s="163"/>
      <c r="F55" s="136"/>
      <c r="G55" s="204"/>
      <c r="H55" s="204"/>
      <c r="I55" s="204"/>
      <c r="J55" s="133"/>
      <c r="M55" s="5"/>
      <c r="S55" s="53"/>
      <c r="T55" s="53"/>
      <c r="U55" s="53"/>
      <c r="V55" s="53"/>
    </row>
    <row r="56" spans="1:22" s="110" customFormat="1" x14ac:dyDescent="0.25">
      <c r="A56" s="195"/>
      <c r="B56" s="136"/>
      <c r="C56" s="162"/>
      <c r="D56" s="62"/>
      <c r="E56" s="163"/>
      <c r="F56" s="136"/>
      <c r="G56" s="204"/>
      <c r="H56" s="204"/>
      <c r="I56" s="204"/>
      <c r="J56" s="133"/>
      <c r="M56" s="5"/>
      <c r="S56" s="53"/>
      <c r="T56" s="53"/>
      <c r="U56" s="53"/>
      <c r="V56" s="53"/>
    </row>
    <row r="57" spans="1:22" s="110" customFormat="1" x14ac:dyDescent="0.25">
      <c r="A57" s="282" t="s">
        <v>1030</v>
      </c>
      <c r="B57" s="204" t="s">
        <v>123</v>
      </c>
      <c r="C57" s="204" t="s">
        <v>278</v>
      </c>
      <c r="D57" s="204" t="s">
        <v>150</v>
      </c>
      <c r="E57" s="283">
        <v>0</v>
      </c>
      <c r="F57" s="284">
        <v>2800000</v>
      </c>
      <c r="G57" s="204"/>
      <c r="H57" s="204"/>
      <c r="I57" s="204"/>
      <c r="J57" s="133"/>
      <c r="M57" s="5"/>
      <c r="S57" s="53"/>
      <c r="T57" s="53"/>
      <c r="U57" s="53"/>
      <c r="V57" s="53"/>
    </row>
    <row r="58" spans="1:22" s="110" customFormat="1" x14ac:dyDescent="0.25">
      <c r="A58" s="282" t="s">
        <v>1037</v>
      </c>
      <c r="B58" s="204" t="s">
        <v>123</v>
      </c>
      <c r="C58" s="204" t="s">
        <v>278</v>
      </c>
      <c r="D58" s="204" t="s">
        <v>150</v>
      </c>
      <c r="E58" s="283">
        <v>0</v>
      </c>
      <c r="F58" s="284">
        <v>390000</v>
      </c>
      <c r="G58" s="204"/>
      <c r="H58" s="204"/>
      <c r="I58" s="204"/>
      <c r="J58" s="133"/>
      <c r="M58" s="5"/>
      <c r="S58" s="53"/>
      <c r="T58" s="53"/>
      <c r="U58" s="53"/>
      <c r="V58" s="53"/>
    </row>
    <row r="59" spans="1:22" s="110" customFormat="1" x14ac:dyDescent="0.25">
      <c r="A59" s="282" t="s">
        <v>1046</v>
      </c>
      <c r="B59" s="204" t="s">
        <v>123</v>
      </c>
      <c r="C59" s="204" t="s">
        <v>278</v>
      </c>
      <c r="D59" s="204" t="s">
        <v>150</v>
      </c>
      <c r="E59" s="283">
        <v>0</v>
      </c>
      <c r="F59" s="284">
        <v>600000</v>
      </c>
      <c r="G59" s="204"/>
      <c r="H59" s="204"/>
      <c r="I59" s="204"/>
      <c r="J59" s="133"/>
      <c r="M59" s="5"/>
      <c r="S59" s="53"/>
      <c r="T59" s="53"/>
      <c r="U59" s="53"/>
      <c r="V59" s="53"/>
    </row>
    <row r="60" spans="1:22" s="110" customFormat="1" x14ac:dyDescent="0.25">
      <c r="A60" s="195"/>
      <c r="B60" s="136"/>
      <c r="C60" s="162"/>
      <c r="D60" s="62"/>
      <c r="E60" s="163"/>
      <c r="F60" s="136"/>
      <c r="G60" s="204"/>
      <c r="H60" s="204"/>
      <c r="I60" s="204"/>
      <c r="J60" s="133"/>
      <c r="M60" s="5"/>
      <c r="S60" s="53"/>
      <c r="T60" s="53"/>
      <c r="U60" s="53"/>
      <c r="V60" s="53"/>
    </row>
    <row r="61" spans="1:22" s="110" customFormat="1" x14ac:dyDescent="0.25">
      <c r="A61" s="136"/>
      <c r="B61" s="136"/>
      <c r="C61" s="162"/>
      <c r="D61" s="62"/>
      <c r="E61" s="163"/>
      <c r="F61" s="136"/>
      <c r="G61" s="204"/>
      <c r="H61" s="204"/>
      <c r="I61" s="204"/>
      <c r="J61" s="133"/>
      <c r="M61" s="5"/>
      <c r="S61" s="53"/>
      <c r="T61" s="53"/>
      <c r="U61" s="53"/>
      <c r="V61" s="53"/>
    </row>
    <row r="62" spans="1:22" s="110" customFormat="1" x14ac:dyDescent="0.25">
      <c r="A62" s="162" t="s">
        <v>1033</v>
      </c>
      <c r="B62" s="136" t="s">
        <v>131</v>
      </c>
      <c r="C62" s="162" t="s">
        <v>151</v>
      </c>
      <c r="D62" s="163" t="s">
        <v>150</v>
      </c>
      <c r="E62" s="163">
        <v>30000</v>
      </c>
      <c r="F62" s="136">
        <v>0</v>
      </c>
      <c r="G62" s="204"/>
      <c r="H62" s="204"/>
      <c r="I62" s="204"/>
      <c r="J62" s="133"/>
      <c r="M62" s="5"/>
      <c r="S62" s="53"/>
      <c r="T62" s="53"/>
      <c r="U62" s="53"/>
      <c r="V62" s="53"/>
    </row>
    <row r="63" spans="1:22" s="110" customFormat="1" x14ac:dyDescent="0.25">
      <c r="A63" s="162" t="s">
        <v>1035</v>
      </c>
      <c r="B63" s="136" t="s">
        <v>131</v>
      </c>
      <c r="C63" s="162" t="s">
        <v>151</v>
      </c>
      <c r="D63" s="163" t="s">
        <v>150</v>
      </c>
      <c r="E63" s="163">
        <v>30000</v>
      </c>
      <c r="F63" s="136">
        <v>0</v>
      </c>
      <c r="G63" s="204"/>
      <c r="H63" s="204"/>
      <c r="I63" s="204"/>
      <c r="J63" s="133"/>
      <c r="M63" s="5"/>
      <c r="S63" s="53"/>
      <c r="T63" s="53"/>
      <c r="U63" s="53"/>
      <c r="V63" s="53"/>
    </row>
    <row r="64" spans="1:22" s="110" customFormat="1" x14ac:dyDescent="0.25">
      <c r="A64" s="162" t="s">
        <v>1038</v>
      </c>
      <c r="B64" s="136" t="s">
        <v>131</v>
      </c>
      <c r="C64" s="162" t="s">
        <v>151</v>
      </c>
      <c r="D64" s="163" t="s">
        <v>150</v>
      </c>
      <c r="E64" s="163">
        <v>100000</v>
      </c>
      <c r="F64" s="136">
        <v>0</v>
      </c>
      <c r="G64" s="204"/>
      <c r="H64" s="204"/>
      <c r="I64" s="204"/>
      <c r="J64" s="133"/>
      <c r="M64" s="5"/>
      <c r="S64" s="53"/>
      <c r="T64" s="53"/>
      <c r="U64" s="53"/>
      <c r="V64" s="53"/>
    </row>
    <row r="65" spans="1:22" s="110" customFormat="1" x14ac:dyDescent="0.25">
      <c r="A65" s="162" t="s">
        <v>1040</v>
      </c>
      <c r="B65" s="136" t="s">
        <v>131</v>
      </c>
      <c r="C65" s="162" t="s">
        <v>151</v>
      </c>
      <c r="D65" s="163" t="s">
        <v>150</v>
      </c>
      <c r="E65" s="163">
        <v>100000</v>
      </c>
      <c r="F65" s="136">
        <v>0</v>
      </c>
      <c r="G65" s="204"/>
      <c r="H65" s="204"/>
      <c r="I65" s="204"/>
      <c r="J65" s="133"/>
      <c r="M65" s="5"/>
      <c r="S65" s="53"/>
      <c r="T65" s="53"/>
      <c r="U65" s="53"/>
      <c r="V65" s="53"/>
    </row>
    <row r="66" spans="1:22" s="110" customFormat="1" x14ac:dyDescent="0.25">
      <c r="A66" s="162" t="s">
        <v>1043</v>
      </c>
      <c r="B66" s="136" t="s">
        <v>131</v>
      </c>
      <c r="C66" s="162" t="s">
        <v>151</v>
      </c>
      <c r="D66" s="163" t="s">
        <v>150</v>
      </c>
      <c r="E66" s="163">
        <v>40000</v>
      </c>
      <c r="F66" s="136">
        <v>0</v>
      </c>
      <c r="G66" s="204"/>
      <c r="H66" s="204"/>
      <c r="I66" s="204"/>
      <c r="J66" s="133"/>
      <c r="M66" s="5"/>
      <c r="S66" s="53"/>
      <c r="T66" s="53"/>
      <c r="U66" s="53"/>
      <c r="V66" s="53"/>
    </row>
    <row r="67" spans="1:22" s="110" customFormat="1" x14ac:dyDescent="0.25">
      <c r="A67" s="162" t="s">
        <v>1044</v>
      </c>
      <c r="B67" s="136" t="s">
        <v>131</v>
      </c>
      <c r="C67" s="162" t="s">
        <v>151</v>
      </c>
      <c r="D67" s="163" t="s">
        <v>150</v>
      </c>
      <c r="E67" s="163">
        <v>40000</v>
      </c>
      <c r="F67" s="136">
        <v>0</v>
      </c>
      <c r="G67" s="204"/>
      <c r="H67" s="204"/>
      <c r="I67" s="204"/>
      <c r="J67" s="133"/>
      <c r="M67" s="5"/>
      <c r="S67" s="53"/>
      <c r="T67" s="53"/>
      <c r="U67" s="53"/>
      <c r="V67" s="53"/>
    </row>
    <row r="68" spans="1:22" s="110" customFormat="1" x14ac:dyDescent="0.25">
      <c r="A68" s="162"/>
      <c r="B68" s="136"/>
      <c r="C68" s="162"/>
      <c r="D68" s="163"/>
      <c r="E68" s="163"/>
      <c r="F68" s="136"/>
      <c r="G68" s="204"/>
      <c r="H68" s="204"/>
      <c r="I68" s="204"/>
      <c r="J68" s="133"/>
      <c r="M68" s="5"/>
      <c r="S68" s="53"/>
      <c r="T68" s="53"/>
      <c r="U68" s="53"/>
      <c r="V68" s="53"/>
    </row>
    <row r="69" spans="1:22" s="110" customFormat="1" x14ac:dyDescent="0.25">
      <c r="A69" s="136"/>
      <c r="B69" s="136"/>
      <c r="C69" s="162"/>
      <c r="D69" s="151"/>
      <c r="E69" s="163"/>
      <c r="F69" s="136"/>
      <c r="G69" s="204"/>
      <c r="H69" s="204"/>
      <c r="I69" s="204"/>
      <c r="J69" s="133"/>
      <c r="M69" s="5"/>
      <c r="S69" s="53"/>
      <c r="T69" s="53"/>
      <c r="U69" s="53"/>
      <c r="V69" s="53"/>
    </row>
    <row r="70" spans="1:22" s="110" customFormat="1" x14ac:dyDescent="0.25">
      <c r="A70" s="136"/>
      <c r="B70" s="136"/>
      <c r="C70" s="162"/>
      <c r="D70" s="151"/>
      <c r="E70" s="163"/>
      <c r="F70" s="136"/>
      <c r="G70" s="204"/>
      <c r="H70" s="204"/>
      <c r="I70" s="204"/>
      <c r="J70" s="133"/>
      <c r="M70" s="5"/>
      <c r="S70" s="53"/>
      <c r="T70" s="53"/>
      <c r="U70" s="53"/>
      <c r="V70" s="53"/>
    </row>
    <row r="71" spans="1:22" s="110" customFormat="1" x14ac:dyDescent="0.25">
      <c r="A71" s="136"/>
      <c r="B71" s="136"/>
      <c r="C71" s="162"/>
      <c r="D71" s="151"/>
      <c r="E71" s="163"/>
      <c r="F71" s="136"/>
      <c r="G71" s="204"/>
      <c r="H71" s="204"/>
      <c r="I71" s="204"/>
      <c r="J71" s="133"/>
      <c r="M71" s="5"/>
      <c r="S71" s="53"/>
      <c r="T71" s="53"/>
      <c r="U71" s="53"/>
      <c r="V71" s="53"/>
    </row>
    <row r="72" spans="1:22" s="110" customFormat="1" x14ac:dyDescent="0.25">
      <c r="A72" s="136"/>
      <c r="B72" s="136"/>
      <c r="C72" s="162"/>
      <c r="D72" s="151"/>
      <c r="E72" s="163"/>
      <c r="F72" s="136"/>
      <c r="G72" s="204"/>
      <c r="H72" s="204"/>
      <c r="I72" s="204"/>
      <c r="J72" s="133"/>
      <c r="M72" s="5"/>
      <c r="S72" s="53"/>
      <c r="T72" s="53"/>
      <c r="U72" s="53"/>
      <c r="V72" s="53"/>
    </row>
    <row r="73" spans="1:22" s="110" customFormat="1" x14ac:dyDescent="0.25">
      <c r="A73" s="136"/>
      <c r="B73" s="136"/>
      <c r="C73" s="162"/>
      <c r="D73" s="151"/>
      <c r="E73" s="163"/>
      <c r="F73" s="136"/>
      <c r="G73" s="204"/>
      <c r="H73" s="204"/>
      <c r="I73" s="204"/>
      <c r="J73" s="133"/>
      <c r="K73" s="5"/>
      <c r="M73" s="5"/>
      <c r="S73" s="53"/>
      <c r="T73" s="53"/>
      <c r="U73" s="53"/>
      <c r="V73" s="53"/>
    </row>
    <row r="74" spans="1:22" s="110" customFormat="1" x14ac:dyDescent="0.25">
      <c r="A74" s="136"/>
      <c r="B74" s="136"/>
      <c r="C74" s="162"/>
      <c r="D74" s="151"/>
      <c r="E74" s="163"/>
      <c r="F74" s="136"/>
      <c r="G74" s="204"/>
      <c r="H74" s="204"/>
      <c r="I74" s="204"/>
      <c r="J74" s="133"/>
      <c r="K74" s="5"/>
      <c r="M74" s="5"/>
      <c r="S74" s="53"/>
      <c r="T74" s="53"/>
      <c r="U74" s="53"/>
      <c r="V74" s="53"/>
    </row>
    <row r="75" spans="1:22" s="110" customFormat="1" x14ac:dyDescent="0.25">
      <c r="A75" s="136"/>
      <c r="B75" s="136"/>
      <c r="C75" s="162"/>
      <c r="D75" s="151"/>
      <c r="E75" s="163"/>
      <c r="F75" s="136"/>
      <c r="G75" s="204"/>
      <c r="H75" s="204"/>
      <c r="I75" s="204"/>
      <c r="J75" s="133"/>
      <c r="K75" s="5"/>
      <c r="M75" s="5"/>
      <c r="S75" s="53"/>
      <c r="T75" s="53"/>
      <c r="U75" s="53"/>
      <c r="V75" s="53"/>
    </row>
    <row r="76" spans="1:22" s="110" customFormat="1" x14ac:dyDescent="0.25">
      <c r="A76" s="263"/>
      <c r="B76" s="263"/>
      <c r="C76" s="264"/>
      <c r="D76" s="265">
        <f>SUM(D62:D75)</f>
        <v>0</v>
      </c>
      <c r="E76" s="266">
        <f>SUM(E2:E75)</f>
        <v>3728847</v>
      </c>
      <c r="F76" s="266">
        <f>SUM(F2:F75)</f>
        <v>3790000</v>
      </c>
      <c r="G76" s="267"/>
      <c r="H76" s="267"/>
      <c r="I76" s="267"/>
      <c r="J76" s="299">
        <f>+E76-F76</f>
        <v>-61153</v>
      </c>
      <c r="K76" s="5"/>
      <c r="M76" s="5"/>
      <c r="S76" s="53"/>
      <c r="T76" s="53"/>
      <c r="U76" s="53"/>
      <c r="V76" s="53"/>
    </row>
    <row r="77" spans="1:22" s="110" customFormat="1" x14ac:dyDescent="0.25">
      <c r="A77" s="136"/>
      <c r="B77" s="136"/>
      <c r="C77" s="162"/>
      <c r="D77" s="151"/>
      <c r="E77" s="163"/>
      <c r="F77" s="136"/>
      <c r="G77" s="204"/>
      <c r="H77" s="204"/>
      <c r="I77" s="204"/>
      <c r="J77" s="133"/>
      <c r="K77" s="5"/>
      <c r="M77" s="5"/>
      <c r="S77" s="53"/>
      <c r="T77" s="53"/>
      <c r="U77" s="53"/>
      <c r="V77" s="53"/>
    </row>
    <row r="78" spans="1:22" s="110" customFormat="1" x14ac:dyDescent="0.25">
      <c r="A78" s="136"/>
      <c r="B78" s="136"/>
      <c r="C78" s="162"/>
      <c r="D78" s="151"/>
      <c r="E78" s="163"/>
      <c r="F78" s="136"/>
      <c r="G78" s="204"/>
      <c r="H78" s="204"/>
      <c r="I78" s="204"/>
      <c r="J78" s="133"/>
      <c r="K78" s="5"/>
      <c r="M78" s="5"/>
      <c r="S78" s="53"/>
      <c r="T78" s="53"/>
      <c r="U78" s="53"/>
      <c r="V78" s="53"/>
    </row>
    <row r="79" spans="1:22" s="110" customFormat="1" x14ac:dyDescent="0.25">
      <c r="A79" s="136"/>
      <c r="B79" s="136"/>
      <c r="C79" s="162"/>
      <c r="D79" s="151"/>
      <c r="E79" s="163"/>
      <c r="F79" s="136"/>
      <c r="G79" s="204"/>
      <c r="H79" s="204"/>
      <c r="I79" s="204"/>
      <c r="J79" s="133"/>
      <c r="K79" s="5"/>
      <c r="M79" s="5"/>
      <c r="S79" s="53"/>
      <c r="T79" s="53"/>
      <c r="U79" s="53"/>
      <c r="V79" s="53"/>
    </row>
    <row r="80" spans="1:22" s="110" customFormat="1" x14ac:dyDescent="0.25">
      <c r="A80" s="162"/>
      <c r="B80" s="136"/>
      <c r="C80" s="162"/>
      <c r="D80" s="151"/>
      <c r="E80" s="163"/>
      <c r="F80" s="136"/>
      <c r="G80" s="204"/>
      <c r="H80" s="204"/>
      <c r="I80" s="204"/>
      <c r="J80" s="206"/>
      <c r="K80" s="5"/>
      <c r="M80" s="5"/>
      <c r="S80" s="53"/>
      <c r="T80" s="53"/>
      <c r="U80" s="53"/>
      <c r="V80" s="53"/>
    </row>
    <row r="81" spans="1:22" s="110" customFormat="1" x14ac:dyDescent="0.25">
      <c r="A81" s="162">
        <v>43680</v>
      </c>
      <c r="B81" s="136"/>
      <c r="C81" s="162" t="s">
        <v>1172</v>
      </c>
      <c r="D81" s="151"/>
      <c r="E81" s="163">
        <v>2000</v>
      </c>
      <c r="F81" s="136"/>
      <c r="G81" s="204" t="s">
        <v>231</v>
      </c>
      <c r="H81" s="204">
        <v>864694</v>
      </c>
      <c r="I81" s="204" t="s">
        <v>188</v>
      </c>
      <c r="J81" s="206"/>
      <c r="K81" s="5"/>
      <c r="M81" s="5"/>
      <c r="S81" s="53"/>
      <c r="T81" s="53"/>
      <c r="U81" s="53"/>
      <c r="V81" s="53"/>
    </row>
    <row r="82" spans="1:22" s="110" customFormat="1" x14ac:dyDescent="0.25">
      <c r="A82" s="162">
        <v>43680</v>
      </c>
      <c r="B82" s="136"/>
      <c r="C82" s="162" t="s">
        <v>1173</v>
      </c>
      <c r="D82" s="151"/>
      <c r="E82" s="163">
        <v>1000</v>
      </c>
      <c r="F82" s="136"/>
      <c r="G82" s="204" t="s">
        <v>230</v>
      </c>
      <c r="H82" s="204">
        <v>584433</v>
      </c>
      <c r="I82" s="204" t="s">
        <v>188</v>
      </c>
      <c r="J82" s="206"/>
      <c r="K82" s="5"/>
      <c r="M82" s="5"/>
      <c r="S82" s="53"/>
      <c r="T82" s="53"/>
      <c r="U82" s="53"/>
      <c r="V82" s="53"/>
    </row>
    <row r="83" spans="1:22" s="110" customFormat="1" x14ac:dyDescent="0.25">
      <c r="A83" s="162">
        <v>43679</v>
      </c>
      <c r="B83" s="136"/>
      <c r="C83" s="162" t="s">
        <v>1174</v>
      </c>
      <c r="D83" s="151"/>
      <c r="E83" s="163">
        <v>8104</v>
      </c>
      <c r="F83" s="136"/>
      <c r="G83" s="204" t="s">
        <v>274</v>
      </c>
      <c r="H83" s="204">
        <v>3049</v>
      </c>
      <c r="I83" s="204" t="s">
        <v>188</v>
      </c>
      <c r="J83" s="206"/>
      <c r="K83" s="5"/>
      <c r="M83" s="5"/>
      <c r="S83" s="53"/>
      <c r="T83" s="53"/>
      <c r="U83" s="53"/>
      <c r="V83" s="53"/>
    </row>
    <row r="84" spans="1:22" s="110" customFormat="1" x14ac:dyDescent="0.25">
      <c r="A84" s="162">
        <v>43679</v>
      </c>
      <c r="B84" s="136"/>
      <c r="C84" s="162" t="s">
        <v>1175</v>
      </c>
      <c r="D84" s="151"/>
      <c r="E84" s="163">
        <v>5750</v>
      </c>
      <c r="F84" s="136"/>
      <c r="G84" s="204" t="s">
        <v>1176</v>
      </c>
      <c r="H84" s="204">
        <v>85661</v>
      </c>
      <c r="I84" s="204" t="s">
        <v>188</v>
      </c>
      <c r="J84" s="205"/>
      <c r="K84" s="5"/>
      <c r="M84" s="5"/>
      <c r="S84" s="53"/>
      <c r="T84" s="53"/>
      <c r="U84" s="53"/>
      <c r="V84" s="53"/>
    </row>
    <row r="85" spans="1:22" s="110" customFormat="1" x14ac:dyDescent="0.25">
      <c r="A85" s="162">
        <v>43683</v>
      </c>
      <c r="B85" s="136"/>
      <c r="C85" s="162" t="s">
        <v>1177</v>
      </c>
      <c r="D85" s="163"/>
      <c r="E85" s="163">
        <v>1410</v>
      </c>
      <c r="F85" s="136"/>
      <c r="G85" s="204" t="s">
        <v>1178</v>
      </c>
      <c r="H85" s="204">
        <v>621062</v>
      </c>
      <c r="I85" s="204" t="s">
        <v>191</v>
      </c>
      <c r="J85" s="205"/>
      <c r="K85" s="5"/>
      <c r="M85" s="5"/>
      <c r="S85" s="53"/>
      <c r="T85" s="53"/>
      <c r="U85" s="53"/>
      <c r="V85" s="53"/>
    </row>
    <row r="86" spans="1:22" s="110" customFormat="1" x14ac:dyDescent="0.25">
      <c r="A86" s="162">
        <v>43683</v>
      </c>
      <c r="B86" s="136"/>
      <c r="C86" s="162" t="s">
        <v>1179</v>
      </c>
      <c r="D86" s="163"/>
      <c r="E86" s="163">
        <v>790</v>
      </c>
      <c r="F86" s="136"/>
      <c r="G86" s="204"/>
      <c r="H86" s="204">
        <v>485388</v>
      </c>
      <c r="I86" s="204" t="s">
        <v>56</v>
      </c>
      <c r="J86" s="205"/>
      <c r="K86" s="5"/>
      <c r="M86" s="5"/>
      <c r="S86" s="53"/>
      <c r="T86" s="53"/>
      <c r="U86" s="53"/>
      <c r="V86" s="53"/>
    </row>
    <row r="87" spans="1:22" s="110" customFormat="1" x14ac:dyDescent="0.25">
      <c r="A87" s="162">
        <v>43685</v>
      </c>
      <c r="B87" s="136"/>
      <c r="C87" s="162" t="s">
        <v>1172</v>
      </c>
      <c r="D87" s="163"/>
      <c r="E87" s="163">
        <v>800</v>
      </c>
      <c r="F87" s="136"/>
      <c r="G87" s="204" t="s">
        <v>231</v>
      </c>
      <c r="H87" s="204">
        <v>584433</v>
      </c>
      <c r="I87" s="204" t="s">
        <v>56</v>
      </c>
      <c r="J87" s="205"/>
      <c r="K87" s="5"/>
      <c r="M87" s="5"/>
      <c r="S87" s="53"/>
      <c r="T87" s="53"/>
      <c r="U87" s="53"/>
      <c r="V87" s="53"/>
    </row>
    <row r="88" spans="1:22" s="110" customFormat="1" x14ac:dyDescent="0.25">
      <c r="A88" s="162">
        <v>43685</v>
      </c>
      <c r="B88" s="136"/>
      <c r="C88" s="162" t="s">
        <v>1173</v>
      </c>
      <c r="D88" s="163"/>
      <c r="E88" s="163">
        <v>1000</v>
      </c>
      <c r="F88" s="136"/>
      <c r="G88" s="204" t="s">
        <v>230</v>
      </c>
      <c r="H88" s="204">
        <v>321497</v>
      </c>
      <c r="I88" s="204" t="s">
        <v>188</v>
      </c>
      <c r="J88" s="205"/>
      <c r="K88" s="5"/>
      <c r="M88" s="5"/>
      <c r="S88" s="53"/>
      <c r="T88" s="53"/>
      <c r="U88" s="53"/>
      <c r="V88" s="53"/>
    </row>
    <row r="89" spans="1:22" s="110" customFormat="1" x14ac:dyDescent="0.25">
      <c r="A89" s="162">
        <v>43690</v>
      </c>
      <c r="B89" s="136"/>
      <c r="C89" s="162" t="s">
        <v>1180</v>
      </c>
      <c r="D89" s="163"/>
      <c r="E89" s="163">
        <v>2000</v>
      </c>
      <c r="F89" s="136"/>
      <c r="G89" s="204" t="s">
        <v>300</v>
      </c>
      <c r="H89" s="204">
        <v>48573</v>
      </c>
      <c r="I89" s="204" t="s">
        <v>188</v>
      </c>
      <c r="J89" s="205"/>
      <c r="K89" s="5"/>
      <c r="M89" s="5"/>
      <c r="S89" s="53"/>
      <c r="T89" s="53"/>
      <c r="U89" s="53"/>
      <c r="V89" s="53"/>
    </row>
    <row r="90" spans="1:22" s="110" customFormat="1" x14ac:dyDescent="0.25">
      <c r="A90" s="162">
        <v>43691</v>
      </c>
      <c r="B90" s="136"/>
      <c r="C90" s="162" t="s">
        <v>1180</v>
      </c>
      <c r="D90" s="163"/>
      <c r="E90" s="163">
        <v>1750</v>
      </c>
      <c r="F90" s="136"/>
      <c r="G90" s="204" t="s">
        <v>300</v>
      </c>
      <c r="H90" s="204">
        <v>48592</v>
      </c>
      <c r="I90" s="204" t="s">
        <v>188</v>
      </c>
      <c r="J90" s="205"/>
      <c r="K90" s="5"/>
      <c r="M90" s="5"/>
      <c r="S90" s="53"/>
      <c r="T90" s="53"/>
      <c r="U90" s="53"/>
      <c r="V90" s="53"/>
    </row>
    <row r="91" spans="1:22" s="110" customFormat="1" x14ac:dyDescent="0.25">
      <c r="A91" s="162">
        <v>43693</v>
      </c>
      <c r="B91" s="136"/>
      <c r="C91" s="162" t="s">
        <v>1180</v>
      </c>
      <c r="D91" s="163"/>
      <c r="E91" s="163">
        <v>1380</v>
      </c>
      <c r="F91" s="136"/>
      <c r="G91" s="204" t="s">
        <v>300</v>
      </c>
      <c r="H91" s="204">
        <v>48664</v>
      </c>
      <c r="I91" s="204" t="s">
        <v>188</v>
      </c>
      <c r="J91" s="205"/>
      <c r="K91" s="5"/>
      <c r="M91" s="5"/>
      <c r="S91" s="53"/>
      <c r="T91" s="53"/>
      <c r="U91" s="53"/>
      <c r="V91" s="53"/>
    </row>
    <row r="92" spans="1:22" s="110" customFormat="1" x14ac:dyDescent="0.25">
      <c r="A92" s="162">
        <v>43697</v>
      </c>
      <c r="B92" s="136"/>
      <c r="C92" s="162" t="s">
        <v>1180</v>
      </c>
      <c r="D92" s="163"/>
      <c r="E92" s="163">
        <v>2100</v>
      </c>
      <c r="F92" s="136"/>
      <c r="G92" s="204" t="s">
        <v>300</v>
      </c>
      <c r="H92" s="204">
        <v>48810</v>
      </c>
      <c r="I92" s="204" t="s">
        <v>188</v>
      </c>
      <c r="J92" s="205"/>
      <c r="K92" s="5"/>
      <c r="M92" s="5"/>
      <c r="S92" s="53"/>
      <c r="T92" s="53"/>
      <c r="U92" s="53"/>
      <c r="V92" s="53"/>
    </row>
    <row r="93" spans="1:22" s="110" customFormat="1" x14ac:dyDescent="0.25">
      <c r="A93" s="162">
        <v>43697</v>
      </c>
      <c r="B93" s="136"/>
      <c r="C93" s="162" t="s">
        <v>1181</v>
      </c>
      <c r="D93" s="163"/>
      <c r="E93" s="163">
        <v>10069</v>
      </c>
      <c r="F93" s="136"/>
      <c r="G93" s="204" t="s">
        <v>274</v>
      </c>
      <c r="H93" s="204">
        <v>8321</v>
      </c>
      <c r="I93" s="204" t="s">
        <v>188</v>
      </c>
      <c r="J93" s="205"/>
      <c r="K93" s="5"/>
      <c r="M93" s="5"/>
      <c r="S93" s="53"/>
      <c r="T93" s="53"/>
      <c r="U93" s="53"/>
      <c r="V93" s="53"/>
    </row>
    <row r="94" spans="1:22" s="110" customFormat="1" x14ac:dyDescent="0.25">
      <c r="A94" s="162">
        <v>43699</v>
      </c>
      <c r="B94" s="136"/>
      <c r="C94" s="162" t="s">
        <v>1182</v>
      </c>
      <c r="D94" s="163"/>
      <c r="E94" s="163">
        <v>8370</v>
      </c>
      <c r="F94" s="136"/>
      <c r="G94" s="204" t="s">
        <v>300</v>
      </c>
      <c r="H94" s="204">
        <v>48868</v>
      </c>
      <c r="I94" s="204" t="s">
        <v>188</v>
      </c>
      <c r="J94" s="205"/>
      <c r="K94" s="5"/>
      <c r="M94" s="5"/>
      <c r="S94" s="53"/>
      <c r="T94" s="53"/>
      <c r="U94" s="53"/>
      <c r="V94" s="53"/>
    </row>
    <row r="95" spans="1:22" s="110" customFormat="1" x14ac:dyDescent="0.25">
      <c r="A95" s="162">
        <v>43700</v>
      </c>
      <c r="B95" s="136"/>
      <c r="C95" s="162" t="s">
        <v>1183</v>
      </c>
      <c r="D95" s="163"/>
      <c r="E95" s="163">
        <v>6400</v>
      </c>
      <c r="F95" s="136"/>
      <c r="G95" s="204" t="s">
        <v>300</v>
      </c>
      <c r="H95" s="204">
        <v>48902</v>
      </c>
      <c r="I95" s="204" t="s">
        <v>188</v>
      </c>
      <c r="J95" s="205"/>
      <c r="K95" s="5"/>
      <c r="M95" s="5"/>
      <c r="S95" s="53"/>
      <c r="T95" s="53"/>
      <c r="U95" s="53"/>
      <c r="V95" s="53"/>
    </row>
    <row r="96" spans="1:22" s="110" customFormat="1" x14ac:dyDescent="0.25">
      <c r="A96" s="162">
        <v>43703</v>
      </c>
      <c r="B96" s="136"/>
      <c r="C96" s="162" t="s">
        <v>1180</v>
      </c>
      <c r="D96" s="163"/>
      <c r="E96" s="163">
        <v>2300</v>
      </c>
      <c r="F96" s="136"/>
      <c r="G96" s="204" t="s">
        <v>300</v>
      </c>
      <c r="H96" s="204">
        <v>48992</v>
      </c>
      <c r="I96" s="204" t="s">
        <v>188</v>
      </c>
      <c r="J96" s="205"/>
      <c r="K96" s="5"/>
      <c r="M96" s="5"/>
      <c r="S96" s="53"/>
      <c r="T96" s="53"/>
      <c r="U96" s="53"/>
      <c r="V96" s="53"/>
    </row>
    <row r="97" spans="1:22" s="110" customFormat="1" x14ac:dyDescent="0.25">
      <c r="A97" s="162">
        <v>43707</v>
      </c>
      <c r="B97" s="136"/>
      <c r="C97" s="162" t="s">
        <v>1180</v>
      </c>
      <c r="D97" s="163"/>
      <c r="E97" s="163">
        <v>2200</v>
      </c>
      <c r="F97" s="136"/>
      <c r="G97" s="204" t="s">
        <v>300</v>
      </c>
      <c r="H97" s="204">
        <v>49070</v>
      </c>
      <c r="I97" s="204" t="s">
        <v>188</v>
      </c>
      <c r="J97" s="205"/>
      <c r="K97" s="5"/>
      <c r="M97" s="5"/>
      <c r="S97" s="53"/>
      <c r="T97" s="53"/>
      <c r="U97" s="53"/>
      <c r="V97" s="53"/>
    </row>
    <row r="98" spans="1:22" s="110" customFormat="1" x14ac:dyDescent="0.25">
      <c r="A98" s="162">
        <v>43703</v>
      </c>
      <c r="B98" s="136"/>
      <c r="C98" s="162" t="s">
        <v>1184</v>
      </c>
      <c r="D98" s="163"/>
      <c r="E98" s="163">
        <v>17500</v>
      </c>
      <c r="F98" s="136"/>
      <c r="G98" s="204" t="s">
        <v>1185</v>
      </c>
      <c r="H98" s="204">
        <v>9206</v>
      </c>
      <c r="I98" s="204" t="s">
        <v>56</v>
      </c>
      <c r="J98" s="205"/>
      <c r="K98" s="5"/>
      <c r="M98" s="5"/>
      <c r="S98" s="53"/>
      <c r="T98" s="53"/>
      <c r="U98" s="53"/>
      <c r="V98" s="53"/>
    </row>
    <row r="99" spans="1:22" s="110" customFormat="1" x14ac:dyDescent="0.25">
      <c r="A99" s="162">
        <v>43704</v>
      </c>
      <c r="B99" s="136"/>
      <c r="C99" s="162" t="s">
        <v>1186</v>
      </c>
      <c r="D99" s="163"/>
      <c r="E99" s="163">
        <v>5990</v>
      </c>
      <c r="F99" s="136"/>
      <c r="G99" s="204" t="s">
        <v>646</v>
      </c>
      <c r="H99" s="204">
        <v>142971557</v>
      </c>
      <c r="I99" s="204" t="s">
        <v>56</v>
      </c>
      <c r="J99" s="205"/>
      <c r="K99" s="5"/>
      <c r="M99" s="5"/>
      <c r="S99" s="53"/>
      <c r="T99" s="53"/>
      <c r="U99" s="53"/>
      <c r="V99" s="53"/>
    </row>
    <row r="100" spans="1:22" s="110" customFormat="1" x14ac:dyDescent="0.25">
      <c r="A100" s="162">
        <v>43704</v>
      </c>
      <c r="B100" s="136"/>
      <c r="C100" s="162" t="s">
        <v>1172</v>
      </c>
      <c r="D100" s="163"/>
      <c r="E100" s="163">
        <v>800</v>
      </c>
      <c r="F100" s="136"/>
      <c r="G100" s="204" t="s">
        <v>231</v>
      </c>
      <c r="H100" s="204">
        <v>873017</v>
      </c>
      <c r="I100" s="204" t="s">
        <v>188</v>
      </c>
      <c r="J100" s="205"/>
      <c r="K100" s="5"/>
      <c r="M100" s="5"/>
      <c r="S100" s="53"/>
      <c r="T100" s="53"/>
      <c r="U100" s="53"/>
      <c r="V100" s="53"/>
    </row>
    <row r="101" spans="1:22" s="110" customFormat="1" x14ac:dyDescent="0.25">
      <c r="A101" s="162">
        <v>43704</v>
      </c>
      <c r="B101" s="136"/>
      <c r="C101" s="162" t="s">
        <v>1187</v>
      </c>
      <c r="D101" s="163"/>
      <c r="E101" s="163">
        <v>15000</v>
      </c>
      <c r="F101" s="136"/>
      <c r="G101" s="204" t="s">
        <v>1188</v>
      </c>
      <c r="H101" s="204"/>
      <c r="I101" s="204" t="s">
        <v>68</v>
      </c>
      <c r="J101" s="205"/>
      <c r="K101" s="5"/>
      <c r="M101" s="5"/>
      <c r="S101" s="53"/>
      <c r="T101" s="53"/>
      <c r="U101" s="53"/>
      <c r="V101" s="53"/>
    </row>
    <row r="102" spans="1:22" s="110" customFormat="1" x14ac:dyDescent="0.25">
      <c r="A102" s="162">
        <v>43706</v>
      </c>
      <c r="B102" s="136"/>
      <c r="C102" s="162" t="s">
        <v>1172</v>
      </c>
      <c r="D102" s="163"/>
      <c r="E102" s="163">
        <v>1400</v>
      </c>
      <c r="F102" s="136"/>
      <c r="G102" s="204" t="s">
        <v>231</v>
      </c>
      <c r="H102" s="204">
        <v>371090</v>
      </c>
      <c r="I102" s="204" t="s">
        <v>188</v>
      </c>
      <c r="J102" s="205"/>
      <c r="K102" s="5"/>
      <c r="M102" s="5"/>
      <c r="S102" s="53"/>
      <c r="T102" s="53"/>
      <c r="U102" s="53"/>
      <c r="V102" s="53"/>
    </row>
    <row r="103" spans="1:22" s="110" customFormat="1" x14ac:dyDescent="0.25">
      <c r="A103" s="162">
        <v>43706</v>
      </c>
      <c r="B103" s="136"/>
      <c r="C103" s="162" t="s">
        <v>1173</v>
      </c>
      <c r="D103" s="163"/>
      <c r="E103" s="163">
        <v>1000</v>
      </c>
      <c r="F103" s="136"/>
      <c r="G103" s="204" t="s">
        <v>230</v>
      </c>
      <c r="H103" s="204">
        <v>125</v>
      </c>
      <c r="I103" s="204" t="s">
        <v>188</v>
      </c>
      <c r="J103" s="205"/>
      <c r="K103" s="5"/>
      <c r="M103" s="5"/>
      <c r="S103" s="53"/>
      <c r="T103" s="53"/>
      <c r="U103" s="53"/>
      <c r="V103" s="53"/>
    </row>
    <row r="104" spans="1:22" s="110" customFormat="1" x14ac:dyDescent="0.25">
      <c r="A104" s="162">
        <v>43708</v>
      </c>
      <c r="B104" s="136"/>
      <c r="C104" s="162" t="s">
        <v>1189</v>
      </c>
      <c r="D104" s="163"/>
      <c r="E104" s="163">
        <v>34998</v>
      </c>
      <c r="F104" s="136"/>
      <c r="G104" s="204" t="s">
        <v>1190</v>
      </c>
      <c r="H104" s="204">
        <v>1228</v>
      </c>
      <c r="I104" s="204" t="s">
        <v>56</v>
      </c>
      <c r="J104" s="205"/>
      <c r="K104" s="5"/>
      <c r="M104" s="5"/>
      <c r="S104" s="53"/>
      <c r="T104" s="53"/>
      <c r="U104" s="53"/>
      <c r="V104" s="53"/>
    </row>
    <row r="105" spans="1:22" s="110" customFormat="1" x14ac:dyDescent="0.25">
      <c r="A105" s="162">
        <v>43708</v>
      </c>
      <c r="B105" s="136"/>
      <c r="C105" s="162" t="s">
        <v>1191</v>
      </c>
      <c r="D105" s="163"/>
      <c r="E105" s="163">
        <v>2490</v>
      </c>
      <c r="F105" s="136"/>
      <c r="G105" s="204" t="s">
        <v>274</v>
      </c>
      <c r="H105" s="204">
        <v>5658</v>
      </c>
      <c r="I105" s="204" t="s">
        <v>188</v>
      </c>
      <c r="J105" s="205"/>
      <c r="K105" s="5"/>
      <c r="M105" s="5"/>
      <c r="S105" s="53"/>
      <c r="T105" s="53"/>
      <c r="U105" s="53"/>
      <c r="V105" s="53"/>
    </row>
    <row r="106" spans="1:22" s="110" customFormat="1" x14ac:dyDescent="0.25">
      <c r="A106" s="162">
        <v>43708</v>
      </c>
      <c r="B106" s="136"/>
      <c r="C106" s="162" t="s">
        <v>1180</v>
      </c>
      <c r="D106" s="163"/>
      <c r="E106" s="163">
        <v>2000</v>
      </c>
      <c r="F106" s="136"/>
      <c r="G106" s="204" t="s">
        <v>300</v>
      </c>
      <c r="H106" s="204">
        <v>49086</v>
      </c>
      <c r="I106" s="204" t="s">
        <v>188</v>
      </c>
      <c r="J106" s="205"/>
      <c r="K106" s="5"/>
      <c r="M106" s="5"/>
      <c r="S106" s="53"/>
      <c r="T106" s="53"/>
      <c r="U106" s="53"/>
      <c r="V106" s="53"/>
    </row>
    <row r="107" spans="1:22" s="110" customFormat="1" x14ac:dyDescent="0.25">
      <c r="A107" s="162">
        <v>43708</v>
      </c>
      <c r="B107" s="136"/>
      <c r="C107" s="162" t="s">
        <v>1192</v>
      </c>
      <c r="D107" s="163"/>
      <c r="E107" s="163">
        <v>42950</v>
      </c>
      <c r="F107" s="136"/>
      <c r="G107" s="204" t="s">
        <v>275</v>
      </c>
      <c r="H107" s="204"/>
      <c r="I107" s="204" t="s">
        <v>188</v>
      </c>
      <c r="J107" s="205"/>
      <c r="K107" s="5"/>
      <c r="M107" s="5"/>
      <c r="S107" s="53"/>
      <c r="T107" s="53"/>
      <c r="U107" s="53"/>
      <c r="V107" s="53"/>
    </row>
    <row r="108" spans="1:22" s="110" customFormat="1" x14ac:dyDescent="0.25">
      <c r="A108" s="162"/>
      <c r="B108" s="136"/>
      <c r="C108" s="162"/>
      <c r="D108" s="163"/>
      <c r="E108" s="163"/>
      <c r="F108" s="136"/>
      <c r="G108" s="204"/>
      <c r="H108" s="204"/>
      <c r="I108" s="204"/>
      <c r="J108" s="205"/>
      <c r="K108" s="5"/>
      <c r="M108" s="5"/>
      <c r="S108" s="53"/>
      <c r="T108" s="53"/>
      <c r="U108" s="53"/>
      <c r="V108" s="53"/>
    </row>
    <row r="109" spans="1:22" s="110" customFormat="1" x14ac:dyDescent="0.25">
      <c r="A109" s="162"/>
      <c r="B109" s="136"/>
      <c r="C109" s="162"/>
      <c r="D109" s="163"/>
      <c r="E109" s="163"/>
      <c r="F109" s="136"/>
      <c r="G109" s="204"/>
      <c r="H109" s="204"/>
      <c r="I109" s="204"/>
      <c r="J109" s="205"/>
      <c r="K109" s="5"/>
      <c r="M109" s="5"/>
      <c r="S109" s="53"/>
      <c r="T109" s="53"/>
      <c r="U109" s="53"/>
      <c r="V109" s="53"/>
    </row>
    <row r="110" spans="1:22" s="110" customFormat="1" x14ac:dyDescent="0.25">
      <c r="A110" s="162"/>
      <c r="B110" s="136"/>
      <c r="C110" s="162"/>
      <c r="D110" s="163"/>
      <c r="E110" s="163"/>
      <c r="F110" s="136"/>
      <c r="G110" s="204"/>
      <c r="H110" s="204"/>
      <c r="I110" s="204"/>
      <c r="J110" s="205"/>
      <c r="K110" s="5"/>
      <c r="M110" s="5"/>
      <c r="S110" s="53"/>
      <c r="T110" s="53"/>
      <c r="U110" s="53"/>
      <c r="V110" s="53"/>
    </row>
    <row r="111" spans="1:22" s="110" customFormat="1" x14ac:dyDescent="0.25">
      <c r="A111" s="162"/>
      <c r="B111" s="136"/>
      <c r="C111" s="162"/>
      <c r="D111" s="163"/>
      <c r="E111" s="163"/>
      <c r="F111" s="136"/>
      <c r="G111" s="204"/>
      <c r="H111" s="204"/>
      <c r="I111" s="204"/>
      <c r="J111" s="205"/>
      <c r="K111" s="5"/>
      <c r="M111" s="5"/>
      <c r="S111" s="53"/>
      <c r="T111" s="53"/>
      <c r="U111" s="53"/>
      <c r="V111" s="53"/>
    </row>
    <row r="112" spans="1:22" s="110" customFormat="1" x14ac:dyDescent="0.25">
      <c r="A112" s="162"/>
      <c r="B112" s="136"/>
      <c r="C112" s="162"/>
      <c r="D112" s="163"/>
      <c r="E112" s="163"/>
      <c r="F112" s="136"/>
      <c r="G112" s="204"/>
      <c r="H112" s="204"/>
      <c r="I112" s="204"/>
      <c r="J112" s="205"/>
      <c r="K112" s="5"/>
      <c r="M112" s="5"/>
      <c r="S112" s="53"/>
      <c r="T112" s="53"/>
      <c r="U112" s="53"/>
      <c r="V112" s="53"/>
    </row>
    <row r="113" spans="1:22" s="110" customFormat="1" x14ac:dyDescent="0.25">
      <c r="A113" s="162"/>
      <c r="B113" s="136"/>
      <c r="C113" s="162"/>
      <c r="D113" s="163"/>
      <c r="E113" s="163"/>
      <c r="F113" s="136"/>
      <c r="G113" s="204"/>
      <c r="H113" s="204"/>
      <c r="I113" s="204"/>
      <c r="J113" s="205"/>
      <c r="K113" s="5"/>
      <c r="M113" s="5"/>
      <c r="S113" s="53"/>
      <c r="T113" s="53"/>
      <c r="U113" s="53"/>
      <c r="V113" s="53"/>
    </row>
    <row r="114" spans="1:22" s="110" customFormat="1" x14ac:dyDescent="0.25">
      <c r="A114" s="162"/>
      <c r="B114" s="136"/>
      <c r="C114" s="162"/>
      <c r="D114" s="163"/>
      <c r="E114" s="163"/>
      <c r="F114" s="136"/>
      <c r="G114" s="204"/>
      <c r="H114" s="204"/>
      <c r="I114" s="204"/>
      <c r="J114" s="205"/>
      <c r="K114" s="5"/>
      <c r="M114" s="5"/>
      <c r="S114" s="53"/>
      <c r="T114" s="53"/>
      <c r="U114" s="53"/>
      <c r="V114" s="53"/>
    </row>
    <row r="115" spans="1:22" s="110" customFormat="1" x14ac:dyDescent="0.25">
      <c r="A115" s="162"/>
      <c r="B115" s="136"/>
      <c r="C115" s="162"/>
      <c r="D115" s="163"/>
      <c r="E115" s="163"/>
      <c r="F115" s="136"/>
      <c r="G115" s="204"/>
      <c r="H115" s="204"/>
      <c r="I115" s="204"/>
      <c r="J115" s="205"/>
      <c r="K115" s="5"/>
      <c r="S115" s="53"/>
      <c r="T115" s="53"/>
      <c r="U115" s="53"/>
      <c r="V115" s="53"/>
    </row>
    <row r="116" spans="1:22" s="110" customFormat="1" x14ac:dyDescent="0.25">
      <c r="A116" s="162"/>
      <c r="B116" s="136"/>
      <c r="C116" s="162"/>
      <c r="D116" s="163"/>
      <c r="E116" s="163"/>
      <c r="F116" s="136"/>
      <c r="G116" s="204"/>
      <c r="H116" s="204"/>
      <c r="I116" s="204"/>
      <c r="J116" s="205"/>
      <c r="K116" s="5"/>
      <c r="S116" s="53"/>
      <c r="T116" s="53"/>
      <c r="U116" s="53"/>
      <c r="V116" s="53"/>
    </row>
    <row r="117" spans="1:22" s="110" customFormat="1" x14ac:dyDescent="0.25">
      <c r="A117" s="162"/>
      <c r="B117" s="136"/>
      <c r="C117" s="162"/>
      <c r="D117" s="163"/>
      <c r="E117" s="163"/>
      <c r="F117" s="136"/>
      <c r="G117" s="204"/>
      <c r="H117" s="204"/>
      <c r="I117" s="204"/>
      <c r="J117" s="205"/>
      <c r="S117" s="53"/>
      <c r="T117" s="53"/>
      <c r="U117" s="53"/>
      <c r="V117" s="53"/>
    </row>
    <row r="118" spans="1:22" x14ac:dyDescent="0.25">
      <c r="A118" s="162"/>
      <c r="B118" s="136"/>
      <c r="C118" s="162"/>
      <c r="D118" s="163"/>
      <c r="E118" s="163"/>
      <c r="F118" s="136"/>
      <c r="G118" s="204"/>
      <c r="H118" s="204"/>
      <c r="I118" s="204"/>
      <c r="J118" s="205"/>
      <c r="K118" s="19"/>
      <c r="L118" s="19"/>
      <c r="M118" s="19"/>
      <c r="N118" s="19"/>
      <c r="O118" s="19"/>
      <c r="P118" s="19"/>
      <c r="Q118" s="19"/>
      <c r="R118" s="19"/>
      <c r="S118" s="53"/>
      <c r="T118" s="53"/>
      <c r="U118" s="53"/>
      <c r="V118" s="53"/>
    </row>
    <row r="119" spans="1:22" x14ac:dyDescent="0.25">
      <c r="A119" s="162"/>
      <c r="B119" s="136"/>
      <c r="C119" s="162"/>
      <c r="D119" s="163"/>
      <c r="E119" s="163"/>
      <c r="F119" s="136"/>
      <c r="G119" s="204"/>
      <c r="H119" s="204"/>
      <c r="I119" s="204"/>
      <c r="J119" s="205"/>
      <c r="K119" s="19"/>
      <c r="L119" s="19"/>
      <c r="M119" s="19"/>
      <c r="N119" s="19"/>
      <c r="O119" s="19"/>
      <c r="P119" s="19"/>
      <c r="Q119" s="19"/>
      <c r="R119" s="19"/>
      <c r="S119" s="53"/>
      <c r="T119" s="53"/>
      <c r="U119" s="53"/>
      <c r="V119" s="53"/>
    </row>
    <row r="120" spans="1:22" x14ac:dyDescent="0.25">
      <c r="A120" s="162"/>
      <c r="B120" s="136"/>
      <c r="C120" s="162"/>
      <c r="D120" s="163"/>
      <c r="E120" s="163"/>
      <c r="F120" s="136"/>
      <c r="G120" s="204"/>
      <c r="H120" s="204"/>
      <c r="I120" s="204"/>
      <c r="J120" s="205"/>
      <c r="K120" s="19"/>
      <c r="L120" s="19"/>
      <c r="M120" s="19"/>
      <c r="N120" s="19"/>
      <c r="O120" s="19"/>
      <c r="P120" s="19"/>
      <c r="Q120" s="19"/>
      <c r="R120" s="19"/>
      <c r="S120" s="53"/>
      <c r="T120" s="53"/>
      <c r="U120" s="53"/>
      <c r="V120" s="53"/>
    </row>
    <row r="121" spans="1:22" x14ac:dyDescent="0.25">
      <c r="A121" s="162"/>
      <c r="B121" s="136"/>
      <c r="C121" s="162"/>
      <c r="D121" s="163"/>
      <c r="E121" s="163"/>
      <c r="F121" s="136"/>
      <c r="G121" s="204"/>
      <c r="H121" s="204"/>
      <c r="I121" s="204"/>
      <c r="J121" s="205"/>
      <c r="K121" s="19"/>
      <c r="L121" s="19"/>
      <c r="M121" s="19"/>
      <c r="N121" s="19"/>
      <c r="O121" s="19"/>
      <c r="P121" s="19"/>
      <c r="Q121" s="19"/>
      <c r="R121" s="19"/>
      <c r="S121" s="53"/>
      <c r="T121" s="53"/>
      <c r="U121" s="53"/>
      <c r="V121" s="53"/>
    </row>
    <row r="122" spans="1:22" x14ac:dyDescent="0.25">
      <c r="A122" s="136"/>
      <c r="B122" s="136"/>
      <c r="C122" s="162"/>
      <c r="D122" s="163"/>
      <c r="E122" s="163"/>
      <c r="F122" s="136"/>
      <c r="G122" s="204"/>
      <c r="H122" s="204"/>
      <c r="I122" s="204"/>
      <c r="J122" s="161"/>
      <c r="K122" s="19"/>
      <c r="L122" s="19"/>
      <c r="M122" s="19"/>
      <c r="N122" s="19"/>
      <c r="O122" s="19"/>
      <c r="P122" s="19"/>
      <c r="Q122" s="19"/>
      <c r="R122" s="19"/>
      <c r="S122" s="53"/>
      <c r="T122" s="53"/>
      <c r="U122" s="53"/>
      <c r="V122" s="53"/>
    </row>
    <row r="123" spans="1:22" x14ac:dyDescent="0.25">
      <c r="A123" s="47"/>
      <c r="B123" s="47"/>
      <c r="C123" s="82"/>
      <c r="D123" s="44"/>
      <c r="E123" s="44"/>
      <c r="F123" s="47"/>
      <c r="G123" s="204"/>
      <c r="H123" s="204"/>
      <c r="I123" s="204"/>
      <c r="J123" s="49"/>
      <c r="K123" s="19"/>
      <c r="L123" s="19"/>
      <c r="M123" s="19"/>
      <c r="N123" s="19"/>
      <c r="O123" s="19"/>
      <c r="P123" s="19"/>
      <c r="Q123" s="19"/>
      <c r="R123" s="19"/>
      <c r="S123" s="53"/>
      <c r="T123" s="53"/>
      <c r="U123" s="53"/>
      <c r="V123" s="53"/>
    </row>
    <row r="124" spans="1:22" x14ac:dyDescent="0.25">
      <c r="A124" s="47"/>
      <c r="B124" s="47"/>
      <c r="C124" s="82"/>
      <c r="D124" s="44"/>
      <c r="E124" s="44"/>
      <c r="F124" s="47"/>
      <c r="G124" s="204"/>
      <c r="H124" s="204"/>
      <c r="I124" s="204"/>
      <c r="J124" s="49"/>
      <c r="K124" s="19"/>
      <c r="L124" s="19"/>
      <c r="M124" s="19"/>
      <c r="N124" s="19"/>
      <c r="O124" s="19"/>
      <c r="P124" s="19"/>
      <c r="Q124" s="19"/>
      <c r="R124" s="19"/>
      <c r="S124" s="53"/>
      <c r="T124" s="53"/>
      <c r="U124" s="53"/>
      <c r="V124" s="53"/>
    </row>
    <row r="125" spans="1:22" x14ac:dyDescent="0.25">
      <c r="A125" s="47"/>
      <c r="B125" s="47"/>
      <c r="C125" s="82"/>
      <c r="D125" s="44"/>
      <c r="E125" s="44"/>
      <c r="F125" s="47"/>
      <c r="G125" s="204"/>
      <c r="H125" s="204"/>
      <c r="I125" s="204"/>
      <c r="J125" s="49"/>
      <c r="K125" s="19"/>
      <c r="L125" s="19"/>
      <c r="M125" s="19"/>
      <c r="N125" s="19"/>
      <c r="O125" s="19"/>
      <c r="P125" s="19"/>
      <c r="Q125" s="19"/>
      <c r="R125" s="19"/>
      <c r="S125" s="53"/>
      <c r="T125" s="53"/>
      <c r="U125" s="53"/>
      <c r="V125" s="53"/>
    </row>
    <row r="126" spans="1:22" x14ac:dyDescent="0.25">
      <c r="A126" s="47"/>
      <c r="B126" s="47"/>
      <c r="C126" s="82"/>
      <c r="D126" s="44"/>
      <c r="E126" s="44"/>
      <c r="F126" s="47"/>
      <c r="G126" s="204"/>
      <c r="H126" s="204"/>
      <c r="I126" s="204"/>
      <c r="J126" s="49"/>
      <c r="K126" s="19"/>
      <c r="L126" s="19"/>
      <c r="M126" s="19"/>
      <c r="N126" s="19"/>
      <c r="O126" s="19"/>
      <c r="P126" s="19"/>
      <c r="Q126" s="19"/>
      <c r="R126" s="19"/>
      <c r="S126" s="53"/>
      <c r="T126" s="53"/>
      <c r="U126" s="53"/>
      <c r="V126" s="53"/>
    </row>
    <row r="127" spans="1:22" x14ac:dyDescent="0.25">
      <c r="A127" s="47"/>
      <c r="B127" s="47"/>
      <c r="C127" s="82"/>
      <c r="D127" s="44"/>
      <c r="E127" s="44"/>
      <c r="F127" s="47"/>
      <c r="G127" s="204"/>
      <c r="H127" s="204"/>
      <c r="I127" s="204"/>
      <c r="J127" s="49"/>
      <c r="K127" s="19"/>
      <c r="L127" s="19"/>
      <c r="M127" s="19"/>
      <c r="N127" s="19"/>
      <c r="O127" s="19"/>
      <c r="P127" s="19"/>
      <c r="Q127" s="19"/>
      <c r="R127" s="19"/>
      <c r="S127" s="53"/>
      <c r="T127" s="53"/>
      <c r="U127" s="53"/>
      <c r="V127" s="53"/>
    </row>
    <row r="128" spans="1:22" x14ac:dyDescent="0.25">
      <c r="A128" s="47"/>
      <c r="B128" s="47"/>
      <c r="C128" s="82"/>
      <c r="D128" s="44"/>
      <c r="E128" s="44"/>
      <c r="F128" s="47"/>
      <c r="G128" s="204"/>
      <c r="H128" s="204"/>
      <c r="I128" s="204"/>
      <c r="J128" s="49"/>
      <c r="K128" s="19"/>
      <c r="L128" s="19"/>
      <c r="M128" s="19"/>
      <c r="N128" s="19"/>
      <c r="O128" s="19"/>
      <c r="P128" s="19"/>
      <c r="Q128" s="19"/>
      <c r="R128" s="19"/>
      <c r="S128" s="53"/>
      <c r="T128" s="53"/>
      <c r="U128" s="53"/>
      <c r="V128" s="53"/>
    </row>
    <row r="129" spans="1:24" x14ac:dyDescent="0.25">
      <c r="A129" s="47"/>
      <c r="B129" s="47"/>
      <c r="C129" s="82"/>
      <c r="D129" s="44"/>
      <c r="E129" s="44"/>
      <c r="F129" s="47"/>
      <c r="G129" s="22"/>
      <c r="H129" s="47"/>
      <c r="I129" s="47"/>
      <c r="J129" s="49"/>
      <c r="K129" s="19"/>
      <c r="L129" s="19"/>
      <c r="M129" s="19"/>
      <c r="N129" s="19"/>
      <c r="O129" s="19"/>
      <c r="P129" s="19"/>
      <c r="Q129" s="19"/>
      <c r="R129" s="19"/>
      <c r="S129" s="53"/>
      <c r="T129" s="53"/>
      <c r="U129" s="53"/>
      <c r="V129" s="53"/>
    </row>
    <row r="130" spans="1:24" x14ac:dyDescent="0.25">
      <c r="A130" s="47"/>
      <c r="B130" s="47"/>
      <c r="C130" s="82"/>
      <c r="D130" s="44"/>
      <c r="E130" s="44"/>
      <c r="F130" s="47"/>
      <c r="G130" s="22"/>
      <c r="H130" s="47"/>
      <c r="I130" s="47"/>
      <c r="J130" s="49"/>
      <c r="K130" s="19"/>
      <c r="L130" s="19"/>
      <c r="M130" s="19"/>
      <c r="N130" s="19"/>
      <c r="O130" s="19"/>
      <c r="P130" s="19"/>
      <c r="Q130" s="19"/>
      <c r="R130" s="19"/>
      <c r="S130" s="53"/>
      <c r="T130" s="53"/>
      <c r="U130" s="53"/>
      <c r="V130" s="53"/>
    </row>
    <row r="131" spans="1:24" x14ac:dyDescent="0.25">
      <c r="A131" s="47"/>
      <c r="B131" s="47"/>
      <c r="C131" s="82"/>
      <c r="D131" s="44"/>
      <c r="E131" s="44"/>
      <c r="F131" s="47"/>
      <c r="G131" s="22"/>
      <c r="H131" s="47"/>
      <c r="I131" s="47"/>
      <c r="J131" s="49"/>
      <c r="K131" s="19"/>
      <c r="L131" s="19"/>
      <c r="M131" s="19"/>
      <c r="N131" s="19"/>
      <c r="O131" s="19"/>
      <c r="P131" s="19"/>
      <c r="Q131" s="19"/>
      <c r="R131" s="19"/>
      <c r="S131" s="53"/>
      <c r="T131" s="53"/>
      <c r="U131" s="53"/>
      <c r="V131" s="53"/>
    </row>
    <row r="132" spans="1:24" x14ac:dyDescent="0.25">
      <c r="A132" s="268"/>
      <c r="B132" s="268"/>
      <c r="C132" s="269"/>
      <c r="D132" s="270"/>
      <c r="E132" s="270">
        <f>SUM(E81:E131)</f>
        <v>181551</v>
      </c>
      <c r="F132" s="268"/>
      <c r="G132" s="271"/>
      <c r="H132" s="268"/>
      <c r="I132" s="268"/>
      <c r="J132" s="272"/>
      <c r="K132" s="19"/>
      <c r="L132" s="19"/>
      <c r="M132" s="19"/>
      <c r="N132" s="19"/>
      <c r="O132" s="19"/>
      <c r="P132" s="19"/>
      <c r="Q132" s="19"/>
      <c r="R132" s="19"/>
      <c r="S132" s="53"/>
      <c r="T132" s="53"/>
      <c r="U132" s="53"/>
      <c r="V132" s="53"/>
    </row>
    <row r="133" spans="1:24" x14ac:dyDescent="0.25">
      <c r="A133" s="47"/>
      <c r="B133" s="47"/>
      <c r="C133" s="82"/>
      <c r="D133" s="44"/>
      <c r="E133" s="44"/>
      <c r="F133" s="47"/>
      <c r="G133" s="22"/>
      <c r="H133" s="47"/>
      <c r="I133" s="47"/>
      <c r="J133" s="49"/>
      <c r="K133" s="19"/>
      <c r="L133" s="19"/>
      <c r="M133" s="19"/>
      <c r="N133" s="19"/>
      <c r="O133" s="19"/>
      <c r="P133" s="19"/>
      <c r="Q133" s="19"/>
      <c r="R133" s="19"/>
      <c r="S133" s="53"/>
      <c r="T133" s="53"/>
      <c r="U133" s="53"/>
      <c r="V133" s="53"/>
    </row>
    <row r="134" spans="1:24" x14ac:dyDescent="0.25">
      <c r="A134" s="25"/>
      <c r="B134" s="25"/>
      <c r="C134" s="25"/>
      <c r="D134" s="86"/>
      <c r="E134" s="86"/>
      <c r="F134" s="25"/>
      <c r="G134" s="87"/>
      <c r="H134" s="25"/>
      <c r="I134" s="25"/>
      <c r="J134" s="53"/>
      <c r="K134" s="19"/>
      <c r="L134" s="19"/>
      <c r="M134" s="19"/>
      <c r="N134" s="19"/>
      <c r="O134" s="19"/>
      <c r="P134" s="19"/>
      <c r="Q134" s="19"/>
      <c r="R134" s="19"/>
      <c r="S134" s="53"/>
      <c r="T134" s="53"/>
      <c r="U134" s="53"/>
      <c r="V134" s="53"/>
    </row>
    <row r="135" spans="1:24" x14ac:dyDescent="0.25">
      <c r="R135" s="53"/>
      <c r="S135" s="53"/>
      <c r="T135" s="53"/>
      <c r="U135" s="53"/>
      <c r="V135" s="53"/>
    </row>
    <row r="136" spans="1:24" x14ac:dyDescent="0.25">
      <c r="H136" s="21">
        <f>SUBTOTAL(9,D2:D133)</f>
        <v>0</v>
      </c>
      <c r="I136" s="21">
        <f>SUBTOTAL(9,E2:E131)</f>
        <v>7639245</v>
      </c>
      <c r="J136" s="21">
        <f>SUBTOTAL(9,F2:F133)</f>
        <v>7580000</v>
      </c>
      <c r="R136" s="53"/>
      <c r="S136" s="53"/>
      <c r="T136" s="53"/>
      <c r="U136" s="53"/>
      <c r="V136" s="53"/>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166</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0" t="s">
        <v>4</v>
      </c>
      <c r="C141" s="30" t="s">
        <v>67</v>
      </c>
      <c r="D141" s="31" t="s">
        <v>119</v>
      </c>
      <c r="E141" s="30" t="s">
        <v>120</v>
      </c>
      <c r="F141" s="30" t="s">
        <v>121</v>
      </c>
      <c r="G141" s="31" t="s">
        <v>84</v>
      </c>
      <c r="H141" s="31"/>
      <c r="N141" s="19"/>
      <c r="O141" s="19"/>
      <c r="P141" s="19"/>
      <c r="Q141" s="19"/>
      <c r="R141" s="19"/>
      <c r="S141" s="19"/>
      <c r="T141" s="19"/>
      <c r="U141" s="19"/>
      <c r="V141" s="21"/>
      <c r="W141" s="21"/>
      <c r="X141" s="21"/>
    </row>
    <row r="142" spans="1:24" x14ac:dyDescent="0.25">
      <c r="B142" s="44" t="s">
        <v>172</v>
      </c>
      <c r="C142" s="44">
        <f>'BCI '!H158</f>
        <v>70653</v>
      </c>
      <c r="D142" s="47">
        <f>Security!F67</f>
        <v>-18308</v>
      </c>
      <c r="E142" s="44"/>
      <c r="F142" s="44">
        <f>C142+D142</f>
        <v>52345</v>
      </c>
      <c r="G142" s="47"/>
      <c r="H142" s="47">
        <f>+F142-G142</f>
        <v>52345</v>
      </c>
      <c r="J142" s="22"/>
      <c r="K142" s="46"/>
      <c r="N142" s="19"/>
      <c r="O142" s="19"/>
      <c r="P142" s="19"/>
      <c r="Q142" s="19"/>
      <c r="R142" s="19"/>
      <c r="S142" s="19"/>
      <c r="T142" s="19"/>
      <c r="U142" s="19"/>
      <c r="V142" s="21"/>
      <c r="W142" s="21"/>
      <c r="X142" s="21"/>
    </row>
    <row r="143" spans="1:24" x14ac:dyDescent="0.25">
      <c r="B143" s="44" t="s">
        <v>31</v>
      </c>
      <c r="C143" s="44">
        <f>'BCI '!H159</f>
        <v>4129345</v>
      </c>
      <c r="D143" s="47">
        <f>Security!F68</f>
        <v>0</v>
      </c>
      <c r="E143" s="44"/>
      <c r="F143" s="44">
        <f t="shared" ref="F143:F148" si="2">C143+D143</f>
        <v>4129345</v>
      </c>
      <c r="G143" s="47"/>
      <c r="H143" s="47">
        <f t="shared" ref="H143:H158" si="3">+F143-G143</f>
        <v>4129345</v>
      </c>
      <c r="J143" s="22">
        <v>0</v>
      </c>
      <c r="K143" s="129" t="s">
        <v>69</v>
      </c>
      <c r="N143" s="19"/>
      <c r="O143" s="19"/>
      <c r="P143" s="19"/>
      <c r="Q143" s="19"/>
      <c r="R143" s="19"/>
      <c r="S143" s="19"/>
      <c r="T143" s="19"/>
      <c r="U143" s="19"/>
      <c r="V143" s="21"/>
      <c r="W143" s="21"/>
      <c r="X143" s="21"/>
    </row>
    <row r="144" spans="1:24" x14ac:dyDescent="0.25">
      <c r="B144" s="44" t="s">
        <v>101</v>
      </c>
      <c r="C144" s="44">
        <f>'BCI '!H160</f>
        <v>489997</v>
      </c>
      <c r="D144" s="47">
        <f>Security!F69</f>
        <v>0</v>
      </c>
      <c r="E144" s="44"/>
      <c r="F144" s="44">
        <f t="shared" si="2"/>
        <v>489997</v>
      </c>
      <c r="G144" s="47"/>
      <c r="H144" s="47">
        <f t="shared" si="3"/>
        <v>489997</v>
      </c>
      <c r="J144" s="22">
        <f>F76</f>
        <v>3790000</v>
      </c>
      <c r="K144" s="46" t="s">
        <v>71</v>
      </c>
      <c r="L144" s="19"/>
      <c r="N144" s="19"/>
      <c r="O144" s="19"/>
      <c r="P144" s="19"/>
      <c r="Q144" s="19"/>
      <c r="R144" s="19"/>
      <c r="S144" s="19"/>
      <c r="T144" s="19"/>
      <c r="U144" s="19"/>
      <c r="V144" s="21"/>
    </row>
    <row r="145" spans="2:24" x14ac:dyDescent="0.25">
      <c r="B145" s="44" t="s">
        <v>171</v>
      </c>
      <c r="C145" s="44">
        <f>'BCI '!H161</f>
        <v>252247.8</v>
      </c>
      <c r="D145" s="47">
        <f>Security!F70</f>
        <v>0</v>
      </c>
      <c r="E145" s="44"/>
      <c r="F145" s="44">
        <f t="shared" si="2"/>
        <v>252247.8</v>
      </c>
      <c r="G145" s="47"/>
      <c r="H145" s="47">
        <f t="shared" si="3"/>
        <v>252247.8</v>
      </c>
      <c r="J145" s="22">
        <f>J144+J143-J157</f>
        <v>283282</v>
      </c>
      <c r="K145" s="46" t="s">
        <v>70</v>
      </c>
      <c r="L145" s="19"/>
      <c r="N145" s="19"/>
      <c r="O145" s="19"/>
      <c r="P145" s="19"/>
      <c r="Q145" s="19"/>
      <c r="R145" s="19"/>
      <c r="S145" s="19"/>
      <c r="T145" s="19"/>
      <c r="U145" s="19"/>
      <c r="V145" s="21"/>
    </row>
    <row r="146" spans="2:24" x14ac:dyDescent="0.25">
      <c r="B146" s="44" t="s">
        <v>8</v>
      </c>
      <c r="C146" s="44">
        <f>'BCI '!H162+J157</f>
        <v>4283232</v>
      </c>
      <c r="D146" s="47">
        <f>Security!F71</f>
        <v>0</v>
      </c>
      <c r="E146" s="44"/>
      <c r="F146" s="44">
        <f t="shared" si="2"/>
        <v>4283232</v>
      </c>
      <c r="G146" s="47">
        <f t="shared" ref="G146:G151" si="4">F146*0.19</f>
        <v>813814.08</v>
      </c>
      <c r="H146" s="47">
        <f t="shared" si="3"/>
        <v>3469417.92</v>
      </c>
      <c r="J146" s="22"/>
      <c r="K146" s="46"/>
      <c r="L146" s="19"/>
      <c r="N146" s="19"/>
      <c r="O146" s="19"/>
      <c r="P146" s="19"/>
      <c r="Q146" s="19"/>
      <c r="R146" s="19"/>
      <c r="S146" s="19"/>
      <c r="T146" s="19"/>
      <c r="U146" s="19"/>
      <c r="V146" s="21"/>
    </row>
    <row r="147" spans="2:24" x14ac:dyDescent="0.25">
      <c r="B147" s="44"/>
      <c r="C147" s="44">
        <f>'BCI '!H163+J158</f>
        <v>3790000</v>
      </c>
      <c r="D147" s="47">
        <f>Security!F72</f>
        <v>0</v>
      </c>
      <c r="E147" s="44"/>
      <c r="F147" s="44">
        <f t="shared" si="2"/>
        <v>3790000</v>
      </c>
      <c r="G147" s="47">
        <f t="shared" si="4"/>
        <v>720100</v>
      </c>
      <c r="H147" s="47">
        <f t="shared" si="3"/>
        <v>3069900</v>
      </c>
      <c r="J147" s="51" t="s">
        <v>50</v>
      </c>
      <c r="K147" s="50" t="s">
        <v>49</v>
      </c>
      <c r="L147" s="19"/>
      <c r="N147" s="19"/>
      <c r="O147" s="19"/>
      <c r="P147" s="19"/>
      <c r="Q147" s="19"/>
      <c r="R147" s="19"/>
      <c r="S147" s="19"/>
      <c r="T147" s="19"/>
      <c r="U147" s="19"/>
      <c r="V147" s="21"/>
    </row>
    <row r="148" spans="2:24" x14ac:dyDescent="0.25">
      <c r="B148" s="44" t="s">
        <v>175</v>
      </c>
      <c r="C148" s="44">
        <f>'BCI '!H164+J159</f>
        <v>630149</v>
      </c>
      <c r="D148" s="47">
        <f>Security!F73</f>
        <v>0</v>
      </c>
      <c r="E148" s="44"/>
      <c r="F148" s="44">
        <f t="shared" si="2"/>
        <v>630149</v>
      </c>
      <c r="G148" s="47"/>
      <c r="H148" s="47">
        <f t="shared" si="3"/>
        <v>630149</v>
      </c>
      <c r="J148" s="221">
        <f>SUMIF($I$2:$I$133,K148,$E$2:$E$133)</f>
        <v>336305</v>
      </c>
      <c r="K148" s="49" t="s">
        <v>189</v>
      </c>
      <c r="L148" s="153">
        <f>-J148</f>
        <v>-336305</v>
      </c>
      <c r="N148" s="19"/>
      <c r="O148" s="19"/>
      <c r="P148" s="19"/>
      <c r="Q148" s="19"/>
      <c r="R148" s="19"/>
      <c r="S148" s="19"/>
      <c r="T148" s="19"/>
      <c r="U148" s="19"/>
      <c r="V148" s="21"/>
    </row>
    <row r="149" spans="2:24" x14ac:dyDescent="0.25">
      <c r="B149" s="44" t="s">
        <v>174</v>
      </c>
      <c r="C149" s="44">
        <f>'BCI '!H165+J160</f>
        <v>1187970</v>
      </c>
      <c r="D149" s="47">
        <f>Security!F74</f>
        <v>0</v>
      </c>
      <c r="E149" s="44"/>
      <c r="F149" s="44">
        <f t="shared" ref="F149:F158" si="5">C149+D149</f>
        <v>1187970</v>
      </c>
      <c r="G149" s="47">
        <f t="shared" si="4"/>
        <v>225714.3</v>
      </c>
      <c r="H149" s="47">
        <f t="shared" si="3"/>
        <v>962255.7</v>
      </c>
      <c r="J149" s="221">
        <f t="shared" ref="J149:J156" si="6">SUMIF($I$2:$I$133,K149,$E$2:$E$133)</f>
        <v>243653</v>
      </c>
      <c r="K149" s="49" t="s">
        <v>187</v>
      </c>
      <c r="L149" s="153">
        <f t="shared" ref="L149:L156" si="7">-J149</f>
        <v>-243653</v>
      </c>
      <c r="N149" s="19"/>
      <c r="O149" s="19"/>
      <c r="P149" s="19"/>
      <c r="Q149" s="19"/>
      <c r="R149" s="19"/>
      <c r="S149" s="19"/>
      <c r="T149" s="19"/>
      <c r="U149" s="19"/>
      <c r="V149" s="21"/>
    </row>
    <row r="150" spans="2:24" x14ac:dyDescent="0.25">
      <c r="B150" s="44" t="s">
        <v>24</v>
      </c>
      <c r="C150" s="44">
        <f>'BCI '!H166</f>
        <v>0</v>
      </c>
      <c r="D150" s="47">
        <f>Security!F75</f>
        <v>1801131</v>
      </c>
      <c r="E150" s="44"/>
      <c r="F150" s="44">
        <f t="shared" si="5"/>
        <v>1801131</v>
      </c>
      <c r="G150" s="47"/>
      <c r="H150" s="47">
        <f t="shared" si="3"/>
        <v>1801131</v>
      </c>
      <c r="J150" s="221">
        <f t="shared" si="6"/>
        <v>365742</v>
      </c>
      <c r="K150" s="49" t="s">
        <v>198</v>
      </c>
      <c r="L150" s="153">
        <f t="shared" si="7"/>
        <v>-365742</v>
      </c>
      <c r="N150" s="19"/>
      <c r="O150" s="19"/>
      <c r="P150" s="19"/>
      <c r="Q150" s="19"/>
      <c r="R150" s="19"/>
      <c r="S150" s="19"/>
      <c r="T150" s="19"/>
      <c r="U150" s="19"/>
      <c r="V150" s="21"/>
    </row>
    <row r="151" spans="2:24" x14ac:dyDescent="0.25">
      <c r="B151" s="44" t="s">
        <v>11</v>
      </c>
      <c r="C151" s="44">
        <f>'BCI '!H167</f>
        <v>0</v>
      </c>
      <c r="D151" s="47">
        <f>Security!F76</f>
        <v>0</v>
      </c>
      <c r="E151" s="44"/>
      <c r="F151" s="44">
        <f t="shared" si="5"/>
        <v>0</v>
      </c>
      <c r="G151" s="47">
        <f t="shared" si="4"/>
        <v>0</v>
      </c>
      <c r="H151" s="47">
        <f t="shared" si="3"/>
        <v>0</v>
      </c>
      <c r="J151" s="221">
        <f t="shared" si="6"/>
        <v>107788</v>
      </c>
      <c r="K151" s="49" t="s">
        <v>186</v>
      </c>
      <c r="L151" s="153">
        <f t="shared" si="7"/>
        <v>-107788</v>
      </c>
      <c r="N151" s="19"/>
      <c r="O151" s="19"/>
      <c r="P151" s="19"/>
      <c r="Q151" s="19"/>
      <c r="R151" s="19"/>
      <c r="S151" s="19"/>
      <c r="T151" s="19"/>
      <c r="U151" s="19"/>
      <c r="V151" s="21"/>
    </row>
    <row r="152" spans="2:24" x14ac:dyDescent="0.25">
      <c r="B152" s="44" t="s">
        <v>19</v>
      </c>
      <c r="C152" s="44">
        <f>'BCI '!H168</f>
        <v>4349426</v>
      </c>
      <c r="D152" s="47">
        <f>Security!F77</f>
        <v>906768</v>
      </c>
      <c r="E152" s="44"/>
      <c r="F152" s="44">
        <f t="shared" si="5"/>
        <v>5256194</v>
      </c>
      <c r="G152" s="47"/>
      <c r="H152" s="47">
        <f t="shared" si="3"/>
        <v>5256194</v>
      </c>
      <c r="J152" s="221">
        <f t="shared" si="6"/>
        <v>1396286</v>
      </c>
      <c r="K152" s="49" t="s">
        <v>188</v>
      </c>
      <c r="L152" s="153">
        <f t="shared" si="7"/>
        <v>-1396286</v>
      </c>
      <c r="N152" s="19"/>
      <c r="O152" s="19"/>
      <c r="P152" s="19"/>
      <c r="Q152" s="19"/>
      <c r="R152" s="19"/>
      <c r="S152" s="19"/>
      <c r="T152" s="19"/>
      <c r="U152" s="19"/>
      <c r="V152" s="21"/>
      <c r="W152" s="21"/>
      <c r="X152" s="21"/>
    </row>
    <row r="153" spans="2:24" x14ac:dyDescent="0.25">
      <c r="B153" s="44" t="s">
        <v>176</v>
      </c>
      <c r="C153" s="44">
        <f>'BCI '!H169</f>
        <v>1719776</v>
      </c>
      <c r="D153" s="47">
        <f>Security!F78</f>
        <v>0</v>
      </c>
      <c r="E153" s="44"/>
      <c r="F153" s="44">
        <f t="shared" si="5"/>
        <v>1719776</v>
      </c>
      <c r="G153" s="47">
        <f>F153*0.19</f>
        <v>326757.44</v>
      </c>
      <c r="H153" s="47">
        <f t="shared" si="3"/>
        <v>1393018.56</v>
      </c>
      <c r="J153" s="221">
        <f t="shared" si="6"/>
        <v>704820</v>
      </c>
      <c r="K153" s="49" t="s">
        <v>56</v>
      </c>
      <c r="L153" s="153">
        <f t="shared" si="7"/>
        <v>-704820</v>
      </c>
      <c r="M153" s="72"/>
      <c r="N153" s="19"/>
      <c r="O153" s="19"/>
      <c r="P153" s="19"/>
      <c r="Q153" s="19"/>
      <c r="R153" s="19"/>
      <c r="S153" s="19"/>
      <c r="T153" s="19"/>
      <c r="U153" s="19"/>
      <c r="V153" s="21"/>
      <c r="W153" s="21"/>
      <c r="X153" s="21"/>
    </row>
    <row r="154" spans="2:24" x14ac:dyDescent="0.25">
      <c r="B154" s="44" t="s">
        <v>30</v>
      </c>
      <c r="C154" s="44">
        <f>'BCI '!H170</f>
        <v>7084840</v>
      </c>
      <c r="D154" s="47">
        <f>Security!F79</f>
        <v>1654272</v>
      </c>
      <c r="E154" s="44"/>
      <c r="F154" s="44">
        <f t="shared" si="5"/>
        <v>8739112</v>
      </c>
      <c r="G154" s="47"/>
      <c r="H154" s="47">
        <f t="shared" si="3"/>
        <v>8739112</v>
      </c>
      <c r="J154" s="221">
        <f t="shared" si="6"/>
        <v>134180</v>
      </c>
      <c r="K154" s="49" t="s">
        <v>191</v>
      </c>
      <c r="L154" s="153">
        <f t="shared" si="7"/>
        <v>-134180</v>
      </c>
      <c r="Q154" s="19"/>
      <c r="R154" s="19"/>
      <c r="S154" s="19"/>
      <c r="T154" s="19"/>
      <c r="U154" s="21"/>
      <c r="V154" s="21"/>
      <c r="W154" s="21"/>
      <c r="X154" s="21"/>
    </row>
    <row r="155" spans="2:24" x14ac:dyDescent="0.25">
      <c r="B155" s="44" t="s">
        <v>134</v>
      </c>
      <c r="C155" s="44">
        <f>'BCI '!H171</f>
        <v>9355</v>
      </c>
      <c r="D155" s="47">
        <f>Security!F80</f>
        <v>25026000</v>
      </c>
      <c r="E155" s="44"/>
      <c r="F155" s="44">
        <f t="shared" si="5"/>
        <v>25035355</v>
      </c>
      <c r="G155" s="47"/>
      <c r="H155" s="47">
        <f t="shared" si="3"/>
        <v>25035355</v>
      </c>
      <c r="J155" s="221">
        <f t="shared" si="6"/>
        <v>15000</v>
      </c>
      <c r="K155" s="49" t="s">
        <v>68</v>
      </c>
      <c r="L155" s="153">
        <f t="shared" si="7"/>
        <v>-15000</v>
      </c>
      <c r="O155" s="21"/>
      <c r="Q155" s="19"/>
      <c r="R155" s="19"/>
      <c r="S155" s="19"/>
      <c r="T155" s="19"/>
      <c r="U155" s="21"/>
      <c r="V155" s="21"/>
      <c r="W155" s="21"/>
      <c r="X155" s="21"/>
    </row>
    <row r="156" spans="2:24" x14ac:dyDescent="0.25">
      <c r="B156" s="44" t="s">
        <v>135</v>
      </c>
      <c r="C156" s="44">
        <f>'BCI '!H172</f>
        <v>-31661769</v>
      </c>
      <c r="D156" s="47">
        <f>Security!F81</f>
        <v>-23380642.82</v>
      </c>
      <c r="E156" s="44"/>
      <c r="F156" s="44">
        <f t="shared" si="5"/>
        <v>-55042411.82</v>
      </c>
      <c r="G156" s="47"/>
      <c r="H156" s="47">
        <f t="shared" si="3"/>
        <v>-55042411.82</v>
      </c>
      <c r="J156" s="221">
        <f t="shared" si="6"/>
        <v>202944</v>
      </c>
      <c r="K156" s="49" t="s">
        <v>149</v>
      </c>
      <c r="L156" s="153">
        <f t="shared" si="7"/>
        <v>-202944</v>
      </c>
      <c r="N156" s="19"/>
      <c r="O156" s="21"/>
      <c r="Q156" s="19"/>
      <c r="R156" s="19"/>
      <c r="S156" s="19"/>
      <c r="T156" s="19"/>
      <c r="U156" s="21"/>
      <c r="V156" s="21"/>
      <c r="W156" s="21"/>
      <c r="X156" s="21"/>
    </row>
    <row r="157" spans="2:24" x14ac:dyDescent="0.25">
      <c r="B157" s="44" t="s">
        <v>177</v>
      </c>
      <c r="C157" s="44">
        <f>'BCI '!H173</f>
        <v>-611493</v>
      </c>
      <c r="D157" s="47">
        <f>Security!F82</f>
        <v>0</v>
      </c>
      <c r="E157" s="44"/>
      <c r="F157" s="44">
        <f t="shared" si="5"/>
        <v>-611493</v>
      </c>
      <c r="G157" s="47"/>
      <c r="H157" s="47">
        <f t="shared" si="3"/>
        <v>-611493</v>
      </c>
      <c r="J157" s="69">
        <f>SUM(J148:J156)</f>
        <v>3506718</v>
      </c>
      <c r="K157" s="68"/>
      <c r="L157" s="19"/>
      <c r="N157" s="19"/>
      <c r="O157" s="21"/>
      <c r="Q157" s="19"/>
      <c r="R157" s="19"/>
      <c r="S157" s="19"/>
      <c r="T157" s="19"/>
      <c r="U157" s="21"/>
      <c r="V157" s="21"/>
      <c r="W157" s="21"/>
      <c r="X157" s="21"/>
    </row>
    <row r="158" spans="2:24" x14ac:dyDescent="0.25">
      <c r="B158" s="44" t="s">
        <v>178</v>
      </c>
      <c r="C158" s="44">
        <f>'BCI '!H174</f>
        <v>-5940</v>
      </c>
      <c r="D158" s="47">
        <f>Security!F83</f>
        <v>0</v>
      </c>
      <c r="E158" s="44"/>
      <c r="F158" s="44">
        <f t="shared" si="5"/>
        <v>-5940</v>
      </c>
      <c r="G158" s="47"/>
      <c r="H158" s="47">
        <f t="shared" si="3"/>
        <v>-5940</v>
      </c>
      <c r="J158" s="19"/>
      <c r="K158" s="19"/>
      <c r="L158" s="19"/>
      <c r="N158" s="19"/>
      <c r="O158" s="21"/>
      <c r="Q158" s="19"/>
      <c r="R158" s="19"/>
      <c r="S158" s="19"/>
      <c r="T158" s="19"/>
      <c r="U158" s="21"/>
      <c r="V158" s="21"/>
      <c r="W158" s="21"/>
      <c r="X158" s="21"/>
    </row>
    <row r="159" spans="2:24" x14ac:dyDescent="0.25">
      <c r="B159" s="120" t="s">
        <v>22</v>
      </c>
      <c r="C159" s="120">
        <f>SUM(C142:C158)</f>
        <v>-4282211.1999999993</v>
      </c>
      <c r="D159" s="121">
        <f>SUM(D142:D158)</f>
        <v>5989220.1799999997</v>
      </c>
      <c r="E159" s="120"/>
      <c r="F159" s="120">
        <f>SUM(F142:F158)</f>
        <v>1707008.9799999967</v>
      </c>
      <c r="G159" s="121">
        <f>SUM(G142:G158)</f>
        <v>2086385.82</v>
      </c>
      <c r="H159" s="121"/>
      <c r="J159" s="19"/>
      <c r="K159" s="19"/>
      <c r="L159" s="19"/>
      <c r="N159" s="19"/>
      <c r="O159" s="21"/>
      <c r="Q159" s="21"/>
      <c r="R159" s="21"/>
      <c r="S159" s="21"/>
      <c r="T159" s="21"/>
      <c r="U159" s="21"/>
      <c r="V159" s="21"/>
      <c r="W159" s="21"/>
      <c r="X159" s="21"/>
    </row>
    <row r="160" spans="2:24" x14ac:dyDescent="0.25">
      <c r="B160" s="44"/>
      <c r="C160" s="44"/>
      <c r="D160" s="47"/>
      <c r="E160" s="44"/>
      <c r="F160" s="44"/>
      <c r="K160" s="19"/>
      <c r="L160" s="19"/>
      <c r="N160" s="19"/>
      <c r="O160" s="21"/>
      <c r="Q160" s="21"/>
      <c r="R160" s="21"/>
      <c r="S160" s="21"/>
      <c r="T160" s="21"/>
      <c r="U160" s="21"/>
      <c r="V160" s="21"/>
      <c r="W160" s="21"/>
      <c r="X160" s="21"/>
    </row>
    <row r="161" spans="1:24" ht="18.75" x14ac:dyDescent="0.3">
      <c r="B161" s="44"/>
      <c r="C161" s="44"/>
      <c r="D161" s="47"/>
      <c r="E161" s="44"/>
      <c r="F161" s="123"/>
      <c r="G161" s="123"/>
      <c r="H161" s="124"/>
      <c r="K161" s="19"/>
      <c r="L161" s="19"/>
      <c r="N161" s="19"/>
      <c r="O161" s="21"/>
      <c r="Q161" s="21"/>
      <c r="R161" s="21"/>
      <c r="S161" s="21"/>
      <c r="T161" s="21"/>
      <c r="U161" s="21"/>
      <c r="V161" s="21"/>
      <c r="W161" s="21"/>
      <c r="X161" s="21"/>
    </row>
    <row r="162" spans="1:24" ht="18.75" x14ac:dyDescent="0.3">
      <c r="A162" s="21"/>
      <c r="B162" s="44"/>
      <c r="C162" s="44"/>
      <c r="D162" s="47"/>
      <c r="E162" s="47"/>
      <c r="F162" s="123"/>
      <c r="G162" s="123"/>
      <c r="H162" s="124"/>
      <c r="K162" s="19"/>
      <c r="L162" s="19"/>
      <c r="O162" s="21"/>
      <c r="Q162" s="21"/>
      <c r="R162" s="21"/>
      <c r="S162" s="21"/>
      <c r="T162" s="21"/>
      <c r="U162" s="21"/>
      <c r="V162" s="21"/>
      <c r="W162" s="21"/>
      <c r="X162" s="21"/>
    </row>
    <row r="163" spans="1:24" ht="18.75" x14ac:dyDescent="0.3">
      <c r="A163" s="21"/>
      <c r="B163" s="120" t="s">
        <v>22</v>
      </c>
      <c r="C163" s="120"/>
      <c r="D163" s="121"/>
      <c r="E163" s="30"/>
      <c r="F163" s="30"/>
      <c r="G163" s="30"/>
      <c r="H163" s="125">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count="2">
    <dataValidation type="list" allowBlank="1" showInputMessage="1" showErrorMessage="1" sqref="I61 K23:K25 I116:I121">
      <formula1>Clasificación</formula1>
    </dataValidation>
    <dataValidation type="list" allowBlank="1" showInputMessage="1" showErrorMessage="1" sqref="I80:I115 I2:I60 K15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baseColWidth="10" defaultRowHeight="15" x14ac:dyDescent="0.25"/>
  <cols>
    <col min="1" max="1" width="51" customWidth="1"/>
  </cols>
  <sheetData>
    <row r="1" spans="1:1" ht="26.25" x14ac:dyDescent="0.4">
      <c r="A1" s="216" t="s">
        <v>170</v>
      </c>
    </row>
    <row r="2" spans="1:1" ht="26.25" x14ac:dyDescent="0.4">
      <c r="A2" s="217" t="s">
        <v>172</v>
      </c>
    </row>
    <row r="3" spans="1:1" ht="26.25" x14ac:dyDescent="0.4">
      <c r="A3" s="217" t="s">
        <v>31</v>
      </c>
    </row>
    <row r="4" spans="1:1" ht="26.25" x14ac:dyDescent="0.4">
      <c r="A4" s="217" t="s">
        <v>101</v>
      </c>
    </row>
    <row r="5" spans="1:1" ht="26.25" x14ac:dyDescent="0.4">
      <c r="A5" s="218" t="s">
        <v>171</v>
      </c>
    </row>
    <row r="6" spans="1:1" ht="26.25" x14ac:dyDescent="0.4">
      <c r="A6" s="218" t="s">
        <v>8</v>
      </c>
    </row>
    <row r="7" spans="1:1" ht="26.25" x14ac:dyDescent="0.4">
      <c r="A7" s="219" t="s">
        <v>173</v>
      </c>
    </row>
    <row r="8" spans="1:1" ht="26.25" x14ac:dyDescent="0.4">
      <c r="A8" s="217" t="s">
        <v>175</v>
      </c>
    </row>
    <row r="9" spans="1:1" ht="26.25" x14ac:dyDescent="0.4">
      <c r="A9" s="217" t="s">
        <v>174</v>
      </c>
    </row>
    <row r="10" spans="1:1" ht="26.25" x14ac:dyDescent="0.4">
      <c r="A10" s="219" t="s">
        <v>24</v>
      </c>
    </row>
    <row r="11" spans="1:1" ht="26.25" x14ac:dyDescent="0.4">
      <c r="A11" s="217" t="s">
        <v>11</v>
      </c>
    </row>
    <row r="12" spans="1:1" ht="26.25" x14ac:dyDescent="0.4">
      <c r="A12" s="217" t="s">
        <v>19</v>
      </c>
    </row>
    <row r="13" spans="1:1" ht="26.25" x14ac:dyDescent="0.4">
      <c r="A13" s="218" t="s">
        <v>176</v>
      </c>
    </row>
    <row r="14" spans="1:1" ht="26.25" x14ac:dyDescent="0.4">
      <c r="A14" s="217" t="s">
        <v>30</v>
      </c>
    </row>
    <row r="15" spans="1:1" ht="26.25" x14ac:dyDescent="0.4">
      <c r="A15" s="218" t="s">
        <v>134</v>
      </c>
    </row>
    <row r="16" spans="1:1" ht="26.25" x14ac:dyDescent="0.4">
      <c r="A16" s="217" t="s">
        <v>135</v>
      </c>
    </row>
    <row r="17" spans="1:1" ht="26.25" x14ac:dyDescent="0.4">
      <c r="A17" s="217" t="s">
        <v>177</v>
      </c>
    </row>
    <row r="18" spans="1:1" ht="26.25" x14ac:dyDescent="0.4">
      <c r="A18" s="217" t="s">
        <v>178</v>
      </c>
    </row>
    <row r="19" spans="1:1" ht="26.25" x14ac:dyDescent="0.4">
      <c r="A19" s="220" t="s">
        <v>203</v>
      </c>
    </row>
    <row r="20" spans="1:1" ht="21.6" customHeight="1" x14ac:dyDescent="0.4">
      <c r="A20" s="220" t="s">
        <v>217</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214</v>
      </c>
    </row>
    <row r="3" spans="2:7" x14ac:dyDescent="0.25">
      <c r="B3" t="s">
        <v>211</v>
      </c>
      <c r="C3" t="s">
        <v>123</v>
      </c>
      <c r="D3" t="s">
        <v>128</v>
      </c>
      <c r="E3" t="s">
        <v>150</v>
      </c>
      <c r="F3" s="226">
        <v>1817451</v>
      </c>
      <c r="G3" t="s">
        <v>213</v>
      </c>
    </row>
    <row r="4" spans="2:7" x14ac:dyDescent="0.25">
      <c r="B4" s="194">
        <v>42867</v>
      </c>
      <c r="C4" t="s">
        <v>212</v>
      </c>
      <c r="D4">
        <v>18220448</v>
      </c>
      <c r="E4">
        <v>0</v>
      </c>
      <c r="F4" s="226">
        <v>4684019</v>
      </c>
      <c r="G4" t="s">
        <v>215</v>
      </c>
    </row>
    <row r="5" spans="2:7" x14ac:dyDescent="0.25">
      <c r="F5" s="226">
        <f>SUM(F3:F4)</f>
        <v>6501470</v>
      </c>
    </row>
    <row r="6" spans="2:7" x14ac:dyDescent="0.25">
      <c r="E6" t="s">
        <v>82</v>
      </c>
      <c r="F6" s="226">
        <f>+F5/1.19</f>
        <v>5463420.1680672271</v>
      </c>
    </row>
    <row r="7" spans="2:7" x14ac:dyDescent="0.25">
      <c r="E7" t="s">
        <v>83</v>
      </c>
      <c r="F7" s="226">
        <f>+F6*0.19</f>
        <v>1038049.8319327731</v>
      </c>
    </row>
    <row r="8" spans="2:7" x14ac:dyDescent="0.25">
      <c r="F8" s="2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Ago</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2021-12-30T16:25:21Z</dcterms:modified>
</cp:coreProperties>
</file>