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shortcut-targets-by-id\1vNstHq0SqZxu9Mn7yUcvjbLY-eS-NEHl\HOTEL PASCUAL 2018\EERR\2019\11.-Noviembre\"/>
    </mc:Choice>
  </mc:AlternateContent>
  <bookViews>
    <workbookView xWindow="0" yWindow="0" windowWidth="28800" windowHeight="12135"/>
  </bookViews>
  <sheets>
    <sheet name="EERR" sheetId="11" r:id="rId1"/>
    <sheet name="Nov"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s>
  <definedNames>
    <definedName name="_xlnm._FilterDatabase" localSheetId="4" hidden="1">'BCI '!$O$2:$W$34</definedName>
    <definedName name="_xlnm._FilterDatabase" localSheetId="6" hidden="1">'BCI FondRendir'!$A$1:$J$134</definedName>
    <definedName name="_xlnm._FilterDatabase" localSheetId="1" hidden="1">Nov!$A$2:$X$110</definedName>
    <definedName name="_xlnm._FilterDatabase" localSheetId="5" hidden="1">Security!$A$1:$G$61</definedName>
    <definedName name="_xlnm._FilterDatabase" localSheetId="2" hidden="1">Siteminder!$A$4:$K$4</definedName>
    <definedName name="_xlnm._FilterDatabase" localSheetId="3" hidden="1">Transbank!$A$1:$S$356</definedName>
    <definedName name="Clasificación">[1]Hoja1!$A$2:$A$10</definedName>
  </definedNames>
  <calcPr calcId="152511"/>
</workbook>
</file>

<file path=xl/calcChain.xml><?xml version="1.0" encoding="utf-8"?>
<calcChain xmlns="http://schemas.openxmlformats.org/spreadsheetml/2006/main">
  <c r="H143" i="14" l="1"/>
  <c r="H144" i="14"/>
  <c r="H145" i="14"/>
  <c r="H146" i="14"/>
  <c r="H147" i="14"/>
  <c r="H148" i="14"/>
  <c r="H149" i="14"/>
  <c r="H150" i="14"/>
  <c r="H151" i="14"/>
  <c r="H152" i="14"/>
  <c r="H153" i="14"/>
  <c r="H154" i="14"/>
  <c r="H155" i="14"/>
  <c r="H156" i="14"/>
  <c r="H157" i="14"/>
  <c r="H158" i="14"/>
  <c r="H142" i="14"/>
  <c r="G147" i="14"/>
  <c r="F147" i="14"/>
  <c r="D147" i="14"/>
  <c r="D148" i="14"/>
  <c r="C147" i="14"/>
  <c r="C148" i="14"/>
  <c r="C149" i="14"/>
  <c r="J33" i="15" l="1"/>
  <c r="K33" i="15"/>
  <c r="J34" i="15"/>
  <c r="K34" i="15"/>
  <c r="O42" i="23" l="1"/>
  <c r="O43" i="23"/>
  <c r="O44" i="23"/>
  <c r="O45" i="23"/>
  <c r="O46" i="23"/>
  <c r="O47" i="23"/>
  <c r="O48" i="23"/>
  <c r="O49" i="23"/>
  <c r="O50" i="23"/>
  <c r="O51" i="23"/>
  <c r="O52" i="23"/>
  <c r="O53" i="23"/>
  <c r="O54" i="23"/>
  <c r="O55" i="23"/>
  <c r="O56" i="23"/>
  <c r="O57" i="23"/>
  <c r="O58" i="23"/>
  <c r="O59" i="23"/>
  <c r="O60" i="23"/>
  <c r="O61"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90" i="23"/>
  <c r="O191" i="23"/>
  <c r="O192" i="23"/>
  <c r="O193" i="23"/>
  <c r="O194" i="23"/>
  <c r="O195" i="23"/>
  <c r="O196" i="23"/>
  <c r="O197" i="23"/>
  <c r="O198" i="23"/>
  <c r="O199" i="23"/>
  <c r="O200" i="23"/>
  <c r="O201" i="23"/>
  <c r="O202" i="23"/>
  <c r="O203" i="23"/>
  <c r="O204" i="23"/>
  <c r="O205" i="23"/>
  <c r="O206" i="23"/>
  <c r="O207" i="23"/>
  <c r="O208" i="23"/>
  <c r="O209"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 i="23"/>
  <c r="O2" i="16"/>
  <c r="O2" i="23"/>
  <c r="L106" i="23"/>
  <c r="M106" i="23" s="1"/>
  <c r="N106" i="23"/>
  <c r="L107" i="23"/>
  <c r="M107" i="23" s="1"/>
  <c r="N107" i="23"/>
  <c r="L108" i="23"/>
  <c r="M108" i="23" s="1"/>
  <c r="N108" i="23"/>
  <c r="L109" i="23"/>
  <c r="M109" i="23" s="1"/>
  <c r="N109" i="23"/>
  <c r="L110" i="23"/>
  <c r="M110" i="23" s="1"/>
  <c r="N110" i="23"/>
  <c r="L111" i="23"/>
  <c r="M111" i="23" s="1"/>
  <c r="N111" i="23"/>
  <c r="L112" i="23"/>
  <c r="M112" i="23" s="1"/>
  <c r="N112" i="23"/>
  <c r="L113" i="23"/>
  <c r="M113" i="23" s="1"/>
  <c r="N113" i="23"/>
  <c r="L114" i="23"/>
  <c r="M114" i="23" s="1"/>
  <c r="N114" i="23"/>
  <c r="L115" i="23"/>
  <c r="M115" i="23" s="1"/>
  <c r="N115" i="23"/>
  <c r="L116" i="23"/>
  <c r="M116" i="23"/>
  <c r="N116" i="23"/>
  <c r="L117" i="23"/>
  <c r="M117" i="23" s="1"/>
  <c r="N117" i="23"/>
  <c r="L118" i="23"/>
  <c r="M118" i="23" s="1"/>
  <c r="N118" i="23"/>
  <c r="L119" i="23"/>
  <c r="M119" i="23" s="1"/>
  <c r="N119" i="23"/>
  <c r="L120" i="23"/>
  <c r="M120" i="23" s="1"/>
  <c r="N120" i="23"/>
  <c r="L121" i="23"/>
  <c r="M121" i="23" s="1"/>
  <c r="N121" i="23"/>
  <c r="L122" i="23"/>
  <c r="M122" i="23" s="1"/>
  <c r="N122" i="23"/>
  <c r="L123" i="23"/>
  <c r="M123" i="23" s="1"/>
  <c r="N123" i="23"/>
  <c r="L124" i="23"/>
  <c r="M124" i="23" s="1"/>
  <c r="N124" i="23"/>
  <c r="L125" i="23"/>
  <c r="M125" i="23" s="1"/>
  <c r="N125" i="23"/>
  <c r="L126" i="23"/>
  <c r="M126" i="23" s="1"/>
  <c r="N126" i="23"/>
  <c r="L127" i="23"/>
  <c r="M127" i="23" s="1"/>
  <c r="N127" i="23"/>
  <c r="L128" i="23"/>
  <c r="M128" i="23" s="1"/>
  <c r="N128" i="23"/>
  <c r="L129" i="23"/>
  <c r="M129" i="23" s="1"/>
  <c r="N129" i="23"/>
  <c r="L130" i="23"/>
  <c r="M130" i="23" s="1"/>
  <c r="N130" i="23"/>
  <c r="L131" i="23"/>
  <c r="M131" i="23" s="1"/>
  <c r="N131" i="23"/>
  <c r="L132" i="23"/>
  <c r="M132" i="23" s="1"/>
  <c r="N132" i="23"/>
  <c r="L133" i="23"/>
  <c r="M133" i="23" s="1"/>
  <c r="N133" i="23"/>
  <c r="L134" i="23"/>
  <c r="M134" i="23" s="1"/>
  <c r="N134" i="23"/>
  <c r="L96" i="23"/>
  <c r="M96" i="23" s="1"/>
  <c r="N96" i="23"/>
  <c r="J3" i="15" l="1"/>
  <c r="K3"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117" i="16"/>
  <c r="J115" i="16"/>
  <c r="J111" i="16"/>
  <c r="J87" i="16"/>
  <c r="J66" i="16"/>
  <c r="W8" i="16"/>
  <c r="S8" i="16"/>
  <c r="U8" i="16" s="1"/>
  <c r="T8" i="16"/>
  <c r="AA8" i="16"/>
  <c r="AA69" i="16"/>
  <c r="AA71" i="16"/>
  <c r="AA77" i="16"/>
  <c r="L28" i="23"/>
  <c r="M28" i="23" s="1"/>
  <c r="N28" i="23"/>
  <c r="V8" i="16" l="1"/>
  <c r="L331" i="23"/>
  <c r="M331" i="23" s="1"/>
  <c r="N331" i="23"/>
  <c r="L332" i="23"/>
  <c r="M332" i="23" s="1"/>
  <c r="N332" i="23"/>
  <c r="L333" i="23"/>
  <c r="M333" i="23" s="1"/>
  <c r="N333" i="23"/>
  <c r="L334" i="23"/>
  <c r="M334" i="23" s="1"/>
  <c r="N334" i="23"/>
  <c r="L335" i="23"/>
  <c r="M335" i="23" s="1"/>
  <c r="N335" i="23"/>
  <c r="L336" i="23"/>
  <c r="M336" i="23" s="1"/>
  <c r="N336" i="23"/>
  <c r="L337" i="23"/>
  <c r="M337" i="23" s="1"/>
  <c r="N337" i="23"/>
  <c r="L338" i="23"/>
  <c r="M338" i="23" s="1"/>
  <c r="N338" i="23"/>
  <c r="L339" i="23"/>
  <c r="M339" i="23" s="1"/>
  <c r="N339" i="23"/>
  <c r="L340" i="23"/>
  <c r="M340" i="23" s="1"/>
  <c r="N340" i="23"/>
  <c r="L341" i="23"/>
  <c r="M341" i="23" s="1"/>
  <c r="N341" i="23"/>
  <c r="L342" i="23"/>
  <c r="M342" i="23" s="1"/>
  <c r="N342" i="23"/>
  <c r="L343" i="23"/>
  <c r="M343" i="23" s="1"/>
  <c r="N343" i="23"/>
  <c r="L344" i="23"/>
  <c r="M344" i="23" s="1"/>
  <c r="N344" i="23"/>
  <c r="L345" i="23"/>
  <c r="M345" i="23" s="1"/>
  <c r="N345" i="23"/>
  <c r="L346" i="23"/>
  <c r="M346" i="23" s="1"/>
  <c r="N346" i="23"/>
  <c r="L347" i="23"/>
  <c r="M347" i="23" s="1"/>
  <c r="N347" i="23"/>
  <c r="L348" i="23"/>
  <c r="M348" i="23" s="1"/>
  <c r="N348" i="23"/>
  <c r="L349" i="23"/>
  <c r="M349" i="23" s="1"/>
  <c r="N349" i="23"/>
  <c r="L350" i="23"/>
  <c r="M350" i="23" s="1"/>
  <c r="N350" i="23"/>
  <c r="L351" i="23"/>
  <c r="M351" i="23" s="1"/>
  <c r="N351" i="23"/>
  <c r="L352" i="23"/>
  <c r="M352" i="23" s="1"/>
  <c r="N352" i="23"/>
  <c r="L353" i="23"/>
  <c r="M353" i="23" s="1"/>
  <c r="N353" i="23"/>
  <c r="L354" i="23"/>
  <c r="M354" i="23" s="1"/>
  <c r="N354" i="23"/>
  <c r="L355" i="23"/>
  <c r="M355" i="23" s="1"/>
  <c r="N355" i="23"/>
  <c r="L356" i="23"/>
  <c r="M356" i="23" s="1"/>
  <c r="N356" i="23"/>
  <c r="L191" i="23"/>
  <c r="M191" i="23" s="1"/>
  <c r="L192" i="23"/>
  <c r="M192" i="23" s="1"/>
  <c r="N192" i="23"/>
  <c r="L193" i="23"/>
  <c r="M193" i="23" s="1"/>
  <c r="N193" i="23"/>
  <c r="L194" i="23"/>
  <c r="M194" i="23" s="1"/>
  <c r="N194" i="23"/>
  <c r="L195" i="23"/>
  <c r="M195" i="23" s="1"/>
  <c r="L196" i="23"/>
  <c r="M196" i="23" s="1"/>
  <c r="L197" i="23"/>
  <c r="M197" i="23" s="1"/>
  <c r="L198" i="23"/>
  <c r="M198" i="23" s="1"/>
  <c r="N198" i="23"/>
  <c r="L199" i="23"/>
  <c r="M199" i="23" s="1"/>
  <c r="L200" i="23"/>
  <c r="M200" i="23" s="1"/>
  <c r="L201" i="23"/>
  <c r="M201" i="23" s="1"/>
  <c r="N201" i="23"/>
  <c r="L202" i="23"/>
  <c r="M202" i="23" s="1"/>
  <c r="L203" i="23"/>
  <c r="M203" i="23" s="1"/>
  <c r="N203" i="23"/>
  <c r="L204" i="23"/>
  <c r="M204" i="23" s="1"/>
  <c r="L205" i="23"/>
  <c r="M205" i="23" s="1"/>
  <c r="N205" i="23"/>
  <c r="L206" i="23"/>
  <c r="M206" i="23" s="1"/>
  <c r="L207" i="23"/>
  <c r="M207" i="23" s="1"/>
  <c r="L208" i="23"/>
  <c r="M208" i="23" s="1"/>
  <c r="L209" i="23"/>
  <c r="M209" i="23" s="1"/>
  <c r="L210" i="23"/>
  <c r="M210" i="23" s="1"/>
  <c r="L211" i="23"/>
  <c r="M211" i="23" s="1"/>
  <c r="L212" i="23"/>
  <c r="M212" i="23" s="1"/>
  <c r="L213" i="23"/>
  <c r="M213" i="23" s="1"/>
  <c r="N213" i="23"/>
  <c r="L214" i="23"/>
  <c r="M214" i="23" s="1"/>
  <c r="L215" i="23"/>
  <c r="M215" i="23" s="1"/>
  <c r="L216" i="23"/>
  <c r="M216" i="23" s="1"/>
  <c r="L217" i="23"/>
  <c r="M217" i="23" s="1"/>
  <c r="L218" i="23"/>
  <c r="M218" i="23" s="1"/>
  <c r="L219" i="23"/>
  <c r="M219" i="23" s="1"/>
  <c r="N219" i="23"/>
  <c r="L220" i="23"/>
  <c r="M220" i="23" s="1"/>
  <c r="N220" i="23"/>
  <c r="L221" i="23"/>
  <c r="M221" i="23" s="1"/>
  <c r="L222" i="23"/>
  <c r="M222" i="23" s="1"/>
  <c r="L223" i="23"/>
  <c r="M223" i="23" s="1"/>
  <c r="N223" i="23"/>
  <c r="L224" i="23"/>
  <c r="M224" i="23" s="1"/>
  <c r="N224" i="23"/>
  <c r="L225" i="23"/>
  <c r="M225" i="23" s="1"/>
  <c r="N225" i="23"/>
  <c r="L226" i="23"/>
  <c r="M226" i="23" s="1"/>
  <c r="L227" i="23"/>
  <c r="M227" i="23" s="1"/>
  <c r="L228" i="23"/>
  <c r="M228" i="23" s="1"/>
  <c r="L229" i="23"/>
  <c r="M229" i="23" s="1"/>
  <c r="L230" i="23"/>
  <c r="M230" i="23" s="1"/>
  <c r="L231" i="23"/>
  <c r="M231" i="23" s="1"/>
  <c r="L232" i="23"/>
  <c r="M232" i="23" s="1"/>
  <c r="N232" i="23"/>
  <c r="L233" i="23"/>
  <c r="M233" i="23" s="1"/>
  <c r="N233" i="23"/>
  <c r="L234" i="23"/>
  <c r="M234" i="23" s="1"/>
  <c r="L235" i="23"/>
  <c r="M235" i="23" s="1"/>
  <c r="L236" i="23"/>
  <c r="M236" i="23" s="1"/>
  <c r="L237" i="23"/>
  <c r="M237" i="23" s="1"/>
  <c r="L238" i="23"/>
  <c r="M238" i="23" s="1"/>
  <c r="L239" i="23"/>
  <c r="M239" i="23" s="1"/>
  <c r="L240" i="23"/>
  <c r="M240" i="23" s="1"/>
  <c r="L241" i="23"/>
  <c r="M241" i="23" s="1"/>
  <c r="L242" i="23"/>
  <c r="M242" i="23" s="1"/>
  <c r="L243" i="23"/>
  <c r="M243" i="23" s="1"/>
  <c r="N243" i="23"/>
  <c r="L244" i="23"/>
  <c r="M244" i="23" s="1"/>
  <c r="L245" i="23"/>
  <c r="M245" i="23" s="1"/>
  <c r="N245" i="23"/>
  <c r="L246" i="23"/>
  <c r="M246" i="23" s="1"/>
  <c r="N246" i="23"/>
  <c r="L247" i="23"/>
  <c r="M247" i="23" s="1"/>
  <c r="L248" i="23"/>
  <c r="M248" i="23" s="1"/>
  <c r="L249" i="23"/>
  <c r="M249" i="23" s="1"/>
  <c r="L250" i="23"/>
  <c r="M250" i="23" s="1"/>
  <c r="N250" i="23"/>
  <c r="L251" i="23"/>
  <c r="M251" i="23" s="1"/>
  <c r="N251" i="23"/>
  <c r="L252" i="23"/>
  <c r="M252" i="23" s="1"/>
  <c r="N252" i="23"/>
  <c r="L253" i="23"/>
  <c r="M253" i="23" s="1"/>
  <c r="L254" i="23"/>
  <c r="M254" i="23" s="1"/>
  <c r="L255" i="23"/>
  <c r="M255" i="23" s="1"/>
  <c r="L256" i="23"/>
  <c r="M256" i="23" s="1"/>
  <c r="L257" i="23"/>
  <c r="M257" i="23" s="1"/>
  <c r="N257" i="23"/>
  <c r="L258" i="23"/>
  <c r="M258" i="23" s="1"/>
  <c r="N258" i="23"/>
  <c r="L259" i="23"/>
  <c r="M259" i="23" s="1"/>
  <c r="N259" i="23"/>
  <c r="L260" i="23"/>
  <c r="M260" i="23" s="1"/>
  <c r="N260" i="23"/>
  <c r="L261" i="23"/>
  <c r="M261" i="23" s="1"/>
  <c r="N261" i="23"/>
  <c r="L262" i="23"/>
  <c r="M262" i="23" s="1"/>
  <c r="N262" i="23"/>
  <c r="L263" i="23"/>
  <c r="M263" i="23" s="1"/>
  <c r="L264" i="23"/>
  <c r="M264" i="23" s="1"/>
  <c r="L265" i="23"/>
  <c r="M265" i="23" s="1"/>
  <c r="N265" i="23"/>
  <c r="L266" i="23"/>
  <c r="M266" i="23" s="1"/>
  <c r="L267" i="23"/>
  <c r="M267" i="23" s="1"/>
  <c r="L268" i="23"/>
  <c r="M268" i="23" s="1"/>
  <c r="N268" i="23"/>
  <c r="L269" i="23"/>
  <c r="M269" i="23" s="1"/>
  <c r="L270" i="23"/>
  <c r="M270" i="23" s="1"/>
  <c r="L271" i="23"/>
  <c r="M271" i="23" s="1"/>
  <c r="L272" i="23"/>
  <c r="M272" i="23" s="1"/>
  <c r="N272" i="23"/>
  <c r="L273" i="23"/>
  <c r="M273" i="23" s="1"/>
  <c r="N273" i="23"/>
  <c r="L274" i="23"/>
  <c r="M274" i="23" s="1"/>
  <c r="L275" i="23"/>
  <c r="M275" i="23" s="1"/>
  <c r="L276" i="23"/>
  <c r="M276" i="23" s="1"/>
  <c r="L277" i="23"/>
  <c r="M277" i="23" s="1"/>
  <c r="N277" i="23"/>
  <c r="L278" i="23"/>
  <c r="M278" i="23" s="1"/>
  <c r="L279" i="23"/>
  <c r="M279" i="23" s="1"/>
  <c r="N279" i="23"/>
  <c r="L280" i="23"/>
  <c r="M280" i="23" s="1"/>
  <c r="N280" i="23"/>
  <c r="L281" i="23"/>
  <c r="M281" i="23" s="1"/>
  <c r="N281" i="23"/>
  <c r="L282" i="23"/>
  <c r="M282" i="23" s="1"/>
  <c r="L283" i="23"/>
  <c r="M283" i="23" s="1"/>
  <c r="N283" i="23"/>
  <c r="L284" i="23"/>
  <c r="M284" i="23" s="1"/>
  <c r="L285" i="23"/>
  <c r="M285" i="23" s="1"/>
  <c r="N285" i="23"/>
  <c r="L286" i="23"/>
  <c r="M286" i="23" s="1"/>
  <c r="L287" i="23"/>
  <c r="M287" i="23" s="1"/>
  <c r="L288" i="23"/>
  <c r="M288" i="23" s="1"/>
  <c r="L289" i="23"/>
  <c r="M289" i="23" s="1"/>
  <c r="L290" i="23"/>
  <c r="M290" i="23" s="1"/>
  <c r="L291" i="23"/>
  <c r="M291" i="23" s="1"/>
  <c r="L292" i="23"/>
  <c r="M292" i="23" s="1"/>
  <c r="N292" i="23"/>
  <c r="L293" i="23"/>
  <c r="M293" i="23" s="1"/>
  <c r="N293" i="23"/>
  <c r="L294" i="23"/>
  <c r="M294" i="23" s="1"/>
  <c r="L295" i="23"/>
  <c r="M295" i="23" s="1"/>
  <c r="N295" i="23"/>
  <c r="L296" i="23"/>
  <c r="M296" i="23" s="1"/>
  <c r="N296" i="23"/>
  <c r="L297" i="23"/>
  <c r="M297" i="23" s="1"/>
  <c r="L298" i="23"/>
  <c r="M298" i="23" s="1"/>
  <c r="L299" i="23"/>
  <c r="M299" i="23" s="1"/>
  <c r="N299" i="23"/>
  <c r="L300" i="23"/>
  <c r="M300" i="23" s="1"/>
  <c r="N300" i="23"/>
  <c r="L301" i="23"/>
  <c r="M301" i="23" s="1"/>
  <c r="N301" i="23"/>
  <c r="L302" i="23"/>
  <c r="M302" i="23" s="1"/>
  <c r="L303" i="23"/>
  <c r="L304" i="23"/>
  <c r="M304" i="23" s="1"/>
  <c r="L305" i="23"/>
  <c r="M305" i="23" s="1"/>
  <c r="L306" i="23"/>
  <c r="M306" i="23" s="1"/>
  <c r="L307" i="23"/>
  <c r="M307" i="23" s="1"/>
  <c r="N307" i="23"/>
  <c r="L308" i="23"/>
  <c r="M308" i="23" s="1"/>
  <c r="L309" i="23"/>
  <c r="M309" i="23" s="1"/>
  <c r="L310" i="23"/>
  <c r="M310" i="23" s="1"/>
  <c r="L311" i="23"/>
  <c r="M311" i="23" s="1"/>
  <c r="L312" i="23"/>
  <c r="M312" i="23" s="1"/>
  <c r="N312" i="23"/>
  <c r="L313" i="23"/>
  <c r="M313" i="23" s="1"/>
  <c r="L314" i="23"/>
  <c r="M314" i="23" s="1"/>
  <c r="L315" i="23"/>
  <c r="M315" i="23" s="1"/>
  <c r="N315" i="23"/>
  <c r="L316" i="23"/>
  <c r="M316" i="23" s="1"/>
  <c r="L317" i="23"/>
  <c r="M317" i="23" s="1"/>
  <c r="N317" i="23"/>
  <c r="L318" i="23"/>
  <c r="M318" i="23" s="1"/>
  <c r="N318" i="23"/>
  <c r="L319" i="23"/>
  <c r="M319" i="23" s="1"/>
  <c r="N319" i="23"/>
  <c r="L320" i="23"/>
  <c r="M320" i="23" s="1"/>
  <c r="L321" i="23"/>
  <c r="M321" i="23" s="1"/>
  <c r="L322" i="23"/>
  <c r="M322" i="23" s="1"/>
  <c r="N322" i="23"/>
  <c r="L323" i="23"/>
  <c r="M323" i="23" s="1"/>
  <c r="L324" i="23"/>
  <c r="M324" i="23" s="1"/>
  <c r="N324" i="23"/>
  <c r="L325" i="23"/>
  <c r="M325" i="23" s="1"/>
  <c r="N325" i="23"/>
  <c r="L326" i="23"/>
  <c r="M326" i="23" s="1"/>
  <c r="N326" i="23"/>
  <c r="L327" i="23"/>
  <c r="M327" i="23" s="1"/>
  <c r="N327" i="23"/>
  <c r="L328" i="23"/>
  <c r="M328" i="23" s="1"/>
  <c r="L329" i="23"/>
  <c r="M329" i="23" s="1"/>
  <c r="L330" i="23"/>
  <c r="M330" i="23" s="1"/>
  <c r="N330" i="23"/>
  <c r="L190" i="23"/>
  <c r="M190" i="23" s="1"/>
  <c r="N190" i="23"/>
  <c r="N189" i="23"/>
  <c r="L189" i="23"/>
  <c r="M189" i="23" s="1"/>
  <c r="M303" i="23" l="1"/>
  <c r="X37" i="16"/>
  <c r="F149" i="15" l="1"/>
  <c r="F150" i="15"/>
  <c r="F145" i="15"/>
  <c r="F146" i="15"/>
  <c r="F147" i="15"/>
  <c r="F148"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N6" i="23" l="1"/>
  <c r="N10" i="23"/>
  <c r="N11" i="23"/>
  <c r="N13" i="23"/>
  <c r="N23" i="23"/>
  <c r="N24" i="23"/>
  <c r="N25" i="23"/>
  <c r="N29" i="23"/>
  <c r="N30" i="23"/>
  <c r="N31" i="23"/>
  <c r="N32" i="23"/>
  <c r="N36" i="23"/>
  <c r="N38" i="23"/>
  <c r="N46" i="23"/>
  <c r="N47" i="23"/>
  <c r="N48" i="23"/>
  <c r="N53" i="23"/>
  <c r="N54" i="23"/>
  <c r="N58" i="23"/>
  <c r="N59" i="23"/>
  <c r="N61" i="23"/>
  <c r="N62" i="23"/>
  <c r="N65" i="23"/>
  <c r="N66" i="23"/>
  <c r="N67" i="23"/>
  <c r="N68" i="23"/>
  <c r="N69" i="23"/>
  <c r="N70" i="23"/>
  <c r="N76" i="23"/>
  <c r="N77" i="23"/>
  <c r="N78" i="23"/>
  <c r="N79" i="23"/>
  <c r="N80" i="23"/>
  <c r="N88" i="23"/>
  <c r="N92" i="23"/>
  <c r="N97" i="23"/>
  <c r="N100" i="23"/>
  <c r="N101" i="23"/>
  <c r="N103" i="23"/>
  <c r="S77" i="16"/>
  <c r="T77" i="16"/>
  <c r="J68" i="38"/>
  <c r="K68" i="38"/>
  <c r="L68" i="38" s="1"/>
  <c r="M68" i="38" s="1"/>
  <c r="N68" i="38" s="1"/>
  <c r="T9" i="16"/>
  <c r="S9" i="16"/>
  <c r="V9" i="16" l="1"/>
  <c r="N291" i="23" s="1"/>
  <c r="U77" i="16"/>
  <c r="U9" i="16"/>
  <c r="V77" i="16"/>
  <c r="X77" i="16"/>
  <c r="Y77" i="16" s="1"/>
  <c r="S88" i="16"/>
  <c r="T88" i="16"/>
  <c r="S89" i="16"/>
  <c r="T89" i="16"/>
  <c r="S90" i="16"/>
  <c r="T90" i="16"/>
  <c r="S91" i="16"/>
  <c r="T91" i="16"/>
  <c r="S92" i="16"/>
  <c r="T92" i="16"/>
  <c r="S93" i="16"/>
  <c r="T93" i="16"/>
  <c r="S94" i="16"/>
  <c r="T94" i="16"/>
  <c r="S95" i="16"/>
  <c r="T95" i="16"/>
  <c r="S96" i="16"/>
  <c r="T96" i="16"/>
  <c r="S97" i="16"/>
  <c r="T97" i="16"/>
  <c r="S98" i="16"/>
  <c r="T98" i="16"/>
  <c r="S99" i="16"/>
  <c r="T99" i="16"/>
  <c r="S100" i="16"/>
  <c r="T100" i="16"/>
  <c r="S68" i="16"/>
  <c r="T68" i="16"/>
  <c r="S69" i="16"/>
  <c r="T69" i="16"/>
  <c r="V69" i="16" s="1"/>
  <c r="N248" i="23" s="1"/>
  <c r="S70" i="16"/>
  <c r="T70" i="16"/>
  <c r="S71" i="16"/>
  <c r="T71" i="16"/>
  <c r="S72" i="16"/>
  <c r="T72" i="16"/>
  <c r="S73" i="16"/>
  <c r="T73" i="16"/>
  <c r="S74" i="16"/>
  <c r="T74" i="16"/>
  <c r="S75" i="16"/>
  <c r="T75" i="16"/>
  <c r="S76" i="16"/>
  <c r="T76" i="16"/>
  <c r="S78" i="16"/>
  <c r="T78" i="16"/>
  <c r="S79" i="16"/>
  <c r="T79" i="16"/>
  <c r="S80" i="16"/>
  <c r="T80" i="16"/>
  <c r="S81" i="16"/>
  <c r="T81" i="16"/>
  <c r="S82" i="16"/>
  <c r="T82" i="16"/>
  <c r="U82" i="16" s="1"/>
  <c r="S83" i="16"/>
  <c r="T83" i="16"/>
  <c r="S84" i="16"/>
  <c r="T84" i="16"/>
  <c r="S85" i="16"/>
  <c r="T85" i="16"/>
  <c r="S86" i="16"/>
  <c r="T86" i="16"/>
  <c r="U86" i="16" s="1"/>
  <c r="T67" i="16"/>
  <c r="S67"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S32" i="16"/>
  <c r="T32" i="16"/>
  <c r="S33" i="16"/>
  <c r="T33" i="16"/>
  <c r="S34" i="16"/>
  <c r="T34" i="16"/>
  <c r="S35" i="16"/>
  <c r="T35" i="16"/>
  <c r="S36" i="16"/>
  <c r="T36" i="16"/>
  <c r="S37" i="16"/>
  <c r="T37" i="16"/>
  <c r="S38" i="16"/>
  <c r="T38" i="16"/>
  <c r="S39" i="16"/>
  <c r="T39" i="16"/>
  <c r="S40" i="16"/>
  <c r="T40" i="16"/>
  <c r="S41" i="16"/>
  <c r="T41" i="16"/>
  <c r="S42" i="16"/>
  <c r="T42" i="16"/>
  <c r="S3" i="16"/>
  <c r="T3" i="16"/>
  <c r="S4" i="16"/>
  <c r="T4" i="16"/>
  <c r="S5" i="16"/>
  <c r="T5" i="16"/>
  <c r="S6" i="16"/>
  <c r="T6" i="16"/>
  <c r="S7" i="16"/>
  <c r="T7" i="16"/>
  <c r="V7" i="16" s="1"/>
  <c r="N211" i="23" s="1"/>
  <c r="V71" i="16" l="1"/>
  <c r="N282" i="23"/>
  <c r="N208" i="23"/>
  <c r="N14" i="23"/>
  <c r="N202" i="23"/>
  <c r="N302" i="23"/>
  <c r="N89" i="23"/>
  <c r="N15" i="23"/>
  <c r="N98" i="23"/>
  <c r="U67" i="16"/>
  <c r="U79" i="16"/>
  <c r="V95" i="16"/>
  <c r="V91" i="16"/>
  <c r="U68" i="16"/>
  <c r="U84" i="16"/>
  <c r="V80" i="16"/>
  <c r="V75" i="16"/>
  <c r="N12" i="23" s="1"/>
  <c r="V100" i="16"/>
  <c r="V96" i="16"/>
  <c r="U88" i="16"/>
  <c r="U78" i="16"/>
  <c r="U73" i="16"/>
  <c r="U85" i="16"/>
  <c r="U98" i="16"/>
  <c r="U94" i="16"/>
  <c r="U90" i="16"/>
  <c r="U100" i="16"/>
  <c r="V6" i="16"/>
  <c r="N217" i="23" s="1"/>
  <c r="V42" i="16"/>
  <c r="V38" i="16"/>
  <c r="N311" i="23" s="1"/>
  <c r="V34" i="16"/>
  <c r="N328" i="23" s="1"/>
  <c r="V30" i="16"/>
  <c r="N271" i="23" s="1"/>
  <c r="V26" i="16"/>
  <c r="N267" i="23" s="1"/>
  <c r="V22" i="16"/>
  <c r="N240" i="23" s="1"/>
  <c r="V18" i="16"/>
  <c r="V14" i="16"/>
  <c r="N228" i="23" s="1"/>
  <c r="V81" i="16"/>
  <c r="V99" i="16"/>
  <c r="U92" i="16"/>
  <c r="V88" i="16"/>
  <c r="U69" i="16"/>
  <c r="V98" i="16"/>
  <c r="V67" i="16"/>
  <c r="U97" i="16"/>
  <c r="U93" i="16"/>
  <c r="U89" i="16"/>
  <c r="U3" i="16"/>
  <c r="U31" i="16"/>
  <c r="U23" i="16"/>
  <c r="U15" i="16"/>
  <c r="V85" i="16"/>
  <c r="N306" i="23" s="1"/>
  <c r="U71" i="16"/>
  <c r="U39" i="16"/>
  <c r="U27" i="16"/>
  <c r="U19" i="16"/>
  <c r="U70" i="16"/>
  <c r="V5" i="16"/>
  <c r="V41" i="16"/>
  <c r="V37" i="16"/>
  <c r="N310" i="23" s="1"/>
  <c r="V33" i="16"/>
  <c r="N309" i="23" s="1"/>
  <c r="V29" i="16"/>
  <c r="V25" i="16"/>
  <c r="V21" i="16"/>
  <c r="N5" i="23" s="1"/>
  <c r="V17" i="16"/>
  <c r="V13" i="16"/>
  <c r="N33" i="23" s="1"/>
  <c r="V78" i="16"/>
  <c r="V40" i="16"/>
  <c r="N313" i="23" s="1"/>
  <c r="V36" i="16"/>
  <c r="V32" i="16"/>
  <c r="N278" i="23" s="1"/>
  <c r="V28" i="16"/>
  <c r="V24" i="16"/>
  <c r="N241" i="23" s="1"/>
  <c r="V20" i="16"/>
  <c r="N244" i="23" s="1"/>
  <c r="V16" i="16"/>
  <c r="V83" i="16"/>
  <c r="U80" i="16"/>
  <c r="U72" i="16"/>
  <c r="U99" i="16"/>
  <c r="V89" i="16"/>
  <c r="N253" i="23" s="1"/>
  <c r="V92" i="16"/>
  <c r="N270" i="23" s="1"/>
  <c r="U4" i="16"/>
  <c r="U75" i="16"/>
  <c r="U95" i="16"/>
  <c r="V35" i="16"/>
  <c r="N303" i="23" s="1"/>
  <c r="V31" i="16"/>
  <c r="V27" i="16"/>
  <c r="N305" i="23" s="1"/>
  <c r="V23" i="16"/>
  <c r="N242" i="23" s="1"/>
  <c r="V19" i="16"/>
  <c r="N234" i="23" s="1"/>
  <c r="V15" i="16"/>
  <c r="U81" i="16"/>
  <c r="U74" i="16"/>
  <c r="V97" i="16"/>
  <c r="V94" i="16"/>
  <c r="N286" i="23" s="1"/>
  <c r="U91" i="16"/>
  <c r="V73" i="16"/>
  <c r="U6" i="16"/>
  <c r="U83" i="16"/>
  <c r="U76" i="16"/>
  <c r="U96" i="16"/>
  <c r="V93" i="16"/>
  <c r="V90" i="16"/>
  <c r="N254" i="23" s="1"/>
  <c r="U7" i="16"/>
  <c r="V4" i="16"/>
  <c r="N200" i="23" s="1"/>
  <c r="U41" i="16"/>
  <c r="U37" i="16"/>
  <c r="U33" i="16"/>
  <c r="U29" i="16"/>
  <c r="U25" i="16"/>
  <c r="U21" i="16"/>
  <c r="U17" i="16"/>
  <c r="U13" i="16"/>
  <c r="U40" i="16"/>
  <c r="U36" i="16"/>
  <c r="U32" i="16"/>
  <c r="U28" i="16"/>
  <c r="U24" i="16"/>
  <c r="U20" i="16"/>
  <c r="U16" i="16"/>
  <c r="V3" i="16"/>
  <c r="V39" i="16"/>
  <c r="U5" i="16"/>
  <c r="U35" i="16"/>
  <c r="U42" i="16"/>
  <c r="U38" i="16"/>
  <c r="U34" i="16"/>
  <c r="U30" i="16"/>
  <c r="U26" i="16"/>
  <c r="U22" i="16"/>
  <c r="U18" i="16"/>
  <c r="U14" i="16"/>
  <c r="V86" i="16"/>
  <c r="V84" i="16"/>
  <c r="N321" i="23" s="1"/>
  <c r="V82" i="16"/>
  <c r="N320" i="23" s="1"/>
  <c r="V79" i="16"/>
  <c r="V76" i="16"/>
  <c r="V74" i="16"/>
  <c r="N218" i="23" s="1"/>
  <c r="V72" i="16"/>
  <c r="V70" i="16"/>
  <c r="N287" i="23" s="1"/>
  <c r="V68" i="16"/>
  <c r="N199" i="23" s="1"/>
  <c r="N86" i="23" l="1"/>
  <c r="N276" i="23"/>
  <c r="N83" i="23"/>
  <c r="N255" i="23"/>
  <c r="N275" i="23"/>
  <c r="N316" i="23"/>
  <c r="N314" i="23"/>
  <c r="N87" i="23"/>
  <c r="N212" i="23"/>
  <c r="N4" i="23"/>
  <c r="N85" i="23"/>
  <c r="N37" i="23"/>
  <c r="N41" i="23"/>
  <c r="N55" i="23"/>
  <c r="N56" i="23"/>
  <c r="N269" i="23"/>
  <c r="N304" i="23"/>
  <c r="N230" i="23"/>
  <c r="N235" i="23"/>
  <c r="N21" i="23"/>
  <c r="N209" i="23"/>
  <c r="N39" i="23"/>
  <c r="N226" i="23"/>
  <c r="N52" i="23"/>
  <c r="N239" i="23"/>
  <c r="N34" i="23"/>
  <c r="N221" i="23"/>
  <c r="N95" i="23"/>
  <c r="N289" i="23"/>
  <c r="N40" i="23"/>
  <c r="N227" i="23"/>
  <c r="N26" i="23"/>
  <c r="N214" i="23"/>
  <c r="N9" i="23"/>
  <c r="N197" i="23"/>
  <c r="N74" i="23"/>
  <c r="N266" i="23"/>
  <c r="N49" i="23"/>
  <c r="N236" i="23"/>
  <c r="N51" i="23"/>
  <c r="N238" i="23"/>
  <c r="N196" i="23"/>
  <c r="N329" i="23"/>
  <c r="N64" i="23"/>
  <c r="N256" i="23"/>
  <c r="N94" i="23"/>
  <c r="N288" i="23"/>
  <c r="N3" i="23"/>
  <c r="N191" i="23"/>
  <c r="N45" i="23"/>
  <c r="N231" i="23"/>
  <c r="N50" i="23"/>
  <c r="N237" i="23"/>
  <c r="N57" i="23"/>
  <c r="N249" i="23"/>
  <c r="N22" i="23"/>
  <c r="N210" i="23"/>
  <c r="N72" i="23"/>
  <c r="N264" i="23"/>
  <c r="N308" i="23"/>
  <c r="N298" i="23"/>
  <c r="N104" i="23"/>
  <c r="N297" i="23"/>
  <c r="N247" i="23"/>
  <c r="N42" i="23"/>
  <c r="N229" i="23"/>
  <c r="N71" i="23"/>
  <c r="N263" i="23"/>
  <c r="N91" i="23"/>
  <c r="N284" i="23"/>
  <c r="N7" i="23"/>
  <c r="N195" i="23"/>
  <c r="N323" i="23"/>
  <c r="N35" i="23"/>
  <c r="N222" i="23"/>
  <c r="N2" i="23"/>
  <c r="N19" i="23"/>
  <c r="N60" i="23"/>
  <c r="N99" i="23"/>
  <c r="N75" i="23"/>
  <c r="N84" i="23"/>
  <c r="N20" i="23"/>
  <c r="N63" i="23"/>
  <c r="N16" i="23"/>
  <c r="N93" i="23"/>
  <c r="N73" i="23"/>
  <c r="N90"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G49" i="11" l="1"/>
  <c r="L17" i="23" l="1"/>
  <c r="L16" i="23"/>
  <c r="M16" i="23" s="1"/>
  <c r="L18" i="23"/>
  <c r="L15" i="23"/>
  <c r="L14" i="23"/>
  <c r="M14" i="23" s="1"/>
  <c r="L80" i="23"/>
  <c r="M80" i="23" s="1"/>
  <c r="L76" i="23"/>
  <c r="M76" i="23" s="1"/>
  <c r="L69" i="23"/>
  <c r="K111" i="16"/>
  <c r="L111" i="16"/>
  <c r="M111" i="16"/>
  <c r="N111" i="16"/>
  <c r="O111" i="16"/>
  <c r="P111" i="16"/>
  <c r="Q111" i="16"/>
  <c r="K6" i="38"/>
  <c r="L6" i="38" s="1"/>
  <c r="M6" i="38" s="1"/>
  <c r="K7" i="38"/>
  <c r="L7" i="38" s="1"/>
  <c r="M7" i="38" s="1"/>
  <c r="K8" i="38"/>
  <c r="L8" i="38" s="1"/>
  <c r="M8" i="38" s="1"/>
  <c r="K9" i="38"/>
  <c r="L9" i="38" s="1"/>
  <c r="M9" i="38" s="1"/>
  <c r="K10" i="38"/>
  <c r="L10" i="38" s="1"/>
  <c r="M10" i="38" s="1"/>
  <c r="K11" i="38"/>
  <c r="L11" i="38" s="1"/>
  <c r="M11" i="38" s="1"/>
  <c r="K12" i="38"/>
  <c r="L12" i="38" s="1"/>
  <c r="M12" i="38" s="1"/>
  <c r="K13" i="38"/>
  <c r="L13" i="38" s="1"/>
  <c r="M13" i="38" s="1"/>
  <c r="K14" i="38"/>
  <c r="L14" i="38" s="1"/>
  <c r="M14" i="38" s="1"/>
  <c r="K15" i="38"/>
  <c r="L15" i="38" s="1"/>
  <c r="M15" i="38" s="1"/>
  <c r="K16" i="38"/>
  <c r="L16" i="38" s="1"/>
  <c r="M16" i="38" s="1"/>
  <c r="K17" i="38"/>
  <c r="L17" i="38" s="1"/>
  <c r="M17" i="38" s="1"/>
  <c r="K18" i="38"/>
  <c r="L18" i="38" s="1"/>
  <c r="M18" i="38" s="1"/>
  <c r="K19" i="38"/>
  <c r="L19" i="38" s="1"/>
  <c r="M19" i="38" s="1"/>
  <c r="K20" i="38"/>
  <c r="L20" i="38" s="1"/>
  <c r="M20" i="38" s="1"/>
  <c r="K21" i="38"/>
  <c r="L21" i="38" s="1"/>
  <c r="M21" i="38" s="1"/>
  <c r="K22" i="38"/>
  <c r="L22" i="38" s="1"/>
  <c r="M22" i="38" s="1"/>
  <c r="K23" i="38"/>
  <c r="L23" i="38" s="1"/>
  <c r="M23" i="38" s="1"/>
  <c r="K24" i="38"/>
  <c r="L24" i="38" s="1"/>
  <c r="M24" i="38" s="1"/>
  <c r="K25" i="38"/>
  <c r="L25" i="38" s="1"/>
  <c r="M25" i="38" s="1"/>
  <c r="K26" i="38"/>
  <c r="L26" i="38" s="1"/>
  <c r="M26" i="38" s="1"/>
  <c r="K27" i="38"/>
  <c r="L27" i="38" s="1"/>
  <c r="M27" i="38" s="1"/>
  <c r="K28" i="38"/>
  <c r="L28" i="38" s="1"/>
  <c r="M28" i="38" s="1"/>
  <c r="K29" i="38"/>
  <c r="L29" i="38" s="1"/>
  <c r="M29" i="38" s="1"/>
  <c r="K30" i="38"/>
  <c r="L30" i="38" s="1"/>
  <c r="M30" i="38" s="1"/>
  <c r="K31" i="38"/>
  <c r="L31" i="38" s="1"/>
  <c r="M31" i="38" s="1"/>
  <c r="K32" i="38"/>
  <c r="L32" i="38" s="1"/>
  <c r="M32" i="38" s="1"/>
  <c r="K33" i="38"/>
  <c r="L33" i="38" s="1"/>
  <c r="M33" i="38" s="1"/>
  <c r="K34" i="38"/>
  <c r="L34" i="38" s="1"/>
  <c r="M34" i="38" s="1"/>
  <c r="K35" i="38"/>
  <c r="L35" i="38" s="1"/>
  <c r="M35" i="38" s="1"/>
  <c r="K36" i="38"/>
  <c r="L36" i="38" s="1"/>
  <c r="M36" i="38" s="1"/>
  <c r="K37" i="38"/>
  <c r="L37" i="38" s="1"/>
  <c r="M37" i="38" s="1"/>
  <c r="K38" i="38"/>
  <c r="L38" i="38" s="1"/>
  <c r="M38" i="38" s="1"/>
  <c r="K39" i="38"/>
  <c r="L39" i="38" s="1"/>
  <c r="M39" i="38" s="1"/>
  <c r="K40" i="38"/>
  <c r="L40" i="38" s="1"/>
  <c r="M40" i="38" s="1"/>
  <c r="K41" i="38"/>
  <c r="L41" i="38" s="1"/>
  <c r="M41" i="38" s="1"/>
  <c r="K42" i="38"/>
  <c r="L42" i="38" s="1"/>
  <c r="M42" i="38" s="1"/>
  <c r="K43" i="38"/>
  <c r="L43" i="38" s="1"/>
  <c r="M43" i="38" s="1"/>
  <c r="N43" i="38" s="1"/>
  <c r="K44" i="38"/>
  <c r="L44" i="38" s="1"/>
  <c r="M44" i="38" s="1"/>
  <c r="N44" i="38" s="1"/>
  <c r="K45" i="38"/>
  <c r="L45" i="38" s="1"/>
  <c r="M45" i="38" s="1"/>
  <c r="K46" i="38"/>
  <c r="L46" i="38" s="1"/>
  <c r="M46" i="38" s="1"/>
  <c r="N46" i="38" s="1"/>
  <c r="K47" i="38"/>
  <c r="L47" i="38" s="1"/>
  <c r="M47" i="38" s="1"/>
  <c r="K48" i="38"/>
  <c r="L48" i="38" s="1"/>
  <c r="M48" i="38" s="1"/>
  <c r="N48" i="38" s="1"/>
  <c r="K49" i="38"/>
  <c r="L49" i="38" s="1"/>
  <c r="M49" i="38" s="1"/>
  <c r="N49" i="38" s="1"/>
  <c r="K50" i="38"/>
  <c r="L50" i="38" s="1"/>
  <c r="M50" i="38" s="1"/>
  <c r="N50" i="38" s="1"/>
  <c r="K51" i="38"/>
  <c r="L51" i="38" s="1"/>
  <c r="M51" i="38" s="1"/>
  <c r="N51" i="38" s="1"/>
  <c r="K52" i="38"/>
  <c r="L52" i="38" s="1"/>
  <c r="M52" i="38" s="1"/>
  <c r="N52" i="38" s="1"/>
  <c r="K53" i="38"/>
  <c r="L53" i="38" s="1"/>
  <c r="M53" i="38" s="1"/>
  <c r="N53" i="38" s="1"/>
  <c r="K54" i="38"/>
  <c r="L54" i="38" s="1"/>
  <c r="M54" i="38" s="1"/>
  <c r="N54" i="38" s="1"/>
  <c r="K55" i="38"/>
  <c r="L55" i="38" s="1"/>
  <c r="M55" i="38" s="1"/>
  <c r="N55" i="38" s="1"/>
  <c r="K56" i="38"/>
  <c r="L56" i="38" s="1"/>
  <c r="M56" i="38" s="1"/>
  <c r="N56" i="38" s="1"/>
  <c r="K57" i="38"/>
  <c r="L57" i="38" s="1"/>
  <c r="M57" i="38" s="1"/>
  <c r="N57" i="38" s="1"/>
  <c r="K58" i="38"/>
  <c r="L58" i="38" s="1"/>
  <c r="M58" i="38" s="1"/>
  <c r="N58" i="38" s="1"/>
  <c r="K59" i="38"/>
  <c r="L59" i="38" s="1"/>
  <c r="M59" i="38" s="1"/>
  <c r="N59" i="38" s="1"/>
  <c r="K60" i="38"/>
  <c r="L60" i="38" s="1"/>
  <c r="M60" i="38" s="1"/>
  <c r="N60" i="38" s="1"/>
  <c r="K61" i="38"/>
  <c r="L61" i="38" s="1"/>
  <c r="M61" i="38" s="1"/>
  <c r="N61" i="38" s="1"/>
  <c r="K62" i="38"/>
  <c r="L62" i="38" s="1"/>
  <c r="M62" i="38" s="1"/>
  <c r="N62" i="38" s="1"/>
  <c r="K63" i="38"/>
  <c r="L63" i="38" s="1"/>
  <c r="M63" i="38" s="1"/>
  <c r="N63" i="38" s="1"/>
  <c r="K64" i="38"/>
  <c r="L64" i="38" s="1"/>
  <c r="M64" i="38" s="1"/>
  <c r="N64" i="38" s="1"/>
  <c r="K65" i="38"/>
  <c r="L65" i="38" s="1"/>
  <c r="M65" i="38" s="1"/>
  <c r="N65" i="38" s="1"/>
  <c r="K66" i="38"/>
  <c r="L66" i="38" s="1"/>
  <c r="M66" i="38" s="1"/>
  <c r="N66" i="38" s="1"/>
  <c r="K67" i="38"/>
  <c r="L67" i="38" s="1"/>
  <c r="M67" i="38" s="1"/>
  <c r="N67" i="38" s="1"/>
  <c r="K69" i="38"/>
  <c r="L69" i="38" s="1"/>
  <c r="M69" i="38" s="1"/>
  <c r="N69" i="38" s="1"/>
  <c r="K70" i="38"/>
  <c r="L70" i="38" s="1"/>
  <c r="M70" i="38" s="1"/>
  <c r="N70" i="38" s="1"/>
  <c r="K71" i="38"/>
  <c r="L71" i="38" s="1"/>
  <c r="M71" i="38" s="1"/>
  <c r="N71" i="38" s="1"/>
  <c r="K72" i="38"/>
  <c r="L72" i="38" s="1"/>
  <c r="M72" i="38" s="1"/>
  <c r="N72" i="38" s="1"/>
  <c r="K73" i="38"/>
  <c r="L73" i="38" s="1"/>
  <c r="M73" i="38" s="1"/>
  <c r="N73" i="38" s="1"/>
  <c r="K74" i="38"/>
  <c r="L74" i="38" s="1"/>
  <c r="M74" i="38" s="1"/>
  <c r="N74" i="38" s="1"/>
  <c r="K75" i="38"/>
  <c r="L75" i="38" s="1"/>
  <c r="M75" i="38" s="1"/>
  <c r="N75" i="38" s="1"/>
  <c r="K76" i="38"/>
  <c r="L76" i="38" s="1"/>
  <c r="M76" i="38" s="1"/>
  <c r="N76" i="38" s="1"/>
  <c r="K77" i="38"/>
  <c r="L77" i="38" s="1"/>
  <c r="M77" i="38" s="1"/>
  <c r="N77" i="38" s="1"/>
  <c r="K78" i="38"/>
  <c r="L78" i="38" s="1"/>
  <c r="M78" i="38" s="1"/>
  <c r="N78" i="38" s="1"/>
  <c r="K79" i="38"/>
  <c r="L79" i="38" s="1"/>
  <c r="M79" i="38" s="1"/>
  <c r="N79" i="38" s="1"/>
  <c r="K80" i="38"/>
  <c r="L80" i="38" s="1"/>
  <c r="M80" i="38" s="1"/>
  <c r="N80" i="38" s="1"/>
  <c r="K81" i="38"/>
  <c r="L81" i="38" s="1"/>
  <c r="M81" i="38" s="1"/>
  <c r="N81" i="38" s="1"/>
  <c r="K82" i="38"/>
  <c r="L82" i="38" s="1"/>
  <c r="M82" i="38" s="1"/>
  <c r="N82" i="38" s="1"/>
  <c r="K83" i="38"/>
  <c r="L83" i="38" s="1"/>
  <c r="M83" i="38" s="1"/>
  <c r="N83" i="38" s="1"/>
  <c r="K84" i="38"/>
  <c r="L84" i="38" s="1"/>
  <c r="M84" i="38" s="1"/>
  <c r="N84" i="38" s="1"/>
  <c r="K85" i="38"/>
  <c r="L85" i="38" s="1"/>
  <c r="M85" i="38" s="1"/>
  <c r="N85" i="38" s="1"/>
  <c r="K86" i="38"/>
  <c r="L86" i="38" s="1"/>
  <c r="M86" i="38" s="1"/>
  <c r="N86" i="38" s="1"/>
  <c r="K87" i="38"/>
  <c r="L87" i="38" s="1"/>
  <c r="M87" i="38" s="1"/>
  <c r="N87" i="38" s="1"/>
  <c r="K88" i="38"/>
  <c r="L88" i="38" s="1"/>
  <c r="M88" i="38" s="1"/>
  <c r="N88" i="38" s="1"/>
  <c r="K89" i="38"/>
  <c r="L89" i="38" s="1"/>
  <c r="M89" i="38" s="1"/>
  <c r="N89" i="38" s="1"/>
  <c r="K90" i="38"/>
  <c r="L90" i="38" s="1"/>
  <c r="M90" i="38" s="1"/>
  <c r="N90" i="38" s="1"/>
  <c r="M18" i="23" l="1"/>
  <c r="X8" i="16"/>
  <c r="Y8" i="16" s="1"/>
  <c r="M69" i="23"/>
  <c r="N28" i="38"/>
  <c r="N19" i="38"/>
  <c r="N42" i="38"/>
  <c r="N34" i="38"/>
  <c r="N26" i="38"/>
  <c r="N18" i="38"/>
  <c r="N10" i="38"/>
  <c r="N41" i="38"/>
  <c r="N33" i="38"/>
  <c r="N25" i="38"/>
  <c r="N17" i="38"/>
  <c r="N9" i="38"/>
  <c r="N36" i="38"/>
  <c r="N27" i="38"/>
  <c r="N32" i="38"/>
  <c r="N24" i="38"/>
  <c r="N16" i="38"/>
  <c r="N20" i="38"/>
  <c r="N35" i="38"/>
  <c r="N47" i="38"/>
  <c r="W71" i="16"/>
  <c r="N31" i="38"/>
  <c r="N15" i="38"/>
  <c r="N38" i="38"/>
  <c r="N39" i="38"/>
  <c r="N23" i="38"/>
  <c r="N22" i="38"/>
  <c r="N45" i="38"/>
  <c r="W69" i="16"/>
  <c r="N37" i="38"/>
  <c r="N29" i="38"/>
  <c r="N21" i="38"/>
  <c r="N13" i="38"/>
  <c r="N30" i="38"/>
  <c r="M15" i="23"/>
  <c r="M17" i="23"/>
  <c r="N40" i="38"/>
  <c r="W77" i="16"/>
  <c r="N8" i="38"/>
  <c r="W6" i="16"/>
  <c r="N7" i="38"/>
  <c r="W5" i="16"/>
  <c r="N14" i="38"/>
  <c r="W10" i="16"/>
  <c r="N6" i="38"/>
  <c r="W4" i="16"/>
  <c r="N12" i="38"/>
  <c r="W9" i="16"/>
  <c r="N11" i="38"/>
  <c r="W7" i="16"/>
  <c r="W78" i="16" l="1"/>
  <c r="W79" i="16"/>
  <c r="W80" i="16"/>
  <c r="W81" i="16"/>
  <c r="W82" i="16"/>
  <c r="W83" i="16"/>
  <c r="W84" i="16"/>
  <c r="W85" i="16"/>
  <c r="W86" i="16"/>
  <c r="X86" i="16"/>
  <c r="Y86" i="16" s="1"/>
  <c r="X89" i="16"/>
  <c r="Y89" i="16" s="1"/>
  <c r="W98" i="16"/>
  <c r="W99" i="16"/>
  <c r="W100" i="16"/>
  <c r="S101" i="16"/>
  <c r="T101" i="16"/>
  <c r="W101" i="16"/>
  <c r="S102" i="16"/>
  <c r="T102" i="16"/>
  <c r="W102" i="16"/>
  <c r="X102" i="16"/>
  <c r="Y102" i="16" s="1"/>
  <c r="S103" i="16"/>
  <c r="T103" i="16"/>
  <c r="W103" i="16"/>
  <c r="X103" i="16"/>
  <c r="Y103" i="16" s="1"/>
  <c r="S104" i="16"/>
  <c r="T104" i="16"/>
  <c r="W104" i="16"/>
  <c r="X104" i="16"/>
  <c r="Y104" i="16" s="1"/>
  <c r="S105" i="16"/>
  <c r="T105" i="16"/>
  <c r="W105" i="16"/>
  <c r="X105" i="16"/>
  <c r="Y105" i="16" s="1"/>
  <c r="S106" i="16"/>
  <c r="T106" i="16"/>
  <c r="W106" i="16"/>
  <c r="X106" i="16"/>
  <c r="Y106" i="16" s="1"/>
  <c r="S107" i="16"/>
  <c r="T107" i="16"/>
  <c r="W107" i="16"/>
  <c r="X107" i="16"/>
  <c r="Y107" i="16" s="1"/>
  <c r="S108" i="16"/>
  <c r="T108" i="16"/>
  <c r="W108" i="16"/>
  <c r="X108" i="16"/>
  <c r="Y108" i="16" s="1"/>
  <c r="S109" i="16"/>
  <c r="T109" i="16"/>
  <c r="W109" i="16"/>
  <c r="X109" i="16"/>
  <c r="Y109" i="16" s="1"/>
  <c r="S110" i="16"/>
  <c r="T110" i="16"/>
  <c r="W110" i="16"/>
  <c r="X110" i="16"/>
  <c r="Y110" i="16" s="1"/>
  <c r="S10" i="16"/>
  <c r="T10" i="16"/>
  <c r="S11" i="16"/>
  <c r="T11" i="16"/>
  <c r="S12" i="16"/>
  <c r="T12" i="16"/>
  <c r="S43" i="16"/>
  <c r="T43" i="16"/>
  <c r="S44" i="16"/>
  <c r="T44" i="16"/>
  <c r="W44" i="16"/>
  <c r="S45" i="16"/>
  <c r="T45" i="16"/>
  <c r="W45" i="16"/>
  <c r="S46" i="16"/>
  <c r="T46" i="16"/>
  <c r="S47" i="16"/>
  <c r="T47" i="16"/>
  <c r="X47" i="16"/>
  <c r="Y47" i="16" s="1"/>
  <c r="S48" i="16"/>
  <c r="T48" i="16"/>
  <c r="X48" i="16"/>
  <c r="Y48" i="16" s="1"/>
  <c r="S49" i="16"/>
  <c r="T49" i="16"/>
  <c r="W49" i="16"/>
  <c r="X49" i="16"/>
  <c r="Y49" i="16" s="1"/>
  <c r="S50" i="16"/>
  <c r="T50" i="16"/>
  <c r="W50" i="16"/>
  <c r="X50" i="16"/>
  <c r="Y50" i="16" s="1"/>
  <c r="S51" i="16"/>
  <c r="T51" i="16"/>
  <c r="W51" i="16"/>
  <c r="X51" i="16"/>
  <c r="Y51" i="16" s="1"/>
  <c r="S52" i="16"/>
  <c r="T52" i="16"/>
  <c r="W52" i="16"/>
  <c r="X52" i="16"/>
  <c r="Y52" i="16" s="1"/>
  <c r="S53" i="16"/>
  <c r="T53" i="16"/>
  <c r="W53" i="16"/>
  <c r="X53" i="16"/>
  <c r="Y53" i="16" s="1"/>
  <c r="S54" i="16"/>
  <c r="T54" i="16"/>
  <c r="W54" i="16"/>
  <c r="X54" i="16"/>
  <c r="Y54" i="16" s="1"/>
  <c r="S55" i="16"/>
  <c r="T55" i="16"/>
  <c r="W55" i="16"/>
  <c r="X55" i="16"/>
  <c r="Y55" i="16" s="1"/>
  <c r="S56" i="16"/>
  <c r="T56" i="16"/>
  <c r="W56" i="16"/>
  <c r="X56" i="16"/>
  <c r="Y56" i="16" s="1"/>
  <c r="S57" i="16"/>
  <c r="T57" i="16"/>
  <c r="W57" i="16"/>
  <c r="X57" i="16"/>
  <c r="Y57" i="16" s="1"/>
  <c r="S58" i="16"/>
  <c r="T58" i="16"/>
  <c r="W58" i="16"/>
  <c r="X58" i="16"/>
  <c r="Y58" i="16" s="1"/>
  <c r="S59" i="16"/>
  <c r="T59" i="16"/>
  <c r="W59" i="16"/>
  <c r="X59" i="16"/>
  <c r="Y59" i="16" s="1"/>
  <c r="S60" i="16"/>
  <c r="T60" i="16"/>
  <c r="W60" i="16"/>
  <c r="X60" i="16"/>
  <c r="Y60" i="16" s="1"/>
  <c r="S61" i="16"/>
  <c r="T61" i="16"/>
  <c r="W61" i="16"/>
  <c r="X61" i="16"/>
  <c r="Y61" i="16" s="1"/>
  <c r="S62" i="16"/>
  <c r="T62" i="16"/>
  <c r="W62" i="16"/>
  <c r="X62" i="16"/>
  <c r="Y62" i="16" s="1"/>
  <c r="S63" i="16"/>
  <c r="T63" i="16"/>
  <c r="W63" i="16"/>
  <c r="X63" i="16"/>
  <c r="Y63" i="16" s="1"/>
  <c r="S64" i="16"/>
  <c r="T64" i="16"/>
  <c r="W64" i="16"/>
  <c r="X64" i="16"/>
  <c r="Y64" i="16" s="1"/>
  <c r="S65" i="16"/>
  <c r="T65" i="16"/>
  <c r="W65" i="16"/>
  <c r="X65" i="16"/>
  <c r="Y65" i="16" s="1"/>
  <c r="U53" i="16" l="1"/>
  <c r="V49" i="16"/>
  <c r="U61" i="16"/>
  <c r="T66" i="16"/>
  <c r="U102" i="16"/>
  <c r="V110" i="16"/>
  <c r="U104" i="16"/>
  <c r="U103" i="16"/>
  <c r="V61" i="16"/>
  <c r="V59" i="16"/>
  <c r="U62" i="16"/>
  <c r="U44" i="16"/>
  <c r="V62" i="16"/>
  <c r="U60" i="16"/>
  <c r="U58" i="16"/>
  <c r="V56" i="16"/>
  <c r="U48" i="16"/>
  <c r="V43" i="16"/>
  <c r="U101" i="16"/>
  <c r="U45" i="16"/>
  <c r="V51" i="16"/>
  <c r="V103" i="16"/>
  <c r="U11" i="16"/>
  <c r="U63" i="16"/>
  <c r="U12" i="16"/>
  <c r="U109" i="16"/>
  <c r="U107" i="16"/>
  <c r="U105" i="16"/>
  <c r="U49" i="16"/>
  <c r="V54" i="16"/>
  <c r="V11" i="16"/>
  <c r="N216" i="23" s="1"/>
  <c r="U108" i="16"/>
  <c r="V102" i="16"/>
  <c r="N81" i="23" s="1"/>
  <c r="U52" i="16"/>
  <c r="V50" i="16"/>
  <c r="V65" i="16"/>
  <c r="V46" i="16"/>
  <c r="V10" i="16"/>
  <c r="N204" i="23" s="1"/>
  <c r="U64" i="16"/>
  <c r="U50" i="16"/>
  <c r="V45" i="16"/>
  <c r="U43" i="16"/>
  <c r="U59" i="16"/>
  <c r="U57" i="16"/>
  <c r="U55" i="16"/>
  <c r="V48" i="16"/>
  <c r="U110" i="16"/>
  <c r="V108" i="16"/>
  <c r="U106" i="16"/>
  <c r="V104" i="16"/>
  <c r="V101" i="16"/>
  <c r="N43" i="23" s="1"/>
  <c r="U54" i="16"/>
  <c r="U46" i="16"/>
  <c r="U10" i="16"/>
  <c r="V63" i="16"/>
  <c r="U65" i="16"/>
  <c r="V60" i="16"/>
  <c r="V58" i="16"/>
  <c r="U56" i="16"/>
  <c r="V53" i="16"/>
  <c r="U51" i="16"/>
  <c r="U47" i="16"/>
  <c r="V109" i="16"/>
  <c r="V105" i="16"/>
  <c r="V106" i="16"/>
  <c r="V107" i="16"/>
  <c r="V55" i="16"/>
  <c r="V47" i="16"/>
  <c r="V57" i="16"/>
  <c r="V64" i="16"/>
  <c r="V12" i="16"/>
  <c r="N8" i="23" s="1"/>
  <c r="V52" i="16"/>
  <c r="V44" i="16"/>
  <c r="L2" i="23"/>
  <c r="L3" i="23"/>
  <c r="L4" i="23"/>
  <c r="L5" i="23"/>
  <c r="L6" i="23"/>
  <c r="M6" i="23" s="1"/>
  <c r="L7" i="23"/>
  <c r="L8" i="23"/>
  <c r="L9" i="23"/>
  <c r="L10" i="23"/>
  <c r="L11" i="23"/>
  <c r="M11" i="23" s="1"/>
  <c r="L12" i="23"/>
  <c r="L13" i="23"/>
  <c r="L19" i="23"/>
  <c r="M19" i="23" s="1"/>
  <c r="L20" i="23"/>
  <c r="X68" i="16" s="1"/>
  <c r="Y68" i="16" s="1"/>
  <c r="L21" i="23"/>
  <c r="L22" i="23"/>
  <c r="L23" i="23"/>
  <c r="L24" i="23"/>
  <c r="L25" i="23"/>
  <c r="M25" i="23" s="1"/>
  <c r="L26" i="23"/>
  <c r="L27" i="23"/>
  <c r="L29" i="23"/>
  <c r="L30" i="23"/>
  <c r="L31" i="23"/>
  <c r="M31" i="23" s="1"/>
  <c r="L32" i="23"/>
  <c r="M32" i="23" s="1"/>
  <c r="L33" i="23"/>
  <c r="M33" i="23" s="1"/>
  <c r="L34" i="23"/>
  <c r="M34" i="23" s="1"/>
  <c r="L35" i="23"/>
  <c r="L36" i="23"/>
  <c r="L37" i="23"/>
  <c r="L38" i="23"/>
  <c r="L39" i="23"/>
  <c r="L40" i="23"/>
  <c r="M40" i="23" s="1"/>
  <c r="L41" i="23"/>
  <c r="M41" i="23" s="1"/>
  <c r="L42" i="23"/>
  <c r="L43" i="23"/>
  <c r="L45" i="23"/>
  <c r="M45" i="23" s="1"/>
  <c r="L46" i="23"/>
  <c r="L47" i="23"/>
  <c r="L48" i="23"/>
  <c r="L49" i="23"/>
  <c r="L50" i="23"/>
  <c r="X79" i="16" s="1"/>
  <c r="Y79" i="16" s="1"/>
  <c r="L51" i="23"/>
  <c r="L52" i="23"/>
  <c r="M52" i="23" s="1"/>
  <c r="L53" i="23"/>
  <c r="M53" i="23" s="1"/>
  <c r="L54" i="23"/>
  <c r="M54" i="23" s="1"/>
  <c r="L55" i="23"/>
  <c r="L56" i="23"/>
  <c r="L57" i="23"/>
  <c r="L58" i="23"/>
  <c r="L59" i="23"/>
  <c r="M59" i="23" s="1"/>
  <c r="L60" i="23"/>
  <c r="L61" i="23"/>
  <c r="M61" i="23" s="1"/>
  <c r="L62" i="23"/>
  <c r="M62" i="23" s="1"/>
  <c r="L63" i="23"/>
  <c r="L64" i="23"/>
  <c r="L65" i="23"/>
  <c r="M65" i="23" s="1"/>
  <c r="L66" i="23"/>
  <c r="N17" i="23" l="1"/>
  <c r="N290" i="23"/>
  <c r="N207" i="23"/>
  <c r="N294" i="23"/>
  <c r="N105" i="23"/>
  <c r="N27" i="23"/>
  <c r="N215" i="23"/>
  <c r="N18" i="23"/>
  <c r="N206" i="23"/>
  <c r="M43" i="23"/>
  <c r="N82" i="23"/>
  <c r="N274" i="23"/>
  <c r="N102" i="23"/>
  <c r="X17" i="16"/>
  <c r="M37" i="23"/>
  <c r="M51" i="23"/>
  <c r="X69" i="16"/>
  <c r="Y69" i="16" s="1"/>
  <c r="M50" i="23"/>
  <c r="M56" i="23"/>
  <c r="M10" i="23"/>
  <c r="M7" i="23"/>
  <c r="M36" i="23"/>
  <c r="M35" i="23"/>
  <c r="M60" i="23"/>
  <c r="X9" i="16"/>
  <c r="M12" i="23"/>
  <c r="M2" i="23"/>
  <c r="M3" i="23"/>
  <c r="M23" i="23"/>
  <c r="M39" i="23"/>
  <c r="X18" i="16"/>
  <c r="M8" i="23"/>
  <c r="X21" i="16"/>
  <c r="M48" i="23"/>
  <c r="X74" i="16"/>
  <c r="Y74" i="16" s="1"/>
  <c r="M13" i="23"/>
  <c r="X4" i="16"/>
  <c r="M63" i="23"/>
  <c r="M58" i="23"/>
  <c r="M47" i="23"/>
  <c r="X19" i="16"/>
  <c r="X7" i="16"/>
  <c r="M38" i="23"/>
  <c r="X14" i="16"/>
  <c r="M24" i="23"/>
  <c r="X10" i="16"/>
  <c r="M57" i="23"/>
  <c r="X25" i="16"/>
  <c r="M46" i="23"/>
  <c r="X16" i="16"/>
  <c r="M22" i="23"/>
  <c r="X11" i="16"/>
  <c r="M55" i="23"/>
  <c r="X22" i="16"/>
  <c r="M30" i="23"/>
  <c r="M21" i="23"/>
  <c r="X70" i="16"/>
  <c r="Y70" i="16" s="1"/>
  <c r="X92" i="16"/>
  <c r="Y92" i="16" s="1"/>
  <c r="M9" i="23"/>
  <c r="X91" i="16"/>
  <c r="Y91" i="16" s="1"/>
  <c r="M5" i="23"/>
  <c r="M29" i="23"/>
  <c r="X6" i="16"/>
  <c r="M42" i="23"/>
  <c r="X15" i="16"/>
  <c r="M27" i="23"/>
  <c r="X13" i="16"/>
  <c r="M20" i="23"/>
  <c r="X5" i="16"/>
  <c r="M4" i="23"/>
  <c r="M66" i="23"/>
  <c r="M64" i="23"/>
  <c r="X23" i="16"/>
  <c r="M49" i="23"/>
  <c r="X20" i="16"/>
  <c r="M26" i="23"/>
  <c r="X12" i="16"/>
  <c r="Y15" i="16" l="1"/>
  <c r="Z15" i="16"/>
  <c r="AA15" i="16" s="1"/>
  <c r="Y7" i="16"/>
  <c r="Z7" i="16"/>
  <c r="AA7" i="16" s="1"/>
  <c r="Y12" i="16"/>
  <c r="Z12" i="16"/>
  <c r="AA12" i="16" s="1"/>
  <c r="Y25" i="16"/>
  <c r="Z25" i="16"/>
  <c r="AA25" i="16" s="1"/>
  <c r="Y21" i="16"/>
  <c r="Z21" i="16"/>
  <c r="AA21" i="16" s="1"/>
  <c r="Y19" i="16"/>
  <c r="Z19" i="16"/>
  <c r="AA19" i="16" s="1"/>
  <c r="Y22" i="16"/>
  <c r="Z22" i="16"/>
  <c r="AA22" i="16" s="1"/>
  <c r="Y9" i="16"/>
  <c r="Z9" i="16"/>
  <c r="AA9" i="16" s="1"/>
  <c r="Y20" i="16"/>
  <c r="Z20" i="16"/>
  <c r="AA20" i="16" s="1"/>
  <c r="Y10" i="16"/>
  <c r="Z10" i="16"/>
  <c r="AA10" i="16" s="1"/>
  <c r="Y5" i="16"/>
  <c r="Z5" i="16"/>
  <c r="AA5" i="16" s="1"/>
  <c r="Y11" i="16"/>
  <c r="Z11" i="16"/>
  <c r="AA11" i="16" s="1"/>
  <c r="Y18" i="16"/>
  <c r="Z18" i="16"/>
  <c r="AA18" i="16" s="1"/>
  <c r="Y13" i="16"/>
  <c r="Z13" i="16"/>
  <c r="AA13" i="16" s="1"/>
  <c r="Y23" i="16"/>
  <c r="Z23" i="16"/>
  <c r="AA23" i="16" s="1"/>
  <c r="Y14" i="16"/>
  <c r="Z14" i="16"/>
  <c r="AA14" i="16" s="1"/>
  <c r="Y4" i="16"/>
  <c r="Z4" i="16"/>
  <c r="AA4" i="16" s="1"/>
  <c r="Y6" i="16"/>
  <c r="Z6" i="16"/>
  <c r="AA6" i="16" s="1"/>
  <c r="Y16" i="16"/>
  <c r="Z16" i="16"/>
  <c r="AA16" i="16" s="1"/>
  <c r="Y17" i="16"/>
  <c r="Z17" i="16"/>
  <c r="AA17" i="16" s="1"/>
  <c r="J5" i="38"/>
  <c r="K5" i="38" l="1"/>
  <c r="W40" i="16" l="1"/>
  <c r="W42" i="16"/>
  <c r="W43" i="16"/>
  <c r="W46" i="16"/>
  <c r="W47" i="16"/>
  <c r="W48" i="16"/>
  <c r="K91" i="38"/>
  <c r="K92" i="38"/>
  <c r="K93" i="38"/>
  <c r="K94" i="38"/>
  <c r="K95" i="38"/>
  <c r="K96" i="38"/>
  <c r="K97" i="38"/>
  <c r="K98" i="38"/>
  <c r="K99" i="38"/>
  <c r="K100" i="38"/>
  <c r="K101" i="38"/>
  <c r="K102" i="38"/>
  <c r="K103" i="38"/>
  <c r="K104" i="38"/>
  <c r="K105" i="38"/>
  <c r="K106" i="38"/>
  <c r="K107" i="38"/>
  <c r="K108" i="38"/>
  <c r="K109" i="38"/>
  <c r="K110" i="38"/>
  <c r="K87" i="16"/>
  <c r="L87" i="16"/>
  <c r="M87" i="16"/>
  <c r="N87" i="16"/>
  <c r="O87" i="16"/>
  <c r="P87" i="16"/>
  <c r="Q87" i="16"/>
  <c r="R87" i="16"/>
  <c r="W38" i="16" l="1"/>
  <c r="W41" i="16"/>
  <c r="W37" i="16"/>
  <c r="W36" i="16"/>
  <c r="W29" i="16"/>
  <c r="W31" i="16"/>
  <c r="W75" i="16"/>
  <c r="W33" i="16"/>
  <c r="W34" i="16"/>
  <c r="W28" i="16"/>
  <c r="W74" i="16"/>
  <c r="W96" i="16"/>
  <c r="W76" i="16"/>
  <c r="W26" i="16"/>
  <c r="W30" i="16"/>
  <c r="W97" i="16"/>
  <c r="W24" i="16"/>
  <c r="W23" i="16"/>
  <c r="W32" i="16"/>
  <c r="W27"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N136" i="23"/>
  <c r="N140" i="23"/>
  <c r="N142" i="23"/>
  <c r="N143"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W95" i="16" l="1"/>
  <c r="W94" i="16"/>
  <c r="W16" i="16"/>
  <c r="W18" i="16"/>
  <c r="W14" i="16"/>
  <c r="W22" i="16"/>
  <c r="L5" i="38"/>
  <c r="M5" i="38" s="1"/>
  <c r="W3" i="16" l="1"/>
  <c r="W13" i="16"/>
  <c r="W20" i="16"/>
  <c r="W39" i="16"/>
  <c r="W35" i="16"/>
  <c r="W21" i="16"/>
  <c r="W25" i="16"/>
  <c r="W17" i="16"/>
  <c r="W73" i="16"/>
  <c r="W93" i="16"/>
  <c r="W19" i="16"/>
  <c r="W15" i="16"/>
  <c r="W70" i="16"/>
  <c r="W91" i="16"/>
  <c r="W68" i="16"/>
  <c r="W11" i="16"/>
  <c r="N5" i="38"/>
  <c r="W89" i="16"/>
  <c r="W72" i="16"/>
  <c r="W92" i="16"/>
  <c r="W12" i="16"/>
  <c r="W90" i="16"/>
  <c r="W67" i="16"/>
  <c r="N137" i="23"/>
  <c r="L67" i="23" l="1"/>
  <c r="X71" i="16" s="1"/>
  <c r="Y71" i="16" s="1"/>
  <c r="L68" i="23"/>
  <c r="M68" i="23" s="1"/>
  <c r="L70" i="23"/>
  <c r="L71" i="23"/>
  <c r="M71" i="23" s="1"/>
  <c r="L72" i="23"/>
  <c r="M72" i="23" s="1"/>
  <c r="L73" i="23"/>
  <c r="L74" i="23"/>
  <c r="L75" i="23"/>
  <c r="L77" i="23"/>
  <c r="L78" i="23"/>
  <c r="L79" i="23"/>
  <c r="L81" i="23"/>
  <c r="X82" i="16" s="1"/>
  <c r="Y82" i="16" s="1"/>
  <c r="L82" i="23"/>
  <c r="X84" i="16" s="1"/>
  <c r="L83" i="23"/>
  <c r="X26" i="16" s="1"/>
  <c r="L84" i="23"/>
  <c r="L85" i="23"/>
  <c r="M85" i="23" s="1"/>
  <c r="L86" i="23"/>
  <c r="L87" i="23"/>
  <c r="L88" i="23"/>
  <c r="L89" i="23"/>
  <c r="L90" i="23"/>
  <c r="L91" i="23"/>
  <c r="M91" i="23" s="1"/>
  <c r="L92" i="23"/>
  <c r="L93" i="23"/>
  <c r="L94" i="23"/>
  <c r="L95" i="23"/>
  <c r="L97" i="23"/>
  <c r="L98" i="23"/>
  <c r="L99" i="23"/>
  <c r="X75" i="16" s="1"/>
  <c r="Y75" i="16" s="1"/>
  <c r="L100" i="23"/>
  <c r="L101" i="23"/>
  <c r="L102" i="23"/>
  <c r="L103" i="23"/>
  <c r="M103" i="23" s="1"/>
  <c r="L104" i="23"/>
  <c r="L105" i="23"/>
  <c r="X99" i="16"/>
  <c r="Y99" i="16" s="1"/>
  <c r="L135" i="23"/>
  <c r="L136" i="23"/>
  <c r="M136" i="23" s="1"/>
  <c r="L137" i="23"/>
  <c r="L138" i="23"/>
  <c r="L139" i="23"/>
  <c r="L140" i="23"/>
  <c r="M140" i="23" s="1"/>
  <c r="L141" i="23"/>
  <c r="M141" i="23" s="1"/>
  <c r="L142" i="23"/>
  <c r="M142" i="23" s="1"/>
  <c r="L143" i="23"/>
  <c r="M143" i="23" s="1"/>
  <c r="L144" i="23"/>
  <c r="M144" i="23" s="1"/>
  <c r="L145" i="23"/>
  <c r="M145" i="23" s="1"/>
  <c r="L146" i="23"/>
  <c r="L147" i="23"/>
  <c r="L148" i="23"/>
  <c r="M148" i="23" s="1"/>
  <c r="L149" i="23"/>
  <c r="M149" i="23" s="1"/>
  <c r="L150" i="23"/>
  <c r="M150" i="23" s="1"/>
  <c r="L151" i="23"/>
  <c r="M151" i="23" s="1"/>
  <c r="L152" i="23"/>
  <c r="M152" i="23" s="1"/>
  <c r="L153" i="23"/>
  <c r="M153" i="23" s="1"/>
  <c r="L154" i="23"/>
  <c r="M154" i="23" s="1"/>
  <c r="L155" i="23"/>
  <c r="M155" i="23" s="1"/>
  <c r="L156" i="23"/>
  <c r="M156" i="23" s="1"/>
  <c r="L157" i="23"/>
  <c r="M157" i="23" s="1"/>
  <c r="L158" i="23"/>
  <c r="M158" i="23" s="1"/>
  <c r="L159" i="23"/>
  <c r="M159" i="23" s="1"/>
  <c r="L160" i="23"/>
  <c r="M160" i="23" s="1"/>
  <c r="L161" i="23"/>
  <c r="M161" i="23" s="1"/>
  <c r="L162" i="23"/>
  <c r="M162" i="23" s="1"/>
  <c r="L163" i="23"/>
  <c r="M163" i="23" s="1"/>
  <c r="L164" i="23"/>
  <c r="M164" i="23" s="1"/>
  <c r="L165" i="23"/>
  <c r="M165" i="23" s="1"/>
  <c r="L166" i="23"/>
  <c r="M166" i="23" s="1"/>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5" i="23"/>
  <c r="M185" i="23" s="1"/>
  <c r="L186" i="23"/>
  <c r="M186" i="23" s="1"/>
  <c r="L187" i="23"/>
  <c r="M187" i="23" s="1"/>
  <c r="L188" i="23"/>
  <c r="M188" i="23" s="1"/>
  <c r="X3" i="16"/>
  <c r="X83" i="16" l="1"/>
  <c r="Y83" i="16" s="1"/>
  <c r="X93" i="16"/>
  <c r="Y93" i="16" s="1"/>
  <c r="X43" i="16"/>
  <c r="Y43" i="16" s="1"/>
  <c r="X101" i="16"/>
  <c r="Y101" i="16" s="1"/>
  <c r="Y84" i="16"/>
  <c r="Z84" i="16"/>
  <c r="AA84" i="16" s="1"/>
  <c r="X85" i="16"/>
  <c r="Y85" i="16" s="1"/>
  <c r="X45" i="16"/>
  <c r="Y45" i="16" s="1"/>
  <c r="X100" i="16"/>
  <c r="Y100" i="16" s="1"/>
  <c r="X81" i="16"/>
  <c r="Y81" i="16" s="1"/>
  <c r="M98" i="23"/>
  <c r="X44" i="16"/>
  <c r="Y44" i="16" s="1"/>
  <c r="X28" i="16"/>
  <c r="Z28" i="16" s="1"/>
  <c r="AA28" i="16" s="1"/>
  <c r="M102" i="23"/>
  <c r="X46" i="16"/>
  <c r="Y46" i="16" s="1"/>
  <c r="Y26" i="16"/>
  <c r="Z26" i="16"/>
  <c r="AA26" i="16" s="1"/>
  <c r="Z3" i="16"/>
  <c r="AA3" i="16" s="1"/>
  <c r="Y3" i="16"/>
  <c r="M93" i="23"/>
  <c r="M137" i="23"/>
  <c r="X97" i="16"/>
  <c r="Y97" i="16" s="1"/>
  <c r="X38" i="16"/>
  <c r="X42" i="16"/>
  <c r="X36" i="16"/>
  <c r="X72" i="16"/>
  <c r="Y72" i="16" s="1"/>
  <c r="X34" i="16"/>
  <c r="X78" i="16"/>
  <c r="Y78" i="16" s="1"/>
  <c r="X73" i="16"/>
  <c r="Y73" i="16" s="1"/>
  <c r="X76" i="16"/>
  <c r="Y76" i="16" s="1"/>
  <c r="X90" i="16"/>
  <c r="Y90" i="16" s="1"/>
  <c r="X80" i="16"/>
  <c r="Y80" i="16" s="1"/>
  <c r="M81" i="23"/>
  <c r="X29" i="16"/>
  <c r="X98" i="16"/>
  <c r="Y98" i="16" s="1"/>
  <c r="X41" i="16"/>
  <c r="X33" i="16"/>
  <c r="X31" i="16"/>
  <c r="M67" i="23"/>
  <c r="X24" i="16"/>
  <c r="X30" i="16"/>
  <c r="X39" i="16"/>
  <c r="X94" i="16"/>
  <c r="Y94" i="16" s="1"/>
  <c r="X40" i="16"/>
  <c r="X32" i="16"/>
  <c r="X35" i="16"/>
  <c r="X27" i="16"/>
  <c r="M77" i="23"/>
  <c r="X95" i="16"/>
  <c r="Y95" i="16" s="1"/>
  <c r="M84" i="23"/>
  <c r="X96" i="16"/>
  <c r="Y96" i="16" s="1"/>
  <c r="M70" i="23"/>
  <c r="M87" i="23"/>
  <c r="M82" i="23"/>
  <c r="X67" i="16"/>
  <c r="Y67" i="16" s="1"/>
  <c r="M89" i="23"/>
  <c r="M101" i="23"/>
  <c r="M97" i="23"/>
  <c r="M88" i="23"/>
  <c r="M105" i="23"/>
  <c r="M83" i="23"/>
  <c r="M86" i="23"/>
  <c r="M139" i="23"/>
  <c r="M135" i="23"/>
  <c r="M146" i="23"/>
  <c r="M138" i="23"/>
  <c r="M104" i="23"/>
  <c r="M95" i="23"/>
  <c r="M79" i="23"/>
  <c r="M99" i="23"/>
  <c r="M94" i="23"/>
  <c r="M90" i="23"/>
  <c r="M78" i="23"/>
  <c r="M74" i="23"/>
  <c r="Z103" i="16"/>
  <c r="M92" i="23"/>
  <c r="M100" i="23"/>
  <c r="M75" i="23"/>
  <c r="M73" i="23"/>
  <c r="M147" i="23"/>
  <c r="Z85" i="16" l="1"/>
  <c r="AA85" i="16" s="1"/>
  <c r="Y28" i="16"/>
  <c r="Y24" i="16"/>
  <c r="Z24" i="16"/>
  <c r="AA24" i="16" s="1"/>
  <c r="Y34" i="16"/>
  <c r="Z34" i="16"/>
  <c r="AA34" i="16" s="1"/>
  <c r="Y35" i="16"/>
  <c r="Z35" i="16"/>
  <c r="AA35" i="16" s="1"/>
  <c r="Y31" i="16"/>
  <c r="Z31" i="16"/>
  <c r="AA31" i="16" s="1"/>
  <c r="Y36" i="16"/>
  <c r="Z36" i="16"/>
  <c r="AA36" i="16" s="1"/>
  <c r="Y32" i="16"/>
  <c r="Z32" i="16"/>
  <c r="AA32" i="16" s="1"/>
  <c r="Y33" i="16"/>
  <c r="Z33" i="16"/>
  <c r="AA33" i="16" s="1"/>
  <c r="Y42" i="16"/>
  <c r="Z42" i="16"/>
  <c r="AA42" i="16" s="1"/>
  <c r="Y40" i="16"/>
  <c r="Z40" i="16"/>
  <c r="AA40" i="16" s="1"/>
  <c r="Y41" i="16"/>
  <c r="Z41" i="16"/>
  <c r="AA41" i="16" s="1"/>
  <c r="Y38" i="16"/>
  <c r="Z38" i="16"/>
  <c r="AA38" i="16" s="1"/>
  <c r="Y39" i="16"/>
  <c r="Z39" i="16"/>
  <c r="AA39" i="16" s="1"/>
  <c r="Y27" i="16"/>
  <c r="Z27" i="16"/>
  <c r="AA27" i="16" s="1"/>
  <c r="Y37" i="16"/>
  <c r="Z37" i="16"/>
  <c r="AA37" i="16" s="1"/>
  <c r="Y30" i="16"/>
  <c r="Z30" i="16"/>
  <c r="AA30" i="16" s="1"/>
  <c r="Y29" i="16"/>
  <c r="Z29" i="16"/>
  <c r="AA29" i="16" s="1"/>
  <c r="Z83" i="16"/>
  <c r="AA83" i="16" s="1"/>
  <c r="Z82" i="16"/>
  <c r="AA82" i="16" s="1"/>
  <c r="Z81" i="16"/>
  <c r="AA81" i="16" s="1"/>
  <c r="Z104" i="16"/>
  <c r="Z105" i="16"/>
  <c r="F49" i="11" l="1"/>
  <c r="J111" i="38" l="1"/>
  <c r="H161" i="15"/>
  <c r="H162" i="15"/>
  <c r="H164" i="15"/>
  <c r="H165" i="15"/>
  <c r="H166" i="15"/>
  <c r="H167" i="15"/>
  <c r="H168" i="15"/>
  <c r="H169" i="15"/>
  <c r="H170" i="15"/>
  <c r="H171" i="15"/>
  <c r="H172" i="15"/>
  <c r="G121" i="16" s="1"/>
  <c r="H173" i="15"/>
  <c r="H121" i="16" s="1"/>
  <c r="F76" i="14" l="1"/>
  <c r="J144" i="14" s="1"/>
  <c r="E76" i="14"/>
  <c r="E132" i="14"/>
  <c r="J149" i="14"/>
  <c r="J150" i="14"/>
  <c r="J151" i="14"/>
  <c r="J152" i="14"/>
  <c r="J153" i="14"/>
  <c r="J154" i="14"/>
  <c r="J155" i="14"/>
  <c r="J156" i="14"/>
  <c r="J148" i="14"/>
  <c r="J76" i="14" l="1"/>
  <c r="H163" i="15" l="1"/>
  <c r="I136" i="14" l="1"/>
  <c r="D76" i="14"/>
  <c r="Z79" i="16" l="1"/>
  <c r="AA79" i="16" s="1"/>
  <c r="Z78" i="16"/>
  <c r="AA78" i="16" s="1"/>
  <c r="Z76" i="16" l="1"/>
  <c r="AA76" i="16" s="1"/>
  <c r="Z75" i="16"/>
  <c r="AA75" i="16" s="1"/>
  <c r="W88" i="16"/>
  <c r="K66" i="16" l="1"/>
  <c r="L66" i="16"/>
  <c r="M66" i="16"/>
  <c r="N66" i="16"/>
  <c r="O66" i="16"/>
  <c r="P66" i="16"/>
  <c r="Z86" i="16" l="1"/>
  <c r="AA86" i="16" s="1"/>
  <c r="Z109" i="16"/>
  <c r="Z64" i="16"/>
  <c r="AA64" i="16" s="1"/>
  <c r="Z58" i="16"/>
  <c r="AA58" i="16" s="1"/>
  <c r="Z63" i="16"/>
  <c r="AA63" i="16" s="1"/>
  <c r="Z57" i="16"/>
  <c r="AA57" i="16" s="1"/>
  <c r="Z59" i="16"/>
  <c r="AA59" i="16" s="1"/>
  <c r="Z61" i="16"/>
  <c r="AA61" i="16" s="1"/>
  <c r="Z60" i="16"/>
  <c r="AA60" i="16" s="1"/>
  <c r="Z65" i="16"/>
  <c r="AA65" i="16" s="1"/>
  <c r="Z62" i="16"/>
  <c r="AA62" i="16" s="1"/>
  <c r="Z110" i="16"/>
  <c r="Z108" i="16"/>
  <c r="Z107" i="16"/>
  <c r="Z72" i="16" l="1"/>
  <c r="AA72" i="16" s="1"/>
  <c r="Z74" i="16"/>
  <c r="AA74" i="16" s="1"/>
  <c r="Z95" i="16"/>
  <c r="AA95" i="16" s="1"/>
  <c r="Z80" i="16"/>
  <c r="AA80" i="16" s="1"/>
  <c r="Z51" i="16"/>
  <c r="AA51" i="16" s="1"/>
  <c r="Z96" i="16"/>
  <c r="AA96" i="16" s="1"/>
  <c r="Z106" i="16"/>
  <c r="Z91" i="16"/>
  <c r="AA91" i="16" s="1"/>
  <c r="Z92" i="16"/>
  <c r="AA92" i="16" s="1"/>
  <c r="Z93" i="16"/>
  <c r="AA93" i="16" s="1"/>
  <c r="Z89" i="16"/>
  <c r="AA89" i="16" s="1"/>
  <c r="Z94" i="16"/>
  <c r="AA94" i="16" s="1"/>
  <c r="Z97" i="16"/>
  <c r="AA97" i="16" s="1"/>
  <c r="Z99" i="16"/>
  <c r="AA99" i="16" s="1"/>
  <c r="Z98" i="16"/>
  <c r="AA98" i="16" s="1"/>
  <c r="Z100" i="16"/>
  <c r="AA100" i="16" s="1"/>
  <c r="N141" i="23"/>
  <c r="Z101" i="16"/>
  <c r="AA101" i="16" s="1"/>
  <c r="Z90" i="16"/>
  <c r="AA90" i="16" s="1"/>
  <c r="Z102" i="16"/>
  <c r="AA102" i="16" s="1"/>
  <c r="Z73" i="16"/>
  <c r="AA73" i="16" s="1"/>
  <c r="Z70" i="16"/>
  <c r="AA70" i="16" s="1"/>
  <c r="Z68" i="16"/>
  <c r="AA68" i="16" s="1"/>
  <c r="Z44" i="16"/>
  <c r="AA44" i="16" s="1"/>
  <c r="Z54" i="16"/>
  <c r="AA54" i="16" s="1"/>
  <c r="Z52" i="16"/>
  <c r="AA52" i="16" s="1"/>
  <c r="N146" i="23"/>
  <c r="N144" i="23"/>
  <c r="Z50" i="16"/>
  <c r="AA50" i="16" s="1"/>
  <c r="Z55" i="16"/>
  <c r="AA55" i="16" s="1"/>
  <c r="N138" i="23"/>
  <c r="Z47" i="16"/>
  <c r="AA47" i="16" s="1"/>
  <c r="N145" i="23"/>
  <c r="Z45" i="16"/>
  <c r="AA45" i="16" s="1"/>
  <c r="Z56" i="16"/>
  <c r="AA56" i="16" s="1"/>
  <c r="N135" i="23"/>
  <c r="Z46" i="16"/>
  <c r="AA46" i="16" s="1"/>
  <c r="Z53" i="16"/>
  <c r="AA53" i="16" s="1"/>
  <c r="N139" i="23"/>
  <c r="Z43" i="16"/>
  <c r="AA43" i="16" s="1"/>
  <c r="Z49" i="16"/>
  <c r="AA49" i="16" s="1"/>
  <c r="Z48" i="16"/>
  <c r="AA48" i="16" s="1"/>
  <c r="K111" i="38"/>
  <c r="E4" i="11" s="1"/>
  <c r="E5" i="11" s="1"/>
  <c r="M111" i="38" l="1"/>
  <c r="N111" i="38" s="1"/>
  <c r="Z67" i="16" l="1"/>
  <c r="AA67" i="16" s="1"/>
  <c r="X88" i="16" l="1"/>
  <c r="W111" i="16"/>
  <c r="W87" i="16"/>
  <c r="W66" i="16"/>
  <c r="W115" i="16" l="1"/>
  <c r="S111" i="16"/>
  <c r="T111" i="16"/>
  <c r="U111" i="16" l="1"/>
  <c r="N182" i="23" l="1"/>
  <c r="N183" i="23"/>
  <c r="N184" i="23"/>
  <c r="N185" i="23"/>
  <c r="N186" i="23"/>
  <c r="N187" i="23"/>
  <c r="N188" i="23"/>
  <c r="F5" i="37" l="1"/>
  <c r="F6" i="37" s="1"/>
  <c r="F7" i="37" s="1"/>
  <c r="AV14" i="14"/>
  <c r="G46" i="11" l="1"/>
  <c r="G47" i="11"/>
  <c r="Q314" i="23" l="1"/>
  <c r="Q315" i="23"/>
  <c r="Q316" i="23"/>
  <c r="Q317" i="23"/>
  <c r="Q318" i="23"/>
  <c r="Q319" i="23"/>
  <c r="L380" i="23" l="1"/>
  <c r="M380" i="23" s="1"/>
  <c r="N380" i="23"/>
  <c r="L381" i="23"/>
  <c r="M381" i="23" s="1"/>
  <c r="N381" i="23"/>
  <c r="L382" i="23"/>
  <c r="M382" i="23" s="1"/>
  <c r="N382" i="23"/>
  <c r="L383" i="23"/>
  <c r="M383" i="23" s="1"/>
  <c r="N383" i="23"/>
  <c r="I384" i="23"/>
  <c r="J384" i="23"/>
  <c r="N384" i="23"/>
  <c r="S87" i="16" l="1"/>
  <c r="L384" i="23"/>
  <c r="M384" i="23" s="1"/>
  <c r="D50" i="11" l="1"/>
  <c r="D51" i="11" s="1"/>
  <c r="F84" i="8" l="1"/>
  <c r="I182" i="23" l="1"/>
  <c r="J182" i="23"/>
  <c r="J391" i="23" s="1"/>
  <c r="L182" i="23" l="1"/>
  <c r="M182" i="23" s="1"/>
  <c r="Y88" i="16"/>
  <c r="I391" i="23"/>
  <c r="I183" i="23"/>
  <c r="L183" i="23" s="1"/>
  <c r="M183" i="23" s="1"/>
  <c r="I184" i="23" l="1"/>
  <c r="L184" i="23" s="1"/>
  <c r="M184" i="23" s="1"/>
  <c r="L389" i="23" l="1"/>
  <c r="J157" i="14" l="1"/>
  <c r="J145" i="14" l="1"/>
  <c r="C146" i="14"/>
  <c r="AN14" i="14"/>
  <c r="F68" i="8" l="1"/>
  <c r="F69" i="8"/>
  <c r="F70" i="8"/>
  <c r="F71" i="8"/>
  <c r="F72" i="8"/>
  <c r="F73" i="8"/>
  <c r="F74" i="8"/>
  <c r="F75" i="8"/>
  <c r="F76" i="8"/>
  <c r="F77" i="8"/>
  <c r="F78" i="8"/>
  <c r="F79" i="8"/>
  <c r="F80" i="8"/>
  <c r="F81" i="8"/>
  <c r="F82" i="8"/>
  <c r="F83" i="8"/>
  <c r="F67" i="8"/>
  <c r="H158" i="15"/>
  <c r="H159" i="15"/>
  <c r="H160" i="15"/>
  <c r="H157" i="15"/>
  <c r="H174" i="15" l="1"/>
  <c r="AJ14" i="14"/>
  <c r="AK14" i="14"/>
  <c r="AL14" i="14"/>
  <c r="AM14" i="14"/>
  <c r="B14" i="11"/>
  <c r="B15" i="11"/>
  <c r="B16" i="11"/>
  <c r="B17" i="11"/>
  <c r="B18" i="11"/>
  <c r="B24" i="11"/>
  <c r="C21" i="11"/>
  <c r="C143" i="14"/>
  <c r="D143" i="14"/>
  <c r="C144" i="14"/>
  <c r="D144" i="14"/>
  <c r="C145" i="14"/>
  <c r="D145" i="14"/>
  <c r="D146" i="14"/>
  <c r="D149" i="14"/>
  <c r="C150" i="14"/>
  <c r="D150" i="14"/>
  <c r="C151" i="14"/>
  <c r="D151" i="14"/>
  <c r="C152" i="14"/>
  <c r="D152" i="14"/>
  <c r="C153" i="14"/>
  <c r="D153" i="14"/>
  <c r="C154" i="14"/>
  <c r="D154" i="14"/>
  <c r="C155" i="14"/>
  <c r="D155" i="14"/>
  <c r="C156" i="14"/>
  <c r="D156" i="14"/>
  <c r="C157" i="14"/>
  <c r="D157" i="14"/>
  <c r="C158" i="14"/>
  <c r="D158" i="14"/>
  <c r="D142" i="14"/>
  <c r="C142" i="14"/>
  <c r="E64" i="8"/>
  <c r="D64" i="8"/>
  <c r="G155" i="15"/>
  <c r="H1" i="8"/>
  <c r="F155" i="15"/>
  <c r="F158" i="14" l="1"/>
  <c r="F146" i="14"/>
  <c r="C18" i="11" s="1"/>
  <c r="D159" i="14"/>
  <c r="F157" i="14"/>
  <c r="F153" i="14"/>
  <c r="C20" i="11" s="1"/>
  <c r="F149" i="14"/>
  <c r="C24" i="11" s="1"/>
  <c r="F145" i="14"/>
  <c r="C17" i="11" s="1"/>
  <c r="F155" i="14"/>
  <c r="F151" i="14"/>
  <c r="C31" i="11" s="1"/>
  <c r="C19" i="11"/>
  <c r="F143" i="14"/>
  <c r="C15" i="11" s="1"/>
  <c r="F154" i="14"/>
  <c r="C23" i="11" s="1"/>
  <c r="F150" i="14"/>
  <c r="F156" i="14"/>
  <c r="F152" i="14"/>
  <c r="F148" i="14"/>
  <c r="C26" i="11" s="1"/>
  <c r="F144" i="14"/>
  <c r="C16" i="11" s="1"/>
  <c r="F142" i="14"/>
  <c r="C14" i="11" s="1"/>
  <c r="C159" i="14"/>
  <c r="C28" i="11" l="1"/>
  <c r="C27" i="11" s="1"/>
  <c r="G153" i="14"/>
  <c r="C13" i="11"/>
  <c r="C22" i="11"/>
  <c r="X66" i="16" l="1"/>
  <c r="H136" i="14" l="1"/>
  <c r="J136" i="14"/>
  <c r="AI14" i="14"/>
  <c r="R183" i="23"/>
  <c r="L149" i="14" l="1"/>
  <c r="L150" i="14"/>
  <c r="L151" i="14"/>
  <c r="L152" i="14"/>
  <c r="L153" i="14"/>
  <c r="L154" i="14"/>
  <c r="L155" i="14"/>
  <c r="L156" i="14"/>
  <c r="L148" i="14"/>
  <c r="X111" i="16" l="1"/>
  <c r="X87" i="16"/>
  <c r="Q115" i="16" l="1"/>
  <c r="R115" i="16"/>
  <c r="T87" i="16" l="1"/>
  <c r="U87" i="16" s="1"/>
  <c r="S66" i="16"/>
  <c r="U66" i="16" s="1"/>
  <c r="V111" i="16" l="1"/>
  <c r="Z88" i="16"/>
  <c r="AA88" i="16" s="1"/>
  <c r="V87" i="16"/>
  <c r="Z87" i="16" s="1"/>
  <c r="AA87" i="16" s="1"/>
  <c r="X115" i="16"/>
  <c r="V66" i="16"/>
  <c r="Z66" i="16" l="1"/>
  <c r="AA66" i="16" s="1"/>
  <c r="U112" i="16"/>
  <c r="N114" i="16"/>
  <c r="N115" i="16" s="1"/>
  <c r="C30" i="11" l="1"/>
  <c r="C33" i="11"/>
  <c r="C36" i="11" s="1"/>
  <c r="E13" i="11" l="1"/>
  <c r="G151" i="14"/>
  <c r="G149" i="14"/>
  <c r="G146" i="14"/>
  <c r="F159" i="14"/>
  <c r="G159" i="14" l="1"/>
  <c r="C37" i="11" s="1"/>
  <c r="H163" i="14"/>
  <c r="AA14" i="14" l="1"/>
  <c r="T113" i="16" l="1"/>
  <c r="J114" i="16"/>
  <c r="K114" i="16"/>
  <c r="K115" i="16" s="1"/>
  <c r="G122" i="16" s="1"/>
  <c r="G123" i="16" s="1"/>
  <c r="L114" i="16"/>
  <c r="L115" i="16" s="1"/>
  <c r="M114" i="16"/>
  <c r="M115" i="16" s="1"/>
  <c r="N116" i="16"/>
  <c r="O114" i="16"/>
  <c r="O115" i="16" s="1"/>
  <c r="P114" i="16"/>
  <c r="P115" i="16" s="1"/>
  <c r="P116" i="16" s="1"/>
  <c r="H115" i="16"/>
  <c r="I115" i="16"/>
  <c r="L116" i="16" l="1"/>
  <c r="H122" i="16"/>
  <c r="H123" i="16" s="1"/>
  <c r="H119" i="16"/>
  <c r="Q139" i="23"/>
  <c r="R139" i="23" s="1"/>
  <c r="M116" i="16"/>
  <c r="O116" i="16"/>
  <c r="U113" i="16"/>
  <c r="K116" i="16"/>
  <c r="F126" i="16"/>
  <c r="T114" i="16"/>
  <c r="S114" i="16"/>
  <c r="X113" i="16"/>
  <c r="L388" i="23" l="1"/>
  <c r="D4" i="11"/>
  <c r="D5" i="11" s="1"/>
  <c r="Y113" i="16"/>
  <c r="T115" i="16"/>
  <c r="S115" i="16"/>
  <c r="T116" i="16" l="1"/>
  <c r="T120" i="16"/>
  <c r="S116" i="16"/>
  <c r="S120" i="16"/>
  <c r="V115" i="16"/>
  <c r="U115" i="16"/>
  <c r="U116" i="16" s="1"/>
  <c r="V116" i="16" l="1"/>
  <c r="Y119" i="16"/>
  <c r="C50" i="11" l="1"/>
  <c r="C11" i="11" l="1"/>
  <c r="C10" i="11"/>
  <c r="E50" i="11" l="1"/>
  <c r="C9" i="11" l="1"/>
  <c r="C8" i="11" s="1"/>
  <c r="C35" i="11" s="1"/>
  <c r="K119" i="16" l="1"/>
  <c r="D36" i="11" l="1"/>
  <c r="C39" i="11" s="1"/>
  <c r="C40" i="11"/>
  <c r="C38" i="11"/>
  <c r="D25" i="11" l="1"/>
  <c r="D26" i="11"/>
  <c r="D27" i="11"/>
  <c r="D15" i="11"/>
  <c r="D19" i="11"/>
  <c r="D18" i="11"/>
  <c r="D22" i="11"/>
  <c r="D24" i="11"/>
  <c r="D17" i="11"/>
  <c r="D23" i="11"/>
  <c r="D21" i="11"/>
  <c r="D14" i="11"/>
  <c r="D20" i="11"/>
  <c r="D16" i="11"/>
  <c r="S117" i="16"/>
  <c r="S118" i="16" s="1"/>
  <c r="E30" i="11" l="1"/>
  <c r="F30" i="11" s="1"/>
  <c r="W116" i="16"/>
  <c r="T118" i="16"/>
  <c r="B33" i="11" l="1"/>
  <c r="D30" i="11" l="1"/>
  <c r="D8" i="11" l="1"/>
  <c r="E8" i="11" s="1"/>
  <c r="D33" i="11" l="1"/>
  <c r="D9" i="11" l="1"/>
  <c r="D10" i="11"/>
  <c r="D11" i="11"/>
  <c r="D13" i="11" l="1"/>
</calcChain>
</file>

<file path=xl/sharedStrings.xml><?xml version="1.0" encoding="utf-8"?>
<sst xmlns="http://schemas.openxmlformats.org/spreadsheetml/2006/main" count="4219" uniqueCount="1439">
  <si>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</si>
  <si>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</si>
  <si>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</si>
  <si>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</si>
  <si>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</si>
  <si>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</si>
  <si>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</si>
  <si>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</si>
  <si>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</si>
  <si>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</si>
  <si>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</si>
  <si>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</si>
  <si>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</si>
  <si>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</si>
  <si>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</si>
  <si>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</si>
  <si>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</si>
  <si>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</si>
  <si>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</si>
  <si>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</si>
  <si>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</si>
  <si>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</si>
  <si>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</si>
  <si>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</si>
  <si>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</si>
  <si>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</si>
  <si>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</si>
  <si>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</si>
  <si>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</si>
  <si>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</si>
  <si>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</si>
  <si>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</si>
  <si>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</si>
  <si>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</si>
  <si>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</si>
  <si>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</si>
  <si>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</si>
  <si>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</si>
  <si>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</si>
  <si>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</si>
  <si>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</si>
  <si>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</si>
  <si>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</si>
  <si>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</si>
  <si>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</si>
  <si>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</si>
  <si>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</si>
  <si>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</si>
  <si>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</si>
  <si>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</si>
  <si>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</si>
  <si>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</si>
  <si>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</si>
  <si>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</si>
  <si>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</si>
  <si>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</si>
  <si>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</si>
  <si>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</si>
  <si>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</si>
  <si>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</si>
  <si>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</si>
  <si>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</si>
  <si>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</si>
  <si>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</si>
  <si>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</si>
  <si>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</si>
  <si>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</si>
  <si>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</si>
  <si>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</si>
  <si>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</si>
  <si>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</si>
  <si>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</si>
  <si>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</si>
  <si>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</si>
  <si>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</si>
  <si>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</si>
  <si>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</si>
  <si>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</si>
  <si>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</si>
  <si>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</si>
  <si>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</si>
  <si>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</si>
  <si>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</si>
  <si>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</si>
  <si>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</si>
  <si>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</si>
  <si>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</si>
  <si>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</si>
  <si>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</si>
  <si>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</si>
  <si>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</si>
  <si>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</si>
  <si>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</si>
  <si>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</si>
  <si>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</si>
  <si>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</si>
  <si>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</si>
  <si>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</si>
  <si>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</si>
  <si>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</si>
  <si>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</si>
  <si>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</si>
  <si>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</si>
  <si>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</si>
  <si>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</si>
  <si>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</si>
  <si>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</si>
  <si>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</si>
  <si>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</si>
  <si>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</si>
  <si>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</si>
  <si>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</si>
  <si>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</si>
  <si>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</si>
  <si>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</si>
  <si>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</si>
  <si>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</si>
  <si>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</si>
  <si>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</si>
  <si>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</si>
  <si>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</si>
  <si>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</si>
  <si>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</si>
  <si>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</si>
  <si>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</si>
  <si>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</si>
  <si>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</si>
  <si>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</si>
  <si>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</si>
  <si>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</si>
  <si>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</si>
  <si>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</si>
  <si>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</si>
  <si>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</si>
  <si>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</si>
  <si>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</si>
  <si>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</si>
  <si>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</si>
  <si>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</si>
  <si>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</si>
  <si>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</si>
  <si>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</si>
  <si>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</si>
  <si>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</si>
  <si>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</si>
  <si>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</si>
  <si>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</si>
  <si>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</si>
  <si>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</si>
  <si>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</si>
  <si>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</si>
  <si>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</si>
  <si>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</si>
  <si>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</si>
  <si>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</si>
  <si>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</si>
  <si>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</si>
  <si>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</si>
  <si>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</si>
  <si>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</si>
  <si>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</si>
  <si>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</si>
  <si>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</si>
  <si>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</si>
  <si>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</si>
  <si>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</si>
  <si>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Lista de Clases</t>
  </si>
  <si>
    <t>Comisión otras</t>
  </si>
  <si>
    <t>Comisión Bco</t>
  </si>
  <si>
    <t>Fondos a Rendir</t>
  </si>
  <si>
    <t>Gastos Operación</t>
  </si>
  <si>
    <t>Gastos Admininstración</t>
  </si>
  <si>
    <t>Servicos</t>
  </si>
  <si>
    <t>Ventas deposito $</t>
  </si>
  <si>
    <t>Ventas deposito USD</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</si>
  <si>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</si>
  <si>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</si>
  <si>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</si>
  <si>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</si>
  <si>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</si>
  <si>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</si>
  <si>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</si>
  <si>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</si>
  <si>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</si>
  <si>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</si>
  <si>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</si>
  <si>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</si>
  <si>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</si>
  <si>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</si>
  <si>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</si>
  <si>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</si>
  <si>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</si>
  <si>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</si>
  <si>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</si>
  <si>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t>
  </si>
  <si>
    <t>23.590.575-2</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</si>
  <si>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</si>
  <si>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</si>
  <si>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</si>
  <si>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</si>
  <si>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</si>
  <si>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</si>
  <si>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</si>
  <si>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</si>
  <si>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</si>
  <si>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</si>
  <si>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</si>
  <si>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</si>
  <si>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</si>
  <si>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</si>
  <si>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</si>
  <si>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</si>
  <si>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</si>
  <si>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</si>
  <si>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</si>
  <si>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</si>
  <si>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</si>
  <si>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</si>
  <si>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25173415</t>
  </si>
  <si>
    <t>Deposito En Efectivo Por Caja</t>
  </si>
  <si>
    <t xml:space="preserve">SCOTIABANK                         </t>
  </si>
  <si>
    <t>AGRO</t>
  </si>
  <si>
    <t>MALL</t>
  </si>
  <si>
    <t>BKNG</t>
  </si>
  <si>
    <t>30905830</t>
  </si>
  <si>
    <t>30975278</t>
  </si>
  <si>
    <t>Mes anterior</t>
  </si>
  <si>
    <t xml:space="preserve">Luis Arias                                   </t>
  </si>
  <si>
    <t>12.567.334-1</t>
  </si>
  <si>
    <t>12567334</t>
  </si>
  <si>
    <t xml:space="preserve">Ana Cruz Varas                               </t>
  </si>
  <si>
    <t>24.589.336-1</t>
  </si>
  <si>
    <t>24589336</t>
  </si>
  <si>
    <t xml:space="preserve">Leticia Alessi                               </t>
  </si>
  <si>
    <t>Channel</t>
  </si>
  <si>
    <t>Booking.com</t>
  </si>
  <si>
    <t>Expedia</t>
  </si>
  <si>
    <t>BookingButton</t>
  </si>
  <si>
    <t>BB</t>
  </si>
  <si>
    <t>LIDER</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</si>
  <si>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</si>
  <si>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</si>
  <si>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</si>
  <si>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</si>
  <si>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</si>
  <si>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</si>
  <si>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</si>
  <si>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</si>
  <si>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</si>
  <si>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</si>
  <si>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</si>
  <si>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</si>
  <si>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</si>
  <si>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</si>
  <si>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</si>
  <si>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</si>
  <si>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96.982.330-6</t>
  </si>
  <si>
    <t>21066477</t>
  </si>
  <si>
    <t xml:space="preserve">CESPA Ltda                                   </t>
  </si>
  <si>
    <t>72.809.800-7</t>
  </si>
  <si>
    <t>54003610</t>
  </si>
  <si>
    <t xml:space="preserve">Comite de Agua San Pedro de Atacama          </t>
  </si>
  <si>
    <t>SODIMAC</t>
  </si>
  <si>
    <t>VALIMPORT</t>
  </si>
  <si>
    <t>BERTITA</t>
  </si>
  <si>
    <t>SITEMINDER</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</si>
  <si>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</si>
  <si>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</si>
  <si>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</si>
  <si>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</si>
  <si>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</si>
  <si>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</si>
  <si>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</si>
  <si>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</si>
  <si>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</si>
  <si>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</si>
  <si>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</si>
  <si>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</si>
  <si>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76.572.506-2</t>
  </si>
  <si>
    <t>70792372</t>
  </si>
  <si>
    <t xml:space="preserve">Panaderia La Franchuteria                    </t>
  </si>
  <si>
    <t>76.248.923-6</t>
  </si>
  <si>
    <t xml:space="preserve">BANCO ITAU                         </t>
  </si>
  <si>
    <t>212890774</t>
  </si>
  <si>
    <t xml:space="preserve">Pagos y Servicios Astropay Ltda              </t>
  </si>
  <si>
    <t xml:space="preserve">BANCO DE CHILE-EDWARDS             </t>
  </si>
  <si>
    <t>- MC ****8447  $160.836  Fecha de venta: 27-12-2018 Fecha anulación: 08-01</t>
  </si>
  <si>
    <t>96.919.050-8</t>
  </si>
  <si>
    <t>1638114</t>
  </si>
  <si>
    <t xml:space="preserve">Acepta.com                                   </t>
  </si>
  <si>
    <t>A-Hotels.com</t>
  </si>
  <si>
    <t>hotelpascualandinodirect</t>
  </si>
  <si>
    <t>A-Expedia</t>
  </si>
  <si>
    <t>16.189.852-K</t>
  </si>
  <si>
    <t>16189852</t>
  </si>
  <si>
    <t xml:space="preserve">Norma Gavia                                  </t>
  </si>
  <si>
    <t xml:space="preserve">BANCO BICE                         </t>
  </si>
  <si>
    <t>Ingesos por Venta  BB</t>
  </si>
  <si>
    <t>LAN COM SANTIAGO</t>
  </si>
  <si>
    <t>EBDIT</t>
  </si>
  <si>
    <t>COMPRA DE DIVISAS</t>
  </si>
  <si>
    <t>1087</t>
  </si>
  <si>
    <t>13.421.228-4</t>
  </si>
  <si>
    <t>64034740</t>
  </si>
  <si>
    <t xml:space="preserve">MIGUEL ANGEL NIEVAS                          </t>
  </si>
  <si>
    <t>27</t>
  </si>
  <si>
    <t>A-Expedia Affiliate Network</t>
  </si>
  <si>
    <t>Calculo de Noches</t>
  </si>
  <si>
    <t>Hoja Reservas</t>
  </si>
  <si>
    <t>Diferencia</t>
  </si>
  <si>
    <t>57</t>
  </si>
  <si>
    <t>DB</t>
  </si>
  <si>
    <t>-</t>
  </si>
  <si>
    <t>EASY</t>
  </si>
  <si>
    <t>Marcio Balthazar</t>
  </si>
  <si>
    <t>Amos Diehl</t>
  </si>
  <si>
    <t>Andrew Nguyen</t>
  </si>
  <si>
    <t>jean-marie LAMBERT/jean-marie LAMBERT</t>
  </si>
  <si>
    <t>CFE</t>
  </si>
  <si>
    <t>98</t>
  </si>
  <si>
    <t>68</t>
  </si>
  <si>
    <t>17.651.092-7</t>
  </si>
  <si>
    <t xml:space="preserve">BANCO FALABELLA                    </t>
  </si>
  <si>
    <t>50011469953</t>
  </si>
  <si>
    <t xml:space="preserve">Camila Aranguiz                              </t>
  </si>
  <si>
    <t>RIM LAM CHILE</t>
  </si>
  <si>
    <t>ESTACIONAMIENTO MALL</t>
  </si>
  <si>
    <t>ESTACIONAMIENTO AGRO</t>
  </si>
  <si>
    <t>Ventas deposito Informe</t>
  </si>
  <si>
    <t>Ventas deposito Banco</t>
  </si>
  <si>
    <t>548474XXXXXXX6201</t>
  </si>
  <si>
    <t>498401XXXXXXX3642</t>
  </si>
  <si>
    <t>544731XXXXXXX8493</t>
  </si>
  <si>
    <t>439188XXXXXXX7806</t>
  </si>
  <si>
    <t>Anulación USD$</t>
  </si>
  <si>
    <t>497804XXXXXXX0757</t>
  </si>
  <si>
    <t>61</t>
  </si>
  <si>
    <t>375000XXXXXX6003</t>
  </si>
  <si>
    <t>446867XXXXXXX2913</t>
  </si>
  <si>
    <t>522468XXXXXXX5201</t>
  </si>
  <si>
    <t>Anulación $</t>
  </si>
  <si>
    <t>521892XXXXXXX7467</t>
  </si>
  <si>
    <t>439354XXXXXXX4251</t>
  </si>
  <si>
    <t>450003XXXXXXX3032</t>
  </si>
  <si>
    <t>377731XXXXXX8157</t>
  </si>
  <si>
    <t>492113XXXXXXX4245</t>
  </si>
  <si>
    <t>406669XXXXXXX2971</t>
  </si>
  <si>
    <t>38</t>
  </si>
  <si>
    <t>422061XXXXXXX3481</t>
  </si>
  <si>
    <t>376014XXXXXX3003</t>
  </si>
  <si>
    <t>371790XXXXXX1002</t>
  </si>
  <si>
    <t>31</t>
  </si>
  <si>
    <t>379104XXXXXX9009</t>
  </si>
  <si>
    <t>553636XXXXXXX2079</t>
  </si>
  <si>
    <t>552321XXXXXXX8669</t>
  </si>
  <si>
    <t>372529XXXXXX6000</t>
  </si>
  <si>
    <t>11</t>
  </si>
  <si>
    <t>497864XXXXXXX5827</t>
  </si>
  <si>
    <t>23.399.570-3</t>
  </si>
  <si>
    <t>23399570</t>
  </si>
  <si>
    <t xml:space="preserve">Nilda Ccama Ayma                             </t>
  </si>
  <si>
    <t>25.657.249-4</t>
  </si>
  <si>
    <t>25657249</t>
  </si>
  <si>
    <t xml:space="preserve">Nathalia Correa                              </t>
  </si>
  <si>
    <t>24.400.280-3</t>
  </si>
  <si>
    <t>GOOGLE*GSUITE PASCU</t>
  </si>
  <si>
    <t>VICENTE</t>
  </si>
  <si>
    <t>PALTAS</t>
  </si>
  <si>
    <t>JUTURI</t>
  </si>
  <si>
    <t>HOJAS DE COCA</t>
  </si>
  <si>
    <t>PASCALE BARTHELEMY</t>
  </si>
  <si>
    <t>CAMILE RAMALHO</t>
  </si>
  <si>
    <t>THERESE AEBISCHER</t>
  </si>
  <si>
    <t>Pascale Barthelemy</t>
  </si>
  <si>
    <t>Camile Ramalho</t>
  </si>
  <si>
    <t>01/10/2019 08:53</t>
  </si>
  <si>
    <t>025065</t>
  </si>
  <si>
    <t>01/10/2019 11:28</t>
  </si>
  <si>
    <t>465375XXXXXXX3198</t>
  </si>
  <si>
    <t>121549</t>
  </si>
  <si>
    <t>01/10/2019 11:30</t>
  </si>
  <si>
    <t>548742XXXXXXX3886</t>
  </si>
  <si>
    <t>123958</t>
  </si>
  <si>
    <t>01/10/2019 11:32</t>
  </si>
  <si>
    <t>406669XXXXXXX6880</t>
  </si>
  <si>
    <t>632590</t>
  </si>
  <si>
    <t>02/10/2019 13:59</t>
  </si>
  <si>
    <t>012664</t>
  </si>
  <si>
    <t>02/10/2019 14:31</t>
  </si>
  <si>
    <t>528689XXXXXXX0287</t>
  </si>
  <si>
    <t>953119</t>
  </si>
  <si>
    <t>03/10/2019 10:32</t>
  </si>
  <si>
    <t>330680</t>
  </si>
  <si>
    <t>03/10/2019 13:52</t>
  </si>
  <si>
    <t>240965</t>
  </si>
  <si>
    <t>03/10/2019 16:46</t>
  </si>
  <si>
    <t>014263</t>
  </si>
  <si>
    <t>04/10/2019 12:21</t>
  </si>
  <si>
    <t>379387XXXXXX1006</t>
  </si>
  <si>
    <t>85</t>
  </si>
  <si>
    <t>04/10/2019 14:24</t>
  </si>
  <si>
    <t>515590XXXXXXX7911</t>
  </si>
  <si>
    <t>253968</t>
  </si>
  <si>
    <t>04/10/2019 14:26</t>
  </si>
  <si>
    <t>553636XXXXXXX3941</t>
  </si>
  <si>
    <t>047936</t>
  </si>
  <si>
    <t>06/10/2019 11:53</t>
  </si>
  <si>
    <t>07/10/2019 20:01</t>
  </si>
  <si>
    <t>549539</t>
  </si>
  <si>
    <t>07/10/2019 20:47</t>
  </si>
  <si>
    <t>728726</t>
  </si>
  <si>
    <t>08/10/2019 10:24</t>
  </si>
  <si>
    <t>552289XXXXXXX7129</t>
  </si>
  <si>
    <t>071355</t>
  </si>
  <si>
    <t>08/10/2019 10:27</t>
  </si>
  <si>
    <t>414746XXXXXXX0123</t>
  </si>
  <si>
    <t>257551</t>
  </si>
  <si>
    <t>08/10/2019 10:28</t>
  </si>
  <si>
    <t>375683XXXXXX1005</t>
  </si>
  <si>
    <t>91</t>
  </si>
  <si>
    <t>08/10/2019 10:30</t>
  </si>
  <si>
    <t>376458XXXXXX3009</t>
  </si>
  <si>
    <t>60</t>
  </si>
  <si>
    <t>08/10/2019 10:32</t>
  </si>
  <si>
    <t>56</t>
  </si>
  <si>
    <t>08/10/2019 10:34</t>
  </si>
  <si>
    <t>448165XXXXXXX6703</t>
  </si>
  <si>
    <t>932521</t>
  </si>
  <si>
    <t>08/10/2019 10:36</t>
  </si>
  <si>
    <t>525303XXXXXXX7969</t>
  </si>
  <si>
    <t>T92623</t>
  </si>
  <si>
    <t>08/10/2019 10:38</t>
  </si>
  <si>
    <t>558685XXXXXXX2502</t>
  </si>
  <si>
    <t>392281</t>
  </si>
  <si>
    <t>08/10/2019 10:40</t>
  </si>
  <si>
    <t>548699XXXXXXX1179</t>
  </si>
  <si>
    <t>029370</t>
  </si>
  <si>
    <t>08/10/2019 10:43</t>
  </si>
  <si>
    <t>452088XXXXXXX4845</t>
  </si>
  <si>
    <t>02733I</t>
  </si>
  <si>
    <t>08/10/2019 10:44</t>
  </si>
  <si>
    <t>553636XXXXXXX4616</t>
  </si>
  <si>
    <t>067343</t>
  </si>
  <si>
    <t>09/10/2019 09:57</t>
  </si>
  <si>
    <t>682853</t>
  </si>
  <si>
    <t>09/10/2019 09:58</t>
  </si>
  <si>
    <t>497160XXXXXXX5667</t>
  </si>
  <si>
    <t>170631</t>
  </si>
  <si>
    <t>09/10/2019 09:59</t>
  </si>
  <si>
    <t>478092XXXXXXX3887</t>
  </si>
  <si>
    <t>639169</t>
  </si>
  <si>
    <t>10/10/2019 10:21</t>
  </si>
  <si>
    <t>010656</t>
  </si>
  <si>
    <t>10/10/2019 10:22</t>
  </si>
  <si>
    <t>497943XXXXXXX3427</t>
  </si>
  <si>
    <t>035779</t>
  </si>
  <si>
    <t>10/10/2019 12:57</t>
  </si>
  <si>
    <t>10/10/2019 13:42</t>
  </si>
  <si>
    <t>552324</t>
  </si>
  <si>
    <t>10/10/2019 18:48</t>
  </si>
  <si>
    <t>550209XXXXXXX1490</t>
  </si>
  <si>
    <t>465756</t>
  </si>
  <si>
    <t>11/10/2019 09:47</t>
  </si>
  <si>
    <t>477041XXXXXXX4212</t>
  </si>
  <si>
    <t>000041</t>
  </si>
  <si>
    <t>11/10/2019 09:57</t>
  </si>
  <si>
    <t>988903</t>
  </si>
  <si>
    <t>11/10/2019 11:51</t>
  </si>
  <si>
    <t>525768</t>
  </si>
  <si>
    <t>11/10/2019 11:57</t>
  </si>
  <si>
    <t>552085XXXXXXX4360</t>
  </si>
  <si>
    <t>050253</t>
  </si>
  <si>
    <t>11/10/2019 11:58</t>
  </si>
  <si>
    <t>522688XXXXXXX1627</t>
  </si>
  <si>
    <t>032133</t>
  </si>
  <si>
    <t>11/10/2019 12:00</t>
  </si>
  <si>
    <t>519710XXXXXXX8779</t>
  </si>
  <si>
    <t>172475</t>
  </si>
  <si>
    <t>11/10/2019 12:02</t>
  </si>
  <si>
    <t>688800</t>
  </si>
  <si>
    <t>11/10/2019 12:04</t>
  </si>
  <si>
    <t>559300XXXXXXX5379</t>
  </si>
  <si>
    <t>096245</t>
  </si>
  <si>
    <t>11/10/2019 13:55</t>
  </si>
  <si>
    <t>553656XXXXXXX6554</t>
  </si>
  <si>
    <t>310932</t>
  </si>
  <si>
    <t>11/10/2019 20:36</t>
  </si>
  <si>
    <t>419459XXXXXXX7649</t>
  </si>
  <si>
    <t>080177</t>
  </si>
  <si>
    <t>12/10/2019 12:56</t>
  </si>
  <si>
    <t>436195XXXXXXX9044</t>
  </si>
  <si>
    <t>906575</t>
  </si>
  <si>
    <t>12/10/2019 21:48</t>
  </si>
  <si>
    <t>174511</t>
  </si>
  <si>
    <t>13/10/2019 09:04</t>
  </si>
  <si>
    <t>021119</t>
  </si>
  <si>
    <t>13/10/2019 14:09</t>
  </si>
  <si>
    <t>528689XXXXXXX6830</t>
  </si>
  <si>
    <t>081306</t>
  </si>
  <si>
    <t>13/10/2019 16:30</t>
  </si>
  <si>
    <t>04584I</t>
  </si>
  <si>
    <t>14/10/2019 13:47</t>
  </si>
  <si>
    <t>548081XXXXXXX1612</t>
  </si>
  <si>
    <t>T09207</t>
  </si>
  <si>
    <t>14/10/2019 13:49</t>
  </si>
  <si>
    <t>513690XXXXXXX8756</t>
  </si>
  <si>
    <t>474952</t>
  </si>
  <si>
    <t>14/10/2019 13:50</t>
  </si>
  <si>
    <t>057497</t>
  </si>
  <si>
    <t>14/10/2019 13:52</t>
  </si>
  <si>
    <t>542598XXXXXXX0006</t>
  </si>
  <si>
    <t>024937</t>
  </si>
  <si>
    <t>14/10/2019 13:54</t>
  </si>
  <si>
    <t>411773XXXXXXX1235</t>
  </si>
  <si>
    <t>145158</t>
  </si>
  <si>
    <t>14/10/2019 13:55</t>
  </si>
  <si>
    <t>452083XXXXXXX0478</t>
  </si>
  <si>
    <t>01284N</t>
  </si>
  <si>
    <t>14/10/2019 17:21</t>
  </si>
  <si>
    <t>515811XXXXXXX9554</t>
  </si>
  <si>
    <t>572528</t>
  </si>
  <si>
    <t>14/10/2019 17:22</t>
  </si>
  <si>
    <t>15/10/2019 11:48</t>
  </si>
  <si>
    <t>543429XXXXXXX6958</t>
  </si>
  <si>
    <t>T05791</t>
  </si>
  <si>
    <t>15/10/2019 11:50</t>
  </si>
  <si>
    <t>414709XXXXXXX8334</t>
  </si>
  <si>
    <t>04409D</t>
  </si>
  <si>
    <t>15/10/2019 11:51</t>
  </si>
  <si>
    <t>414089XXXXXXX5794</t>
  </si>
  <si>
    <t>578901</t>
  </si>
  <si>
    <t>15/10/2019 11:52</t>
  </si>
  <si>
    <t>414720XXXXXXX1409</t>
  </si>
  <si>
    <t>02569I</t>
  </si>
  <si>
    <t>15/10/2019 11:54</t>
  </si>
  <si>
    <t>05995I</t>
  </si>
  <si>
    <t>414709XXXXXXX4998</t>
  </si>
  <si>
    <t>08963D</t>
  </si>
  <si>
    <t>15/10/2019 18:59</t>
  </si>
  <si>
    <t>499897XXXXXXX4174</t>
  </si>
  <si>
    <t>851354</t>
  </si>
  <si>
    <t>16/10/2019 09:10</t>
  </si>
  <si>
    <t>377348XXXXXX1010</t>
  </si>
  <si>
    <t>47</t>
  </si>
  <si>
    <t>16/10/2019 11:56</t>
  </si>
  <si>
    <t>348056</t>
  </si>
  <si>
    <t>16/10/2019 13:44</t>
  </si>
  <si>
    <t>59</t>
  </si>
  <si>
    <t>16/10/2019 17:22</t>
  </si>
  <si>
    <t>498406XXXXXXX4170</t>
  </si>
  <si>
    <t>084987</t>
  </si>
  <si>
    <t>17/10/2019 08:45</t>
  </si>
  <si>
    <t>471154</t>
  </si>
  <si>
    <t>17/10/2019 10:44</t>
  </si>
  <si>
    <t>574231</t>
  </si>
  <si>
    <t>17/10/2019 12:40</t>
  </si>
  <si>
    <t>623396</t>
  </si>
  <si>
    <t>17/10/2019 13:06</t>
  </si>
  <si>
    <t>416535XXXXXXX7944</t>
  </si>
  <si>
    <t>943328</t>
  </si>
  <si>
    <t>17/10/2019 13:07</t>
  </si>
  <si>
    <t>078471</t>
  </si>
  <si>
    <t>17/10/2019 14:50</t>
  </si>
  <si>
    <t>525303XXXXXXX0103</t>
  </si>
  <si>
    <t>T72316</t>
  </si>
  <si>
    <t>17/10/2019 17:05</t>
  </si>
  <si>
    <t>01490D</t>
  </si>
  <si>
    <t>18/10/2019 12:55</t>
  </si>
  <si>
    <t>01733D</t>
  </si>
  <si>
    <t>18/10/2019 14:04</t>
  </si>
  <si>
    <t>552289XXXXXXX2258</t>
  </si>
  <si>
    <t>026676</t>
  </si>
  <si>
    <t>18/10/2019 20:38</t>
  </si>
  <si>
    <t>194504</t>
  </si>
  <si>
    <t>19/10/2019 13:18</t>
  </si>
  <si>
    <t>492912XXXXXXX6003</t>
  </si>
  <si>
    <t>019570</t>
  </si>
  <si>
    <t>19/10/2019 13:19</t>
  </si>
  <si>
    <t>376682XXXXXX1000</t>
  </si>
  <si>
    <t>19/10/2019 13:22</t>
  </si>
  <si>
    <t>424631XXXXXXX7063</t>
  </si>
  <si>
    <t>03381G</t>
  </si>
  <si>
    <t>19/10/2019 13:24</t>
  </si>
  <si>
    <t>414734XXXXXXX6700</t>
  </si>
  <si>
    <t>07492D</t>
  </si>
  <si>
    <t>19/10/2019 14:25</t>
  </si>
  <si>
    <t>498453XXXXXXX8878</t>
  </si>
  <si>
    <t>082383</t>
  </si>
  <si>
    <t>20/10/2019 13:41</t>
  </si>
  <si>
    <t>451212XXXXXXX8582</t>
  </si>
  <si>
    <t>093017</t>
  </si>
  <si>
    <t>20/10/2019 13:43</t>
  </si>
  <si>
    <t>434960XXXXXXX9842</t>
  </si>
  <si>
    <t>680620</t>
  </si>
  <si>
    <t>21/10/2019 09:26</t>
  </si>
  <si>
    <t>04985D</t>
  </si>
  <si>
    <t>21/10/2019 09:34</t>
  </si>
  <si>
    <t>08283D</t>
  </si>
  <si>
    <t>21/10/2019 10:28</t>
  </si>
  <si>
    <t>552289XXXXXXX3383</t>
  </si>
  <si>
    <t>028517</t>
  </si>
  <si>
    <t>21/10/2019 12:05</t>
  </si>
  <si>
    <t>09146D</t>
  </si>
  <si>
    <t>21/10/2019 21:57</t>
  </si>
  <si>
    <t>498406XXXXXXX7368</t>
  </si>
  <si>
    <t>092640</t>
  </si>
  <si>
    <t>22/10/2019 08:49</t>
  </si>
  <si>
    <t>513659XXXXXXX3505</t>
  </si>
  <si>
    <t>816692</t>
  </si>
  <si>
    <t>22/10/2019 17:07</t>
  </si>
  <si>
    <t>24</t>
  </si>
  <si>
    <t>23/10/2019 08:42</t>
  </si>
  <si>
    <t>03379D</t>
  </si>
  <si>
    <t>23/10/2019 13:21</t>
  </si>
  <si>
    <t>414709XXXXXXX8817</t>
  </si>
  <si>
    <t>09285D</t>
  </si>
  <si>
    <t>23/10/2019 13:23</t>
  </si>
  <si>
    <t>540477XXXXXXX1222</t>
  </si>
  <si>
    <t>260053</t>
  </si>
  <si>
    <t>23/10/2019 13:25</t>
  </si>
  <si>
    <t>522840XXXXXXX4565</t>
  </si>
  <si>
    <t>273952</t>
  </si>
  <si>
    <t>23/10/2019 13:27</t>
  </si>
  <si>
    <t>422061XXXXXXX1174</t>
  </si>
  <si>
    <t>290951</t>
  </si>
  <si>
    <t>23/10/2019 13:28</t>
  </si>
  <si>
    <t>01117D</t>
  </si>
  <si>
    <t>23/10/2019 14:10</t>
  </si>
  <si>
    <t>45</t>
  </si>
  <si>
    <t>23/10/2019 17:06</t>
  </si>
  <si>
    <t>550018XXXXXXX5273</t>
  </si>
  <si>
    <t>685954</t>
  </si>
  <si>
    <t>23/10/2019 17:21</t>
  </si>
  <si>
    <t>434960XXXXXXX6278</t>
  </si>
  <si>
    <t>750134</t>
  </si>
  <si>
    <t>24/10/2019 07:48</t>
  </si>
  <si>
    <t>490117XXXXXXX1984</t>
  </si>
  <si>
    <t>145714</t>
  </si>
  <si>
    <t>24/10/2019 19:33</t>
  </si>
  <si>
    <t>553096XXXXXXX7774</t>
  </si>
  <si>
    <t>723117</t>
  </si>
  <si>
    <t>24/10/2019 19:35</t>
  </si>
  <si>
    <t>498408XXXXXXX2877</t>
  </si>
  <si>
    <t>068918</t>
  </si>
  <si>
    <t>24/10/2019 19:36</t>
  </si>
  <si>
    <t>497490XXXXXXX3022</t>
  </si>
  <si>
    <t>430196</t>
  </si>
  <si>
    <t>25/10/2019 08:56</t>
  </si>
  <si>
    <t>05328Z</t>
  </si>
  <si>
    <t>25/10/2019 09:33</t>
  </si>
  <si>
    <t>158819</t>
  </si>
  <si>
    <t>25/10/2019 13:08</t>
  </si>
  <si>
    <t>375008XXXXXX1006</t>
  </si>
  <si>
    <t>25/10/2019 14:11</t>
  </si>
  <si>
    <t>379272XXXXXX1008</t>
  </si>
  <si>
    <t>15</t>
  </si>
  <si>
    <t>25/10/2019 20:57</t>
  </si>
  <si>
    <t>455876XXXXXXX4099</t>
  </si>
  <si>
    <t>174826</t>
  </si>
  <si>
    <t>25/10/2019 21:17</t>
  </si>
  <si>
    <t>553659XXXXXXX8226</t>
  </si>
  <si>
    <t>H59580</t>
  </si>
  <si>
    <t>26/10/2019 10:15</t>
  </si>
  <si>
    <t>545505XXXXXXX4435</t>
  </si>
  <si>
    <t>H15198</t>
  </si>
  <si>
    <t>26/10/2019 10:35</t>
  </si>
  <si>
    <t>549167XXXXXXX3870</t>
  </si>
  <si>
    <t>043680</t>
  </si>
  <si>
    <t>26/10/2019 10:41</t>
  </si>
  <si>
    <t>423953XXXXXXX3878</t>
  </si>
  <si>
    <t>855570</t>
  </si>
  <si>
    <t>26/10/2019 10:54</t>
  </si>
  <si>
    <t>02044D</t>
  </si>
  <si>
    <t>26/10/2019 10:55</t>
  </si>
  <si>
    <t>374614XXXXXX2001</t>
  </si>
  <si>
    <t>87</t>
  </si>
  <si>
    <t>26/10/2019 11:16</t>
  </si>
  <si>
    <t>39</t>
  </si>
  <si>
    <t>26/10/2019 14:16</t>
  </si>
  <si>
    <t>515601XXXXXXX4276</t>
  </si>
  <si>
    <t>506449</t>
  </si>
  <si>
    <t>27/10/2019 08:56</t>
  </si>
  <si>
    <t>462845XXXXXXX2150</t>
  </si>
  <si>
    <t>009947</t>
  </si>
  <si>
    <t>27/10/2019 13:22</t>
  </si>
  <si>
    <t>547341XXXXXXX0888</t>
  </si>
  <si>
    <t>029528</t>
  </si>
  <si>
    <t>28/10/2019 10:01</t>
  </si>
  <si>
    <t>548985XXXXXXX8586</t>
  </si>
  <si>
    <t>094029</t>
  </si>
  <si>
    <t>28/10/2019 11:47</t>
  </si>
  <si>
    <t>456354XXXXXXX1287</t>
  </si>
  <si>
    <t>171987</t>
  </si>
  <si>
    <t>28/10/2019 20:07</t>
  </si>
  <si>
    <t>498408XXXXXXX7261</t>
  </si>
  <si>
    <t>739498</t>
  </si>
  <si>
    <t>29/10/2019 11:32</t>
  </si>
  <si>
    <t>410039XXXXXXX8472</t>
  </si>
  <si>
    <t>76375C</t>
  </si>
  <si>
    <t>29/10/2019 11:52</t>
  </si>
  <si>
    <t>437693</t>
  </si>
  <si>
    <t>29/10/2019 11:56</t>
  </si>
  <si>
    <t>032795</t>
  </si>
  <si>
    <t>29/10/2019 11:57</t>
  </si>
  <si>
    <t>854829</t>
  </si>
  <si>
    <t>29/10/2019 11:58</t>
  </si>
  <si>
    <t>768280</t>
  </si>
  <si>
    <t>29/10/2019 13:47</t>
  </si>
  <si>
    <t>498408XXXXXXX6093</t>
  </si>
  <si>
    <t>045804</t>
  </si>
  <si>
    <t>29/10/2019 13:48</t>
  </si>
  <si>
    <t>047930</t>
  </si>
  <si>
    <t>30/10/2019 15:01</t>
  </si>
  <si>
    <t>434956XXXXXXX3201</t>
  </si>
  <si>
    <t>601777</t>
  </si>
  <si>
    <t>30/10/2019 16:59</t>
  </si>
  <si>
    <t>612041</t>
  </si>
  <si>
    <t>30/10/2019 17:58</t>
  </si>
  <si>
    <t>885142</t>
  </si>
  <si>
    <t>30/10/2019 18:15</t>
  </si>
  <si>
    <t>896636</t>
  </si>
  <si>
    <t>31/10/2019 12:05</t>
  </si>
  <si>
    <t>434956XXXXXXX2936</t>
  </si>
  <si>
    <t>633038</t>
  </si>
  <si>
    <t>31/10/2019 13:32</t>
  </si>
  <si>
    <t>552305XXXXXXX8641</t>
  </si>
  <si>
    <t>644649</t>
  </si>
  <si>
    <t>31/10/2019 13:33</t>
  </si>
  <si>
    <t>521892XXXXXXX5535</t>
  </si>
  <si>
    <t>353859</t>
  </si>
  <si>
    <t>31/10/2019 17:03</t>
  </si>
  <si>
    <t>024321</t>
  </si>
  <si>
    <t>31/10/2019 17:04</t>
  </si>
  <si>
    <t>074394</t>
  </si>
  <si>
    <t>07/10/2019</t>
  </si>
  <si>
    <t>08/10/2019</t>
  </si>
  <si>
    <t>TRANSFERENCIA DE FONDO</t>
  </si>
  <si>
    <t>1083</t>
  </si>
  <si>
    <t>Retiro Carlos Trino</t>
  </si>
  <si>
    <t>Liquidacion</t>
  </si>
  <si>
    <t>11.505.642-5</t>
  </si>
  <si>
    <t>6370713</t>
  </si>
  <si>
    <t xml:space="preserve">Sergio Zamora                                </t>
  </si>
  <si>
    <t>Sueldo Oct19</t>
  </si>
  <si>
    <t>17.474.731-8</t>
  </si>
  <si>
    <t>17474731</t>
  </si>
  <si>
    <t xml:space="preserve">Flavio Gutierrez                             </t>
  </si>
  <si>
    <t>26.110.884-4</t>
  </si>
  <si>
    <t>26110884</t>
  </si>
  <si>
    <t xml:space="preserve">Zulma Cardozo                                </t>
  </si>
  <si>
    <t>24.996.048-9</t>
  </si>
  <si>
    <t>24996048</t>
  </si>
  <si>
    <t xml:space="preserve">Ivan Vilacagua                               </t>
  </si>
  <si>
    <t>Liquidación USD</t>
  </si>
  <si>
    <t>Repuestos Baños</t>
  </si>
  <si>
    <t>Materiales Mantenimiento</t>
  </si>
  <si>
    <t>S/B</t>
  </si>
  <si>
    <t>SOLINTI</t>
  </si>
  <si>
    <t>PAULINA HERBAS</t>
  </si>
  <si>
    <t>QUESO</t>
  </si>
  <si>
    <t>VARIOS</t>
  </si>
  <si>
    <t>01-10-2019</t>
  </si>
  <si>
    <t>Pedro Goyos</t>
  </si>
  <si>
    <t>Heloisa Vieira Rodrigues</t>
  </si>
  <si>
    <t>Jose Gonzalez fernandez</t>
  </si>
  <si>
    <t>Jean Paul Lepinette</t>
  </si>
  <si>
    <t>EDUARDO GARCIA</t>
  </si>
  <si>
    <t>Dominiky Bartolozzi</t>
  </si>
  <si>
    <t>Victoria Maconachy/Peter Phillips</t>
  </si>
  <si>
    <t>ANDRE NERON</t>
  </si>
  <si>
    <t>Louise Carrasco</t>
  </si>
  <si>
    <t>Malin Adam</t>
  </si>
  <si>
    <t>Guy Cantin</t>
  </si>
  <si>
    <t>Silvio Fernandes da Silva</t>
  </si>
  <si>
    <t>JEAN MARIE CAZAUBIEILH</t>
  </si>
  <si>
    <t>Heloisa Rodrigues</t>
  </si>
  <si>
    <t>Alain Boxberger</t>
  </si>
  <si>
    <t>frances smyth</t>
  </si>
  <si>
    <t>Roberto Bonet/Roberto Bonet</t>
  </si>
  <si>
    <t>Vidya SUchithra Sagar</t>
  </si>
  <si>
    <t>Marcelo Gasi</t>
  </si>
  <si>
    <t>Luciano Almeida</t>
  </si>
  <si>
    <t>MANUEL SANTOS NUNEZ</t>
  </si>
  <si>
    <t>Diogo Almeida</t>
  </si>
  <si>
    <t>Kara McClure &amp; Anders Nelson</t>
  </si>
  <si>
    <t>Nathalie Sauvan-Gay</t>
  </si>
  <si>
    <t>Nathalie Sauvan</t>
  </si>
  <si>
    <t>Graham Jones</t>
  </si>
  <si>
    <t>Cathy James</t>
  </si>
  <si>
    <t>Markus Aleksy</t>
  </si>
  <si>
    <t>Lilach Mileikowski</t>
  </si>
  <si>
    <t>Gabriela Moralejo Gordon</t>
  </si>
  <si>
    <t>guillard matthieu</t>
  </si>
  <si>
    <t>Marcos Ferreira Gazzoni</t>
  </si>
  <si>
    <t>Daniel Field</t>
  </si>
  <si>
    <t>Ana Ruiz-cotorro</t>
  </si>
  <si>
    <t>Thomas Linton</t>
  </si>
  <si>
    <t>David Koren</t>
  </si>
  <si>
    <t>Alice Coley</t>
  </si>
  <si>
    <t>Gabriela Schwarz</t>
  </si>
  <si>
    <t>Vilma Coutts-Wolfmaier</t>
  </si>
  <si>
    <t>Adriana V C Junqueira Grou</t>
  </si>
  <si>
    <t>Raphaela Mendes</t>
  </si>
  <si>
    <t>Marcio Figueiredo</t>
  </si>
  <si>
    <t>Debora C Figueiredo</t>
  </si>
  <si>
    <t>Juliana Santos</t>
  </si>
  <si>
    <t>Rosana Souza</t>
  </si>
  <si>
    <t>david balinsky</t>
  </si>
  <si>
    <t>JULYANA ANDRADE</t>
  </si>
  <si>
    <t>Kevin Laubach</t>
  </si>
  <si>
    <t>Nigel Fielden</t>
  </si>
  <si>
    <t>Anne Louey</t>
  </si>
  <si>
    <t>Stefan Wortmann</t>
  </si>
  <si>
    <t>Inah Alvim de Minas Cunha Barroso</t>
  </si>
  <si>
    <t>mateus lisboa</t>
  </si>
  <si>
    <t>Marijn Sijtsma</t>
  </si>
  <si>
    <t>Luciano Correa de Toledo</t>
  </si>
  <si>
    <t>James Wu</t>
  </si>
  <si>
    <t>Hilario CoteskvisK</t>
  </si>
  <si>
    <t>tito quilaqueo</t>
  </si>
  <si>
    <t>Christopher Reiche</t>
  </si>
  <si>
    <t>marcos resnik</t>
  </si>
  <si>
    <t>Adrien JOEHR</t>
  </si>
  <si>
    <t>christian grospiron</t>
  </si>
  <si>
    <t>Chen Su</t>
  </si>
  <si>
    <t>Lais Bueno Loiola</t>
  </si>
  <si>
    <t>436539XXXXXXX0625</t>
  </si>
  <si>
    <t>01/11/2019 10:44</t>
  </si>
  <si>
    <t>374901XXXXXX3004</t>
  </si>
  <si>
    <t>494118XXXXXXX9283</t>
  </si>
  <si>
    <t>553588</t>
  </si>
  <si>
    <t>01/11/2019 21:39</t>
  </si>
  <si>
    <t>541555XXXXXXX3791</t>
  </si>
  <si>
    <t>036970</t>
  </si>
  <si>
    <t>02/11/2019 11:53</t>
  </si>
  <si>
    <t>843251</t>
  </si>
  <si>
    <t>02/11/2019 16:27</t>
  </si>
  <si>
    <t>515590XXXXXXX5581</t>
  </si>
  <si>
    <t>292851</t>
  </si>
  <si>
    <t>02/11/2019 16:54</t>
  </si>
  <si>
    <t>094993</t>
  </si>
  <si>
    <t>02/11/2019 16:56</t>
  </si>
  <si>
    <t>032191</t>
  </si>
  <si>
    <t>02/11/2019 21:13</t>
  </si>
  <si>
    <t>409308XXXXXXX3017</t>
  </si>
  <si>
    <t>154768</t>
  </si>
  <si>
    <t>02/11/2019 22:45</t>
  </si>
  <si>
    <t>477176XXXXXXX4093</t>
  </si>
  <si>
    <t>065592</t>
  </si>
  <si>
    <t>03/11/2019 09:01</t>
  </si>
  <si>
    <t>465375XXXXXXX3214</t>
  </si>
  <si>
    <t>019810</t>
  </si>
  <si>
    <t>03/11/2019 13:32</t>
  </si>
  <si>
    <t>514911XXXXXXX9792</t>
  </si>
  <si>
    <t>641475</t>
  </si>
  <si>
    <t>03/11/2019 17:04</t>
  </si>
  <si>
    <t>04/11/2019 09:59</t>
  </si>
  <si>
    <t>963893</t>
  </si>
  <si>
    <t>04/11/2019 12:11</t>
  </si>
  <si>
    <t>409308XXXXXXX4926</t>
  </si>
  <si>
    <t>131994</t>
  </si>
  <si>
    <t>04/11/2019 12:59</t>
  </si>
  <si>
    <t>375684XXXXXX9007</t>
  </si>
  <si>
    <t>72</t>
  </si>
  <si>
    <t>04/11/2019 15:10</t>
  </si>
  <si>
    <t>541413XXXXXXX5904</t>
  </si>
  <si>
    <t>09261Z</t>
  </si>
  <si>
    <t>04/11/2019 15:12</t>
  </si>
  <si>
    <t>525303XXXXXXX3145</t>
  </si>
  <si>
    <t>H43069</t>
  </si>
  <si>
    <t>04/11/2019 15:13</t>
  </si>
  <si>
    <t>H49837</t>
  </si>
  <si>
    <t>05/11/2019 10:48</t>
  </si>
  <si>
    <t>521892XXXXXXX9944</t>
  </si>
  <si>
    <t>505166</t>
  </si>
  <si>
    <t>05/11/2019 10:51</t>
  </si>
  <si>
    <t>552273XXXXXXX0444</t>
  </si>
  <si>
    <t>021152</t>
  </si>
  <si>
    <t>05/11/2019 10:58</t>
  </si>
  <si>
    <t>051604</t>
  </si>
  <si>
    <t>05/11/2019 13:53</t>
  </si>
  <si>
    <t>08210I</t>
  </si>
  <si>
    <t>06/11/2019 08:56</t>
  </si>
  <si>
    <t>584351</t>
  </si>
  <si>
    <t>06/11/2019 22:04</t>
  </si>
  <si>
    <t>498408XXXXXXX2811</t>
  </si>
  <si>
    <t>027685</t>
  </si>
  <si>
    <t>07/11/2019 10:39</t>
  </si>
  <si>
    <t>445596XXXXXXX7472</t>
  </si>
  <si>
    <t>135842</t>
  </si>
  <si>
    <t>07/11/2019 11:41</t>
  </si>
  <si>
    <t>554926XXXXXXX1829</t>
  </si>
  <si>
    <t>382934</t>
  </si>
  <si>
    <t>07/11/2019 11:43</t>
  </si>
  <si>
    <t>763493</t>
  </si>
  <si>
    <t>07/11/2019 11:56</t>
  </si>
  <si>
    <t>522832XXXXXXX5836</t>
  </si>
  <si>
    <t>680980</t>
  </si>
  <si>
    <t>07/11/2019 13:18</t>
  </si>
  <si>
    <t>371331XXXXXX2008</t>
  </si>
  <si>
    <t>70</t>
  </si>
  <si>
    <t>08/11/2019 11:28</t>
  </si>
  <si>
    <t>T04043</t>
  </si>
  <si>
    <t>08/11/2019 13:39</t>
  </si>
  <si>
    <t>638185</t>
  </si>
  <si>
    <t>08/11/2019 14:25</t>
  </si>
  <si>
    <t>377825XXXXXX9810</t>
  </si>
  <si>
    <t>989884</t>
  </si>
  <si>
    <t>09/11/2019 11:34</t>
  </si>
  <si>
    <t>494120XXXXXXX2467</t>
  </si>
  <si>
    <t>008212</t>
  </si>
  <si>
    <t>09/11/2019 13:21</t>
  </si>
  <si>
    <t>475852</t>
  </si>
  <si>
    <t>09/11/2019 16:38</t>
  </si>
  <si>
    <t>525303XXXXXXX3290</t>
  </si>
  <si>
    <t>H38987</t>
  </si>
  <si>
    <t>09/11/2019 17:37</t>
  </si>
  <si>
    <t>489592XXXXXXX3071</t>
  </si>
  <si>
    <t>710841</t>
  </si>
  <si>
    <t>10/11/2019 12:53</t>
  </si>
  <si>
    <t>744843</t>
  </si>
  <si>
    <t>10/11/2019 13:43</t>
  </si>
  <si>
    <t>490979XXXXXXX5893</t>
  </si>
  <si>
    <t>817183</t>
  </si>
  <si>
    <t>10/11/2019 21:03</t>
  </si>
  <si>
    <t>520618XXXXXXX0100</t>
  </si>
  <si>
    <t>000612</t>
  </si>
  <si>
    <t>10/11/2019 21:05</t>
  </si>
  <si>
    <t>548347XXXXXXX6344</t>
  </si>
  <si>
    <t>H71702</t>
  </si>
  <si>
    <t>11/11/2019 16:26</t>
  </si>
  <si>
    <t>452088XXXXXXX0825</t>
  </si>
  <si>
    <t>07112I</t>
  </si>
  <si>
    <t>12/11/2019 11:21</t>
  </si>
  <si>
    <t>521892XXXXXXX8916</t>
  </si>
  <si>
    <t>244169</t>
  </si>
  <si>
    <t>552085XXXXXXX5775</t>
  </si>
  <si>
    <t>006695</t>
  </si>
  <si>
    <t>12/11/2019 11:34</t>
  </si>
  <si>
    <t>522832XXXXXXX7420</t>
  </si>
  <si>
    <t>815922</t>
  </si>
  <si>
    <t>12/11/2019 18:19</t>
  </si>
  <si>
    <t>071574</t>
  </si>
  <si>
    <t>13/11/2019 09:37</t>
  </si>
  <si>
    <t>536805XXXXXXX4203</t>
  </si>
  <si>
    <t>695650</t>
  </si>
  <si>
    <t>13/11/2019 15:36</t>
  </si>
  <si>
    <t>H55524</t>
  </si>
  <si>
    <t>14/11/2019 13:11</t>
  </si>
  <si>
    <t>H30981</t>
  </si>
  <si>
    <t>14/11/2019 17:08</t>
  </si>
  <si>
    <t>408161XXXXXXX3954</t>
  </si>
  <si>
    <t>03508D</t>
  </si>
  <si>
    <t>14/11/2019 17:09</t>
  </si>
  <si>
    <t>448165XXXXXXX7685</t>
  </si>
  <si>
    <t>607571</t>
  </si>
  <si>
    <t>14/11/2019 17:12</t>
  </si>
  <si>
    <t>549159XXXXXXX0608</t>
  </si>
  <si>
    <t>642362</t>
  </si>
  <si>
    <t>14/11/2019 17:13</t>
  </si>
  <si>
    <t>521892XXXXXXX0887</t>
  </si>
  <si>
    <t>160159</t>
  </si>
  <si>
    <t>14/11/2019 17:32</t>
  </si>
  <si>
    <t>377348XXXXXX2000</t>
  </si>
  <si>
    <t>14/11/2019 20:00</t>
  </si>
  <si>
    <t>06706N</t>
  </si>
  <si>
    <t>15/11/2019 15:03</t>
  </si>
  <si>
    <t>379879</t>
  </si>
  <si>
    <t>15/11/2019 18:29</t>
  </si>
  <si>
    <t>H78443</t>
  </si>
  <si>
    <t>15/11/2019 20:02</t>
  </si>
  <si>
    <t>414720XXXXXXX0326</t>
  </si>
  <si>
    <t>06483I</t>
  </si>
  <si>
    <t>15/11/2019 20:24</t>
  </si>
  <si>
    <t>02728I</t>
  </si>
  <si>
    <t>15/11/2019 22:43</t>
  </si>
  <si>
    <t>552305XXXXXXX7493</t>
  </si>
  <si>
    <t>661116</t>
  </si>
  <si>
    <t>16/11/2019 13:44</t>
  </si>
  <si>
    <t>498408XXXXXXX9468</t>
  </si>
  <si>
    <t>062376</t>
  </si>
  <si>
    <t>16/11/2019 17:26</t>
  </si>
  <si>
    <t>440066XXXXXXX7843</t>
  </si>
  <si>
    <t>05843D</t>
  </si>
  <si>
    <t>16/11/2019 18:50</t>
  </si>
  <si>
    <t>06826D</t>
  </si>
  <si>
    <t>17/11/2019 12:11</t>
  </si>
  <si>
    <t>525303XXXXXXX9471</t>
  </si>
  <si>
    <t>H41949</t>
  </si>
  <si>
    <t>17/11/2019 12:23</t>
  </si>
  <si>
    <t>516428XXXXXXX1848</t>
  </si>
  <si>
    <t>084976</t>
  </si>
  <si>
    <t>17/11/2019 16:28</t>
  </si>
  <si>
    <t>03017G</t>
  </si>
  <si>
    <t>17/11/2019 20:02</t>
  </si>
  <si>
    <t>552213XXXXXXX8605</t>
  </si>
  <si>
    <t>037135</t>
  </si>
  <si>
    <t>17/11/2019 20:03</t>
  </si>
  <si>
    <t>374215XXXXXX4001</t>
  </si>
  <si>
    <t>22</t>
  </si>
  <si>
    <t>18/11/2019 12:21</t>
  </si>
  <si>
    <t>520387XXXXXXX1712</t>
  </si>
  <si>
    <t>242544</t>
  </si>
  <si>
    <t>18/11/2019 12:24</t>
  </si>
  <si>
    <t>376317XXXXXX7830</t>
  </si>
  <si>
    <t>40</t>
  </si>
  <si>
    <t>18/11/2019 12:25</t>
  </si>
  <si>
    <t>682930</t>
  </si>
  <si>
    <t>18/11/2019 13:30</t>
  </si>
  <si>
    <t>627682</t>
  </si>
  <si>
    <t>18/11/2019 15:10</t>
  </si>
  <si>
    <t>983479</t>
  </si>
  <si>
    <t>18/11/2019 16:24</t>
  </si>
  <si>
    <t>498408XXXXXXX2978</t>
  </si>
  <si>
    <t>725776</t>
  </si>
  <si>
    <t>18/11/2019 16:34</t>
  </si>
  <si>
    <t>451212XXXXXXX2420</t>
  </si>
  <si>
    <t>027982</t>
  </si>
  <si>
    <t xml:space="preserve">19/11/2019  </t>
  </si>
  <si>
    <t>03816D</t>
  </si>
  <si>
    <t>974921</t>
  </si>
  <si>
    <t xml:space="preserve">20/11/2019  </t>
  </si>
  <si>
    <t>490172XXXXXXX5391</t>
  </si>
  <si>
    <t>076100</t>
  </si>
  <si>
    <t>531002XXXXXXX1802</t>
  </si>
  <si>
    <t>785416</t>
  </si>
  <si>
    <t>553636XXXXXXX7329</t>
  </si>
  <si>
    <t>097654</t>
  </si>
  <si>
    <t>008248</t>
  </si>
  <si>
    <t xml:space="preserve">21/11/2019  </t>
  </si>
  <si>
    <t>010712</t>
  </si>
  <si>
    <t>469107XXXXXXX8598</t>
  </si>
  <si>
    <t>001605</t>
  </si>
  <si>
    <t xml:space="preserve">22/11/2019  </t>
  </si>
  <si>
    <t>443943XXXXXXX0875</t>
  </si>
  <si>
    <t>030513</t>
  </si>
  <si>
    <t>453211XXXXXXX3730</t>
  </si>
  <si>
    <t>640128</t>
  </si>
  <si>
    <t>428083XXXXXXX2033</t>
  </si>
  <si>
    <t>003448</t>
  </si>
  <si>
    <t xml:space="preserve">23/11/2019  </t>
  </si>
  <si>
    <t>525303XXXXXXX0876</t>
  </si>
  <si>
    <t>T61537</t>
  </si>
  <si>
    <t>55</t>
  </si>
  <si>
    <t>371290XXXXXX2000</t>
  </si>
  <si>
    <t>549167XXXXXXX4341</t>
  </si>
  <si>
    <t>074433</t>
  </si>
  <si>
    <t xml:space="preserve">24/11/2019  </t>
  </si>
  <si>
    <t>497887XXXXXXX7510</t>
  </si>
  <si>
    <t>149416</t>
  </si>
  <si>
    <t>374614XXXXXX3001</t>
  </si>
  <si>
    <t>76</t>
  </si>
  <si>
    <t>377169XXXXXX3001</t>
  </si>
  <si>
    <t>65</t>
  </si>
  <si>
    <t>462263XXXXXXX7631</t>
  </si>
  <si>
    <t>397380</t>
  </si>
  <si>
    <t>538769XXXXXXX3938</t>
  </si>
  <si>
    <t>116227</t>
  </si>
  <si>
    <t>419459XXXXXXX8119</t>
  </si>
  <si>
    <t>054145</t>
  </si>
  <si>
    <t>309769</t>
  </si>
  <si>
    <t>496604XXXXXXX6334</t>
  </si>
  <si>
    <t>260634</t>
  </si>
  <si>
    <t>531000XXXXXXX4124</t>
  </si>
  <si>
    <t>503787</t>
  </si>
  <si>
    <t>037172</t>
  </si>
  <si>
    <t xml:space="preserve">25/11/2019  </t>
  </si>
  <si>
    <t>420567XXXXXXX7501</t>
  </si>
  <si>
    <t>068361</t>
  </si>
  <si>
    <t>414720XXXXXXX2966</t>
  </si>
  <si>
    <t>08953I</t>
  </si>
  <si>
    <t>405911XXXXXXX0718</t>
  </si>
  <si>
    <t>014554</t>
  </si>
  <si>
    <t>469883XXXXXXX4769</t>
  </si>
  <si>
    <t>301770</t>
  </si>
  <si>
    <t xml:space="preserve">26/11/2019  </t>
  </si>
  <si>
    <t>005754</t>
  </si>
  <si>
    <t xml:space="preserve">28/11/2019  </t>
  </si>
  <si>
    <t>913681</t>
  </si>
  <si>
    <t xml:space="preserve">29/11/2019  </t>
  </si>
  <si>
    <t>672066</t>
  </si>
  <si>
    <t>376449XXXXXX2826</t>
  </si>
  <si>
    <t>67</t>
  </si>
  <si>
    <t xml:space="preserve">30/11/2019  </t>
  </si>
  <si>
    <t>490172XXXXXXX9346</t>
  </si>
  <si>
    <t>000449</t>
  </si>
  <si>
    <t>052149</t>
  </si>
  <si>
    <t>549859XXXXXXX6107</t>
  </si>
  <si>
    <t>352457</t>
  </si>
  <si>
    <t>546056XXXXXXX8849</t>
  </si>
  <si>
    <t>068892</t>
  </si>
  <si>
    <t>527346XXXXXXX3764</t>
  </si>
  <si>
    <t>133088</t>
  </si>
  <si>
    <t>058954</t>
  </si>
  <si>
    <t>425850XXXXXXX9597</t>
  </si>
  <si>
    <t>233169</t>
  </si>
  <si>
    <t>HELOISA RODRIGUES</t>
  </si>
  <si>
    <t>DOMINIKY BARTOLOZZI</t>
  </si>
  <si>
    <t>LOUISE CARRASCO</t>
  </si>
  <si>
    <t>PETER PHILLIPS</t>
  </si>
  <si>
    <t xml:space="preserve">GUY CANTIN </t>
  </si>
  <si>
    <t>SILVIO FERNANDES DA SILVA</t>
  </si>
  <si>
    <t>ALAIN BOXBERGER</t>
  </si>
  <si>
    <t>MARCELO GASI</t>
  </si>
  <si>
    <t>ROBERTO BONET</t>
  </si>
  <si>
    <t>VIDYA SUCHITHRA SAGAR</t>
  </si>
  <si>
    <t>FRANCES SMYTH</t>
  </si>
  <si>
    <t>MANUEL SANTOS NUÑEZ</t>
  </si>
  <si>
    <t xml:space="preserve">KARA MCCLURE </t>
  </si>
  <si>
    <t>NATHALIE SAUVAN GAY</t>
  </si>
  <si>
    <t>GRAHAM JONES</t>
  </si>
  <si>
    <t>CATHY JAMES</t>
  </si>
  <si>
    <t>MARCOS FERREIRA</t>
  </si>
  <si>
    <t>DANIEL FIELD</t>
  </si>
  <si>
    <t>ANA RUIZ COTORRO</t>
  </si>
  <si>
    <t>DAVID KOREN</t>
  </si>
  <si>
    <t>THOMAS LINTON</t>
  </si>
  <si>
    <t>ADRIANA JUNQUEIRA</t>
  </si>
  <si>
    <t>RAPHAELA MENDES</t>
  </si>
  <si>
    <t>JULIANA SANTOS</t>
  </si>
  <si>
    <t>ANNE LOUEY</t>
  </si>
  <si>
    <t>INAH ALVIM DE MINAS</t>
  </si>
  <si>
    <t>STEFAN WORTMANN</t>
  </si>
  <si>
    <t>MATEUS LISBOA</t>
  </si>
  <si>
    <t>MARJIN SIJTSMA</t>
  </si>
  <si>
    <t>JAMES WU</t>
  </si>
  <si>
    <t>HILARIO COTESKVISK</t>
  </si>
  <si>
    <t>CHRISTOPHER REICHE</t>
  </si>
  <si>
    <t>TITO QUILAQUEO</t>
  </si>
  <si>
    <t>ADRIEN JOEHR</t>
  </si>
  <si>
    <t>PEDRO GOYOS</t>
  </si>
  <si>
    <t>JOSE GONZALEZ</t>
  </si>
  <si>
    <t>PET559047295</t>
  </si>
  <si>
    <t>JEAN PAUL LEPINETTE</t>
  </si>
  <si>
    <t>LUCIANO LUCIANO</t>
  </si>
  <si>
    <t>LUCIANO ALMEIDA</t>
  </si>
  <si>
    <t>GABRIELA MORALEJO</t>
  </si>
  <si>
    <t>GUILLARD MATTHIEU</t>
  </si>
  <si>
    <t>VILMA COUTTS</t>
  </si>
  <si>
    <t>ROSANA SOUZA</t>
  </si>
  <si>
    <t>KEVIN LAUBACH</t>
  </si>
  <si>
    <t>NIGEL FIELDEN</t>
  </si>
  <si>
    <t>MALIN ADAM</t>
  </si>
  <si>
    <t>MARKUS ALEKSY</t>
  </si>
  <si>
    <t>LILACH MILEIKOWSKI</t>
  </si>
  <si>
    <t>ALICE COLEY</t>
  </si>
  <si>
    <t>GABRIELA SCHWARZ</t>
  </si>
  <si>
    <t>MARCIO FIGUEIREDO</t>
  </si>
  <si>
    <t>DEBORA C FIGUEIREDO</t>
  </si>
  <si>
    <t>DAVID BALINSKY</t>
  </si>
  <si>
    <t>LUCIANO CORREA</t>
  </si>
  <si>
    <t>MARCOS RESNIK</t>
  </si>
  <si>
    <t>CHRISTIAN GROSPIRON</t>
  </si>
  <si>
    <t>LAIS BUENO LOIOLA</t>
  </si>
  <si>
    <t>CHEN SU</t>
  </si>
  <si>
    <t>04-11-2019</t>
  </si>
  <si>
    <t>1199000004</t>
  </si>
  <si>
    <t>12-11-2019</t>
  </si>
  <si>
    <t>10770213</t>
  </si>
  <si>
    <t>14-11-2019</t>
  </si>
  <si>
    <t>1288721834</t>
  </si>
  <si>
    <t>18-11-2019</t>
  </si>
  <si>
    <t>10770643</t>
  </si>
  <si>
    <t>21-11-2019</t>
  </si>
  <si>
    <t>10770052</t>
  </si>
  <si>
    <t>26-11-2019</t>
  </si>
  <si>
    <t>10770262</t>
  </si>
  <si>
    <t>27-11-2019</t>
  </si>
  <si>
    <t>10770700</t>
  </si>
  <si>
    <t>04/11/2019</t>
  </si>
  <si>
    <t>05/11/2019</t>
  </si>
  <si>
    <t>06/11/2019</t>
  </si>
  <si>
    <t>07/11/2019</t>
  </si>
  <si>
    <t>11/11/2019</t>
  </si>
  <si>
    <t>12/11/2019</t>
  </si>
  <si>
    <t>14/11/2019</t>
  </si>
  <si>
    <t>18/11/2019</t>
  </si>
  <si>
    <t>19/11/2019</t>
  </si>
  <si>
    <t>20/11/2019</t>
  </si>
  <si>
    <t>21/11/2019</t>
  </si>
  <si>
    <t>Cheque Cobrado/Depositado BCI</t>
  </si>
  <si>
    <t>6312211</t>
  </si>
  <si>
    <t>6312212</t>
  </si>
  <si>
    <t>Cheque Cobrado Por Otro Banco</t>
  </si>
  <si>
    <t>6312213</t>
  </si>
  <si>
    <t>6312214</t>
  </si>
  <si>
    <t>6312215</t>
  </si>
  <si>
    <t>22/11/2019</t>
  </si>
  <si>
    <t>27/11/2019</t>
  </si>
  <si>
    <t>28/11/2019</t>
  </si>
  <si>
    <t>74509654</t>
  </si>
  <si>
    <t>FR</t>
  </si>
  <si>
    <t>01/11/2019</t>
  </si>
  <si>
    <t>73543182</t>
  </si>
  <si>
    <t>02/11/2019</t>
  </si>
  <si>
    <t>73552220</t>
  </si>
  <si>
    <t>24400280</t>
  </si>
  <si>
    <t xml:space="preserve">Maria Lanza                                  </t>
  </si>
  <si>
    <t>73618801</t>
  </si>
  <si>
    <t>fact 1840,1998,252,2044</t>
  </si>
  <si>
    <t>73618286</t>
  </si>
  <si>
    <t>96.591.760-8</t>
  </si>
  <si>
    <t>1787215104</t>
  </si>
  <si>
    <t xml:space="preserve">Truly Nolen Chile SA                         </t>
  </si>
  <si>
    <t>fact 275253</t>
  </si>
  <si>
    <t>73616426</t>
  </si>
  <si>
    <t>Fact 742235</t>
  </si>
  <si>
    <t>73616375</t>
  </si>
  <si>
    <t>10223,10310,10352,10429,10700</t>
  </si>
  <si>
    <t>74017044</t>
  </si>
  <si>
    <t>9.732.765-3</t>
  </si>
  <si>
    <t>9732765</t>
  </si>
  <si>
    <t xml:space="preserve">Jose Ortiz Montaño                           </t>
  </si>
  <si>
    <t>Escalera</t>
  </si>
  <si>
    <t>15/11/2019</t>
  </si>
  <si>
    <t>74121789</t>
  </si>
  <si>
    <t>1546611029</t>
  </si>
  <si>
    <t>74097950</t>
  </si>
  <si>
    <t>Sueldo Nov 19</t>
  </si>
  <si>
    <t>17/11/2019</t>
  </si>
  <si>
    <t>74121904</t>
  </si>
  <si>
    <t>Factura 1921234474</t>
  </si>
  <si>
    <t>74097856</t>
  </si>
  <si>
    <t>74202358</t>
  </si>
  <si>
    <t>Adelando 2 Sueldo Nov19</t>
  </si>
  <si>
    <t>74241606</t>
  </si>
  <si>
    <t>77.528.410-2</t>
  </si>
  <si>
    <t>210426103</t>
  </si>
  <si>
    <t xml:space="preserve">Sociedad de Servicios hoteleros SpA          </t>
  </si>
  <si>
    <t>Frigobar -Soc Hotelera Zamora</t>
  </si>
  <si>
    <t>74231509</t>
  </si>
  <si>
    <t>10865,10820,10780,11166,11087</t>
  </si>
  <si>
    <t>74311585</t>
  </si>
  <si>
    <t>Factura 18139</t>
  </si>
  <si>
    <t>74311589</t>
  </si>
  <si>
    <t>Fact 16613</t>
  </si>
  <si>
    <t>26/11/2019</t>
  </si>
  <si>
    <t>74453631</t>
  </si>
  <si>
    <t>Fact 11268</t>
  </si>
  <si>
    <t>74453598</t>
  </si>
  <si>
    <t>Pago Web pascualandino.cl</t>
  </si>
  <si>
    <t>74493291</t>
  </si>
  <si>
    <t>74493346</t>
  </si>
  <si>
    <t>74493331</t>
  </si>
  <si>
    <t>74493421</t>
  </si>
  <si>
    <t>74493406</t>
  </si>
  <si>
    <t>74493387</t>
  </si>
  <si>
    <t>74493446</t>
  </si>
  <si>
    <t>74493362</t>
  </si>
  <si>
    <t>74493457</t>
  </si>
  <si>
    <t>74493515</t>
  </si>
  <si>
    <t>74493508</t>
  </si>
  <si>
    <t>74493436</t>
  </si>
  <si>
    <t>74493523</t>
  </si>
  <si>
    <t>74493495</t>
  </si>
  <si>
    <t>74493485</t>
  </si>
  <si>
    <t>41256023666</t>
  </si>
  <si>
    <t>Banco Estado</t>
  </si>
  <si>
    <t>736.000</t>
  </si>
  <si>
    <t>Recibidas</t>
  </si>
  <si>
    <t>RAMIREZ MUNOZ ANGELICA MERCEDE</t>
  </si>
  <si>
    <t>406594721850</t>
  </si>
  <si>
    <t>76.179.634-8</t>
  </si>
  <si>
    <t>Banco de Chile</t>
  </si>
  <si>
    <t>1481351100</t>
  </si>
  <si>
    <t>541.690</t>
  </si>
  <si>
    <t xml:space="preserve">TERRA CHILE TURISMO S.A.      </t>
  </si>
  <si>
    <t>303125784</t>
  </si>
  <si>
    <t>11.376.617-4</t>
  </si>
  <si>
    <t>BCI/TBANC/NOVA</t>
  </si>
  <si>
    <t>52426009</t>
  </si>
  <si>
    <t>250.000</t>
  </si>
  <si>
    <t>MARIA ANGELICA ZAMORA RAMIREZ</t>
  </si>
  <si>
    <t>09/11/2019</t>
  </si>
  <si>
    <t>293650030487</t>
  </si>
  <si>
    <t>11.721.255-6</t>
  </si>
  <si>
    <t>ITAU</t>
  </si>
  <si>
    <t>390001000200586487</t>
  </si>
  <si>
    <t>441.000</t>
  </si>
  <si>
    <t>Carlos Humberto Zamora Ramirez</t>
  </si>
  <si>
    <t>10/11/2019</t>
  </si>
  <si>
    <t>303880723</t>
  </si>
  <si>
    <t>1.200.000</t>
  </si>
  <si>
    <t>1528323415</t>
  </si>
  <si>
    <t>Banco Security</t>
  </si>
  <si>
    <t>157803001</t>
  </si>
  <si>
    <t>5.000.000</t>
  </si>
  <si>
    <t>SOC HOTELERA ZAMORA RAMIREZ HE</t>
  </si>
  <si>
    <t>1539044737</t>
  </si>
  <si>
    <t>1539045818</t>
  </si>
  <si>
    <t>30975279</t>
  </si>
  <si>
    <t>30975280</t>
  </si>
  <si>
    <t>30975281</t>
  </si>
  <si>
    <t>30975282</t>
  </si>
  <si>
    <t>30975283</t>
  </si>
  <si>
    <t>30975284</t>
  </si>
  <si>
    <t>30975285</t>
  </si>
  <si>
    <t>30975286</t>
  </si>
  <si>
    <t>30975287</t>
  </si>
  <si>
    <t>30975288</t>
  </si>
  <si>
    <t>30975289</t>
  </si>
  <si>
    <t>30975290</t>
  </si>
  <si>
    <t>30975291</t>
  </si>
  <si>
    <t>30975292</t>
  </si>
  <si>
    <t>30975293</t>
  </si>
  <si>
    <t>30975294</t>
  </si>
  <si>
    <t>30975295</t>
  </si>
  <si>
    <t>30975296</t>
  </si>
  <si>
    <t>30975297</t>
  </si>
  <si>
    <t>30975298</t>
  </si>
  <si>
    <t>30975299</t>
  </si>
  <si>
    <t>30975300</t>
  </si>
  <si>
    <t>30975301</t>
  </si>
  <si>
    <t>30975302</t>
  </si>
  <si>
    <t>30975303</t>
  </si>
  <si>
    <t>30975304</t>
  </si>
  <si>
    <t>30975305</t>
  </si>
  <si>
    <t>30975306</t>
  </si>
  <si>
    <t>30975307</t>
  </si>
  <si>
    <t>30975308</t>
  </si>
  <si>
    <t>530077XXXXXXX3673</t>
  </si>
  <si>
    <t>175469</t>
  </si>
  <si>
    <t>30975309</t>
  </si>
  <si>
    <t>451461XXXXXXX5495</t>
  </si>
  <si>
    <t>675345</t>
  </si>
  <si>
    <t>30975310</t>
  </si>
  <si>
    <t>461248XXXXXXX8469</t>
  </si>
  <si>
    <t>371016</t>
  </si>
  <si>
    <t>30975311</t>
  </si>
  <si>
    <t>707298</t>
  </si>
  <si>
    <t xml:space="preserve">27/11/2019  </t>
  </si>
  <si>
    <t>30975312</t>
  </si>
  <si>
    <t>371790XXXXXX1007</t>
  </si>
  <si>
    <t>54</t>
  </si>
  <si>
    <t>30975313</t>
  </si>
  <si>
    <t>661555</t>
  </si>
  <si>
    <t>30975314</t>
  </si>
  <si>
    <t>30975315</t>
  </si>
  <si>
    <t>375213XXXXXX5007</t>
  </si>
  <si>
    <t>25</t>
  </si>
  <si>
    <t>30975316</t>
  </si>
  <si>
    <t>390369</t>
  </si>
  <si>
    <t>30975317</t>
  </si>
  <si>
    <t>05438I</t>
  </si>
  <si>
    <t>30975318</t>
  </si>
  <si>
    <t>476367XXXXXXX1519</t>
  </si>
  <si>
    <t>175517</t>
  </si>
  <si>
    <t>30975319</t>
  </si>
  <si>
    <t>414720XXXXXXX7720</t>
  </si>
  <si>
    <t>05751I</t>
  </si>
  <si>
    <t>30975320</t>
  </si>
  <si>
    <t>30975321</t>
  </si>
  <si>
    <t>30975322</t>
  </si>
  <si>
    <t>480161XXXXXXX2371</t>
  </si>
  <si>
    <t>30975323</t>
  </si>
  <si>
    <t>466245XXXXXXX6595</t>
  </si>
  <si>
    <t>30975324</t>
  </si>
  <si>
    <t>376454XXXXXX2004</t>
  </si>
  <si>
    <t>30975325</t>
  </si>
  <si>
    <t>30975326</t>
  </si>
  <si>
    <t>377662XXXXXX5957</t>
  </si>
  <si>
    <t>30975327</t>
  </si>
  <si>
    <t>491728</t>
  </si>
  <si>
    <t>30975328</t>
  </si>
  <si>
    <t>660931</t>
  </si>
  <si>
    <t>30975329</t>
  </si>
  <si>
    <t>30975330</t>
  </si>
  <si>
    <t>30975331</t>
  </si>
  <si>
    <t>30975332</t>
  </si>
  <si>
    <t>30975333</t>
  </si>
  <si>
    <t>30975334</t>
  </si>
  <si>
    <t>30975335</t>
  </si>
  <si>
    <t>B98371</t>
  </si>
  <si>
    <t>0810 88588285</t>
  </si>
  <si>
    <t>0810 88630769</t>
  </si>
  <si>
    <t>0810 88639567</t>
  </si>
  <si>
    <t>0810 88643060</t>
  </si>
  <si>
    <t>2210 88884197</t>
  </si>
  <si>
    <t>21/10/2019</t>
  </si>
  <si>
    <t>0810 00000000</t>
  </si>
  <si>
    <t>2810 00000000</t>
  </si>
  <si>
    <t>28/10/2019</t>
  </si>
  <si>
    <t>0411 00000000</t>
  </si>
  <si>
    <t>0511 00000000</t>
  </si>
  <si>
    <t>0811 24492159311637902317603</t>
  </si>
  <si>
    <t>1111 74232629314003217588710</t>
  </si>
  <si>
    <t>2511 74232629327003221865018</t>
  </si>
  <si>
    <t>2711 24492159330637920991188</t>
  </si>
  <si>
    <t>2811 74313289331100395972858</t>
  </si>
  <si>
    <t>RENTALCARS.COM</t>
  </si>
  <si>
    <t>0212 24013089336091099795413</t>
  </si>
  <si>
    <t>Retiro USD de pily</t>
  </si>
  <si>
    <t>Liq Divisas</t>
  </si>
  <si>
    <t>Hacer boleta</t>
  </si>
  <si>
    <t>Retiro USD de Carlos</t>
  </si>
  <si>
    <t>Repuestos Frigobar</t>
  </si>
  <si>
    <t>Deposito en $ de Pily</t>
  </si>
  <si>
    <t>2669565-Transacciones operaciones financieras ABONO</t>
  </si>
  <si>
    <t>Liq divisas</t>
  </si>
  <si>
    <t>COMEX ORDEN PAGO ENTRANTE. OPE442264</t>
  </si>
  <si>
    <t>COMEX ORDEN PAGO ENTRANTE. OPE443476</t>
  </si>
  <si>
    <t>2669565-Transacciones operaciones financieras CARGO</t>
  </si>
  <si>
    <t>COMEX ORDEN PAGO ENTRANTE. OPE444229</t>
  </si>
  <si>
    <t>COMEX ORDEN PAGO ENTRANTE. OPE445013</t>
  </si>
  <si>
    <t>COMEX ORDEN PAGO ENTRANTE. OPE446034</t>
  </si>
  <si>
    <t>COMEX ORDEN PAGO ENTRANTE. OPE447052</t>
  </si>
  <si>
    <t>NORTE VERDE</t>
  </si>
  <si>
    <t>44009-44010</t>
  </si>
  <si>
    <t>13/11/2019</t>
  </si>
  <si>
    <t>PAN</t>
  </si>
  <si>
    <t>EL SALVADOR</t>
  </si>
  <si>
    <t>JAMON</t>
  </si>
  <si>
    <t>TOCINO</t>
  </si>
  <si>
    <t>ESTACIONAMIENTO CENTRO</t>
  </si>
  <si>
    <t>CARPEDIEM</t>
  </si>
  <si>
    <t>LAVADO CAMIONETA</t>
  </si>
  <si>
    <t>LUBRICENTRO</t>
  </si>
  <si>
    <t>TOMATE</t>
  </si>
  <si>
    <t>TUMISA</t>
  </si>
  <si>
    <t>MARIA BRAVO FLORES</t>
  </si>
  <si>
    <t>BOLSAS SNACK</t>
  </si>
  <si>
    <t>REPUESTO NEUMATICO</t>
  </si>
  <si>
    <t>BERPLAZ</t>
  </si>
  <si>
    <t>RICA-RICA</t>
  </si>
  <si>
    <t>INTIHUATANA</t>
  </si>
  <si>
    <t>LECHE EVAPORADA-AJO</t>
  </si>
  <si>
    <t>C.CONSTANZA</t>
  </si>
  <si>
    <t>LAS DUNAS</t>
  </si>
  <si>
    <t>BEBIDAS LATA</t>
  </si>
  <si>
    <t>C.A.P.A</t>
  </si>
  <si>
    <t>CERVEZAS</t>
  </si>
  <si>
    <t>NOV</t>
  </si>
  <si>
    <t>PAN BERTITA</t>
  </si>
  <si>
    <t>AGUA JUTURI</t>
  </si>
  <si>
    <t>PENDIENTE</t>
  </si>
  <si>
    <t>CHOFER</t>
  </si>
  <si>
    <t>FERIA</t>
  </si>
  <si>
    <t>entel</t>
  </si>
  <si>
    <t>Cotizaciones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</si>
</sst>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 numFmtId="174" formatCode="_ * #,##0.00_ ;_ * \-#,##0.00_ ;_ * &quot;-&quot;_ ;_ @_ "/>
  </numFmts>
  <fonts count="52"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
      <b/>
      <sz val="7"/>
      <color theme="1"/>
      <name val="Arial"/>
      <family val="2"/>
    </font>
    <font>
      <b/>
      <sz val="12"/>
      <color rgb="FF333333"/>
      <name val="Arial"/>
      <family val="2"/>
    </font>
    <font>
      <sz val="8"/>
      <color theme="1"/>
      <name val="Arial"/>
      <family val="2"/>
    </font>
    <font>
      <b/>
      <sz val="8"/>
      <color theme="1"/>
      <name val="Arial"/>
      <family val="2"/>
    </font>
    <font>
      <sz val="10"/>
      <color rgb="FF0070C0"/>
      <name val="Calibri"/>
      <family val="2"/>
      <scheme val="minor"/>
    </font>
    <font>
      <sz val="10"/>
      <color rgb="FF00B0F0"/>
      <name val="Calibri"/>
      <family val="2"/>
      <scheme val="minor"/>
    </font>
    <font>
      <sz val="9"/>
      <color rgb="FF00B0F0"/>
      <name val="Arial"/>
      <family val="2"/>
    </font>
    <font>
      <i/>
      <sz val="11"/>
      <color theme="1"/>
      <name val="Calibri"/>
      <family val="2"/>
      <scheme val="minor"/>
    </font>
  </fonts>
  <fills count="40">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11" applyNumberFormat="0" applyAlignment="0" applyProtection="0"/>
    <xf numFmtId="0" fontId="29" fillId="12" borderId="12" applyNumberFormat="0" applyAlignment="0" applyProtection="0"/>
    <xf numFmtId="0" fontId="30" fillId="12" borderId="11" applyNumberFormat="0" applyAlignment="0" applyProtection="0"/>
    <xf numFmtId="0" fontId="31" fillId="0" borderId="13" applyNumberFormat="0" applyFill="0" applyAlignment="0" applyProtection="0"/>
    <xf numFmtId="0" fontId="32"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3" fillId="0" borderId="0" applyNumberFormat="0" applyFill="0" applyBorder="0" applyAlignment="0" applyProtection="0"/>
    <xf numFmtId="0" fontId="13" fillId="0" borderId="16" applyNumberFormat="0" applyFill="0" applyAlignment="0" applyProtection="0"/>
    <xf numFmtId="0" fontId="3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4" fillId="38" borderId="0" applyNumberFormat="0" applyBorder="0" applyAlignment="0" applyProtection="0"/>
    <xf numFmtId="0" fontId="36" fillId="0" borderId="0"/>
    <xf numFmtId="41" fontId="1" fillId="0" borderId="0" applyFont="0" applyFill="0" applyBorder="0" applyAlignment="0" applyProtection="0"/>
  </cellStyleXfs>
  <cellXfs count="366">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168" fontId="8" fillId="0" borderId="0" xfId="2" applyNumberFormat="1" applyFont="1" applyFill="1"/>
    <xf numFmtId="0" fontId="8" fillId="0" borderId="0" xfId="0" applyFont="1" applyFill="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39"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4" fontId="39" fillId="0" borderId="17" xfId="0" applyNumberFormat="1" applyFont="1" applyBorder="1" applyAlignment="1">
      <alignment horizontal="left" vertical="center" wrapText="1"/>
    </xf>
    <xf numFmtId="0" fontId="39" fillId="0" borderId="17" xfId="0" applyFont="1" applyBorder="1" applyAlignment="1">
      <alignment horizontal="left" vertical="center" wrapText="1"/>
    </xf>
    <xf numFmtId="167" fontId="39" fillId="0" borderId="17" xfId="1" applyNumberFormat="1" applyFont="1" applyBorder="1" applyAlignment="1">
      <alignment horizontal="left" vertical="center" wrapText="1"/>
    </xf>
    <xf numFmtId="3" fontId="39" fillId="0" borderId="17" xfId="0" applyNumberFormat="1" applyFont="1" applyBorder="1" applyAlignment="1">
      <alignment horizontal="right" vertical="center" wrapText="1"/>
    </xf>
    <xf numFmtId="22" fontId="39" fillId="0" borderId="17" xfId="0" applyNumberFormat="1" applyFont="1" applyBorder="1" applyAlignment="1">
      <alignment horizontal="left" vertical="center" wrapText="1"/>
    </xf>
    <xf numFmtId="167" fontId="39" fillId="0" borderId="17"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7"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0" fontId="42" fillId="0" borderId="19" xfId="0" applyFont="1" applyBorder="1" applyAlignment="1">
      <alignment horizontal="right" vertical="center" wrapText="1"/>
    </xf>
    <xf numFmtId="0" fontId="42" fillId="0" borderId="20"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167" fontId="7" fillId="5" borderId="1" xfId="1" applyNumberFormat="1" applyFont="1" applyFill="1" applyBorder="1" applyAlignment="1">
      <alignment horizontal="center"/>
    </xf>
    <xf numFmtId="14" fontId="7" fillId="5" borderId="1" xfId="0" applyNumberFormat="1" applyFont="1" applyFill="1" applyBorder="1" applyAlignment="1">
      <alignment horizontal="center"/>
    </xf>
    <xf numFmtId="0" fontId="7" fillId="5" borderId="1" xfId="0" applyFont="1" applyFill="1" applyBorder="1" applyAlignment="1">
      <alignment horizontal="center"/>
    </xf>
    <xf numFmtId="167" fontId="7" fillId="5" borderId="1" xfId="1" applyNumberFormat="1" applyFont="1" applyFill="1" applyBorder="1"/>
    <xf numFmtId="0" fontId="42" fillId="0" borderId="21"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14" fontId="42" fillId="0" borderId="25" xfId="0" applyNumberFormat="1" applyFont="1" applyBorder="1" applyAlignment="1">
      <alignment horizontal="left" vertical="center" wrapText="1"/>
    </xf>
    <xf numFmtId="0" fontId="42" fillId="0" borderId="25" xfId="0" applyFont="1" applyBorder="1" applyAlignment="1">
      <alignment horizontal="left" vertical="center" wrapText="1"/>
    </xf>
    <xf numFmtId="0" fontId="44" fillId="0" borderId="25" xfId="0" applyFont="1" applyBorder="1" applyAlignment="1">
      <alignment horizontal="right" vertical="center" wrapText="1"/>
    </xf>
    <xf numFmtId="167" fontId="8" fillId="7" borderId="1" xfId="0" applyNumberFormat="1" applyFont="1" applyFill="1" applyBorder="1"/>
    <xf numFmtId="0" fontId="45" fillId="0" borderId="0" xfId="0" applyFont="1"/>
    <xf numFmtId="167" fontId="7" fillId="2" borderId="1"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0" fontId="46" fillId="0" borderId="21" xfId="0" applyFont="1" applyBorder="1" applyAlignment="1">
      <alignment horizontal="left" vertical="center" wrapText="1"/>
    </xf>
    <xf numFmtId="14" fontId="46" fillId="0" borderId="22" xfId="0" applyNumberFormat="1" applyFont="1" applyBorder="1" applyAlignment="1">
      <alignment horizontal="left" vertical="center" wrapText="1"/>
    </xf>
    <xf numFmtId="0" fontId="46" fillId="0" borderId="22" xfId="0" applyFont="1" applyBorder="1" applyAlignment="1">
      <alignment horizontal="left" vertical="center" wrapText="1"/>
    </xf>
    <xf numFmtId="0" fontId="47" fillId="0" borderId="22" xfId="0" applyFont="1" applyBorder="1" applyAlignment="1">
      <alignment horizontal="right" vertical="center" wrapText="1"/>
    </xf>
    <xf numFmtId="0" fontId="46" fillId="0" borderId="18" xfId="0" applyFont="1" applyBorder="1" applyAlignment="1">
      <alignment horizontal="right" vertical="center" wrapText="1"/>
    </xf>
    <xf numFmtId="0" fontId="46" fillId="0" borderId="24" xfId="0" applyFont="1" applyBorder="1" applyAlignment="1">
      <alignment horizontal="left" vertical="center" wrapText="1"/>
    </xf>
    <xf numFmtId="14" fontId="46" fillId="0" borderId="25" xfId="0" applyNumberFormat="1" applyFont="1" applyBorder="1" applyAlignment="1">
      <alignment horizontal="left" vertical="center" wrapText="1"/>
    </xf>
    <xf numFmtId="0" fontId="46" fillId="0" borderId="25" xfId="0" applyFont="1" applyBorder="1" applyAlignment="1">
      <alignment horizontal="left" vertical="center" wrapText="1"/>
    </xf>
    <xf numFmtId="0" fontId="47" fillId="0" borderId="25" xfId="0" applyFont="1" applyBorder="1" applyAlignment="1">
      <alignment horizontal="right" vertical="center" wrapText="1"/>
    </xf>
    <xf numFmtId="0" fontId="46" fillId="0" borderId="20" xfId="0" applyFont="1" applyBorder="1" applyAlignment="1">
      <alignment horizontal="right" vertical="center" wrapText="1"/>
    </xf>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14" fontId="8" fillId="0" borderId="0" xfId="0" applyNumberFormat="1" applyFont="1" applyFill="1"/>
    <xf numFmtId="167" fontId="8" fillId="4" borderId="1" xfId="1" applyNumberFormat="1" applyFont="1" applyFill="1" applyBorder="1" applyAlignment="1">
      <alignment horizontal="right"/>
    </xf>
    <xf numFmtId="1" fontId="17" fillId="0" borderId="1" xfId="3" applyNumberFormat="1" applyFont="1" applyFill="1" applyBorder="1"/>
    <xf numFmtId="1" fontId="17" fillId="0" borderId="1" xfId="1" applyNumberFormat="1" applyFont="1" applyFill="1" applyBorder="1"/>
    <xf numFmtId="4" fontId="45" fillId="0" borderId="0" xfId="0" applyNumberFormat="1" applyFont="1"/>
    <xf numFmtId="168" fontId="20" fillId="0" borderId="26" xfId="2" applyNumberFormat="1" applyFont="1" applyFill="1" applyBorder="1"/>
    <xf numFmtId="167" fontId="20"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167" fontId="38" fillId="5" borderId="1" xfId="1" applyNumberFormat="1" applyFont="1" applyFill="1" applyBorder="1" applyAlignment="1">
      <alignment horizontal="center"/>
    </xf>
    <xf numFmtId="14" fontId="38" fillId="5" borderId="1" xfId="0" applyNumberFormat="1" applyFont="1" applyFill="1" applyBorder="1" applyAlignment="1">
      <alignment horizontal="center"/>
    </xf>
    <xf numFmtId="0" fontId="38" fillId="5" borderId="1" xfId="0" applyFont="1" applyFill="1" applyBorder="1" applyAlignment="1">
      <alignment horizontal="center"/>
    </xf>
    <xf numFmtId="167" fontId="38" fillId="5" borderId="1" xfId="1" applyNumberFormat="1" applyFont="1" applyFill="1" applyBorder="1"/>
    <xf numFmtId="174" fontId="19" fillId="0" borderId="1" xfId="49" applyNumberFormat="1" applyFont="1" applyFill="1" applyBorder="1"/>
    <xf numFmtId="0" fontId="0" fillId="2" borderId="1" xfId="0" applyFill="1" applyBorder="1" applyAlignment="1">
      <alignment horizontal="left"/>
    </xf>
    <xf numFmtId="167" fontId="18" fillId="5" borderId="1" xfId="1" applyNumberFormat="1" applyFont="1" applyFill="1" applyBorder="1" applyAlignment="1">
      <alignment horizontal="center"/>
    </xf>
    <xf numFmtId="14" fontId="18" fillId="5" borderId="1" xfId="0" applyNumberFormat="1" applyFont="1" applyFill="1" applyBorder="1" applyAlignment="1">
      <alignment horizontal="center"/>
    </xf>
    <xf numFmtId="0" fontId="18" fillId="5" borderId="1" xfId="0" applyFont="1" applyFill="1" applyBorder="1" applyAlignment="1">
      <alignment horizontal="center"/>
    </xf>
    <xf numFmtId="167" fontId="18" fillId="5" borderId="1" xfId="1" applyNumberFormat="1" applyFont="1" applyFill="1" applyBorder="1"/>
    <xf numFmtId="167" fontId="38" fillId="2" borderId="1" xfId="1" applyNumberFormat="1" applyFont="1" applyFill="1" applyBorder="1" applyAlignment="1">
      <alignment horizontal="center"/>
    </xf>
    <xf numFmtId="14" fontId="38" fillId="2" borderId="1" xfId="0" applyNumberFormat="1" applyFont="1" applyFill="1" applyBorder="1" applyAlignment="1">
      <alignment horizontal="center"/>
    </xf>
    <xf numFmtId="0" fontId="38" fillId="2" borderId="1" xfId="0" applyFont="1" applyFill="1" applyBorder="1" applyAlignment="1">
      <alignment horizontal="center"/>
    </xf>
    <xf numFmtId="167" fontId="38" fillId="2" borderId="1" xfId="1" applyNumberFormat="1" applyFont="1" applyFill="1" applyBorder="1"/>
    <xf numFmtId="14" fontId="8" fillId="4" borderId="1" xfId="1" applyNumberFormat="1" applyFont="1" applyFill="1" applyBorder="1" applyAlignment="1">
      <alignment horizontal="center"/>
    </xf>
    <xf numFmtId="167" fontId="8" fillId="4" borderId="1" xfId="1" applyNumberFormat="1" applyFont="1" applyFill="1" applyBorder="1" applyAlignment="1">
      <alignment horizontal="center"/>
    </xf>
    <xf numFmtId="167" fontId="8" fillId="4" borderId="1" xfId="1" applyNumberFormat="1" applyFont="1" applyFill="1" applyBorder="1" applyAlignment="1">
      <alignment horizontal="left"/>
    </xf>
    <xf numFmtId="167" fontId="48" fillId="2" borderId="1" xfId="1" applyNumberFormat="1" applyFont="1" applyFill="1" applyBorder="1" applyAlignment="1">
      <alignment horizontal="right"/>
    </xf>
    <xf numFmtId="167" fontId="48" fillId="5" borderId="1" xfId="1" applyNumberFormat="1" applyFont="1" applyFill="1" applyBorder="1" applyAlignment="1">
      <alignment horizontal="center"/>
    </xf>
    <xf numFmtId="167" fontId="48" fillId="4" borderId="1" xfId="1" applyNumberFormat="1" applyFont="1" applyFill="1" applyBorder="1" applyAlignment="1">
      <alignment horizontal="right"/>
    </xf>
    <xf numFmtId="167" fontId="49" fillId="2" borderId="1" xfId="1" applyNumberFormat="1" applyFont="1" applyFill="1" applyBorder="1" applyAlignment="1">
      <alignment horizontal="right"/>
    </xf>
    <xf numFmtId="14" fontId="50" fillId="0" borderId="17" xfId="0" applyNumberFormat="1" applyFont="1" applyBorder="1" applyAlignment="1">
      <alignment horizontal="left" vertical="center" wrapText="1"/>
    </xf>
    <xf numFmtId="0" fontId="50" fillId="0" borderId="17" xfId="0" applyFont="1" applyBorder="1" applyAlignment="1">
      <alignment horizontal="left" vertical="center" wrapText="1"/>
    </xf>
    <xf numFmtId="167" fontId="50" fillId="0" borderId="17" xfId="1" applyNumberFormat="1" applyFont="1" applyBorder="1" applyAlignment="1">
      <alignment horizontal="left" vertical="center" wrapText="1"/>
    </xf>
    <xf numFmtId="167" fontId="50" fillId="0" borderId="17" xfId="1" applyNumberFormat="1" applyFont="1" applyBorder="1" applyAlignment="1">
      <alignment horizontal="right" vertical="center" wrapText="1"/>
    </xf>
    <xf numFmtId="3" fontId="50" fillId="0" borderId="17" xfId="0" applyNumberFormat="1" applyFont="1" applyBorder="1" applyAlignment="1">
      <alignment horizontal="right" vertical="center" wrapText="1"/>
    </xf>
    <xf numFmtId="22" fontId="50" fillId="0" borderId="17" xfId="0" applyNumberFormat="1" applyFont="1" applyBorder="1" applyAlignment="1">
      <alignment horizontal="left" vertical="center" wrapText="1"/>
    </xf>
    <xf numFmtId="167" fontId="8" fillId="4" borderId="0" xfId="0" applyNumberFormat="1" applyFont="1" applyFill="1" applyAlignment="1">
      <alignment horizontal="center"/>
    </xf>
    <xf numFmtId="167" fontId="8" fillId="4" borderId="1" xfId="1" applyNumberFormat="1" applyFont="1" applyFill="1" applyBorder="1"/>
    <xf numFmtId="170" fontId="19" fillId="4" borderId="1" xfId="1" applyNumberFormat="1" applyFont="1" applyFill="1" applyBorder="1"/>
    <xf numFmtId="167" fontId="19" fillId="4" borderId="1" xfId="1" applyNumberFormat="1" applyFont="1" applyFill="1" applyBorder="1"/>
    <xf numFmtId="41" fontId="19" fillId="4" borderId="1" xfId="49" applyFont="1" applyFill="1" applyBorder="1"/>
    <xf numFmtId="0" fontId="51" fillId="0" borderId="0" xfId="0" applyFont="1" applyBorder="1"/>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6">
    <dxf>
      <fill>
        <patternFill>
          <bgColor theme="9"/>
        </patternFill>
      </fill>
    </dxf>
    <dxf>
      <fill>
        <patternFill>
          <bgColor rgb="FFFFC000"/>
        </patternFill>
      </fill>
    </dxf>
    <dxf>
      <fill>
        <patternFill>
          <bgColor theme="9"/>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1"/>
  <sheetViews>
    <sheetView tabSelected="1" topLeftCell="A26" workbookViewId="0">
      <selection activeCell="C8" sqref="C8:C31"/>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761</v>
      </c>
    </row>
    <row r="2" spans="2:8" ht="15.75" x14ac:dyDescent="0.25">
      <c r="B2" s="6" t="s">
        <v>14</v>
      </c>
      <c r="C2" s="6"/>
      <c r="D2" s="76">
        <v>776.53</v>
      </c>
      <c r="F2" s="297"/>
    </row>
    <row r="3" spans="2:8" ht="15.75" x14ac:dyDescent="0.25">
      <c r="B3" s="6" t="s">
        <v>20</v>
      </c>
      <c r="C3" s="6"/>
      <c r="D3" s="37">
        <v>28200</v>
      </c>
      <c r="F3" s="322"/>
    </row>
    <row r="4" spans="2:8" x14ac:dyDescent="0.25">
      <c r="B4" s="6" t="s">
        <v>13</v>
      </c>
      <c r="C4" s="6"/>
      <c r="D4" s="6">
        <f>Nov!J115</f>
        <v>251</v>
      </c>
      <c r="E4" s="71">
        <f>+Siteminder!K111</f>
        <v>250</v>
      </c>
    </row>
    <row r="5" spans="2:8" x14ac:dyDescent="0.25">
      <c r="B5" s="6" t="s">
        <v>15</v>
      </c>
      <c r="C5" s="6"/>
      <c r="D5" s="142">
        <f>D4/(31*10)</f>
        <v>0.80967741935483872</v>
      </c>
      <c r="E5" s="142">
        <f>E4/(31*10)</f>
        <v>0.80645161290322576</v>
      </c>
      <c r="G5" s="278"/>
    </row>
    <row r="6" spans="2:8" x14ac:dyDescent="0.25">
      <c r="D6" s="9"/>
      <c r="E6" s="1"/>
    </row>
    <row r="7" spans="2:8" x14ac:dyDescent="0.25">
      <c r="C7" t="s">
        <v>17</v>
      </c>
      <c r="D7" t="s">
        <v>12</v>
      </c>
    </row>
    <row r="8" spans="2:8" x14ac:dyDescent="0.25">
      <c r="B8" s="6" t="s">
        <v>9</v>
      </c>
      <c r="C8" s="7">
        <f>SUM(C9:C11)</f>
        <v>40826732.018304422</v>
      </c>
      <c r="D8" s="8">
        <f>C8/D4</f>
        <v>162656.30286177061</v>
      </c>
      <c r="E8" s="5">
        <f>+D8/D2</f>
        <v>209.46557488026298</v>
      </c>
      <c r="F8" s="5"/>
      <c r="H8" s="273"/>
    </row>
    <row r="9" spans="2:8" x14ac:dyDescent="0.25">
      <c r="B9" t="s">
        <v>7</v>
      </c>
      <c r="C9" s="1">
        <f>Nov!V66/(1.038)</f>
        <v>24855737.928709053</v>
      </c>
      <c r="D9" s="9">
        <f>C9/$C$8</f>
        <v>0.60881037251683845</v>
      </c>
    </row>
    <row r="10" spans="2:8" x14ac:dyDescent="0.25">
      <c r="B10" t="s">
        <v>297</v>
      </c>
      <c r="C10" s="1">
        <f>Nov!V87/(1.038)</f>
        <v>8374765.1685934458</v>
      </c>
      <c r="D10" s="9">
        <f>C10/$C$8</f>
        <v>0.20512945206681421</v>
      </c>
    </row>
    <row r="11" spans="2:8" x14ac:dyDescent="0.25">
      <c r="B11" t="s">
        <v>61</v>
      </c>
      <c r="C11" s="1">
        <f>Nov!V111/(1.038)</f>
        <v>7596228.921001927</v>
      </c>
      <c r="D11" s="9">
        <f>C11/$C$8</f>
        <v>0.18606017541634737</v>
      </c>
      <c r="E11" s="1"/>
    </row>
    <row r="13" spans="2:8" x14ac:dyDescent="0.25">
      <c r="B13" s="6" t="s">
        <v>8</v>
      </c>
      <c r="C13" s="8">
        <f>SUM(C14:C21)</f>
        <v>12922419.307500001</v>
      </c>
      <c r="D13" s="8">
        <f>C13/D4</f>
        <v>51483.742260956176</v>
      </c>
      <c r="E13" s="5">
        <f>C13+C22+C27+C30</f>
        <v>28524404.407499999</v>
      </c>
      <c r="F13" s="81"/>
      <c r="G13" s="93"/>
    </row>
    <row r="14" spans="2:8" x14ac:dyDescent="0.25">
      <c r="B14" t="str">
        <f>'BCI FondRendir'!B142</f>
        <v>Comisión Bco</v>
      </c>
      <c r="C14" s="1">
        <f>'BCI FondRendir'!F142</f>
        <v>23318</v>
      </c>
      <c r="D14" s="5">
        <f>C14/$D$4</f>
        <v>92.900398406374507</v>
      </c>
      <c r="E14" s="5"/>
    </row>
    <row r="15" spans="2:8" x14ac:dyDescent="0.25">
      <c r="B15" t="str">
        <f>'BCI FondRendir'!B143</f>
        <v>Comisión Booking</v>
      </c>
      <c r="C15" s="1">
        <f>+'BCI FondRendir'!F143</f>
        <v>3749964</v>
      </c>
      <c r="D15" s="5">
        <f t="shared" ref="D15:D23" si="0">C15/$D$4</f>
        <v>14940.09561752988</v>
      </c>
      <c r="E15" s="5"/>
    </row>
    <row r="16" spans="2:8" x14ac:dyDescent="0.25">
      <c r="B16" t="str">
        <f>'BCI FondRendir'!B144</f>
        <v>Comisión Expedia</v>
      </c>
      <c r="C16" s="1">
        <f>+'BCI FondRendir'!F144</f>
        <v>1089685</v>
      </c>
      <c r="D16" s="5">
        <f t="shared" si="0"/>
        <v>4341.3745019920316</v>
      </c>
      <c r="E16" s="5"/>
    </row>
    <row r="17" spans="2:6" x14ac:dyDescent="0.25">
      <c r="B17" t="str">
        <f>'BCI FondRendir'!B145</f>
        <v>Comisión otras</v>
      </c>
      <c r="C17" s="1">
        <f>+'BCI FondRendir'!F145</f>
        <v>425344.30749999994</v>
      </c>
      <c r="D17" s="5">
        <f t="shared" si="0"/>
        <v>1694.5988346613544</v>
      </c>
      <c r="E17" s="5"/>
    </row>
    <row r="18" spans="2:6" x14ac:dyDescent="0.25">
      <c r="B18" t="str">
        <f>'BCI FondRendir'!B146</f>
        <v>Costos Directos</v>
      </c>
      <c r="C18" s="1">
        <f>+'BCI FondRendir'!F146</f>
        <v>3393091</v>
      </c>
      <c r="D18" s="5">
        <f t="shared" si="0"/>
        <v>13518.290836653387</v>
      </c>
      <c r="E18" s="5"/>
    </row>
    <row r="19" spans="2:6" x14ac:dyDescent="0.25">
      <c r="C19" s="1">
        <f>+'BCI FondRendir'!F147</f>
        <v>2800000</v>
      </c>
      <c r="D19" s="5">
        <f t="shared" si="0"/>
        <v>11155.378486055777</v>
      </c>
      <c r="E19" s="5"/>
    </row>
    <row r="20" spans="2:6" x14ac:dyDescent="0.25">
      <c r="B20" t="s">
        <v>172</v>
      </c>
      <c r="C20" s="1">
        <f>'BCI FondRendir'!F153</f>
        <v>1441017</v>
      </c>
      <c r="D20" s="5">
        <f>C20/$D$4</f>
        <v>5741.1035856573708</v>
      </c>
      <c r="E20" s="5"/>
    </row>
    <row r="21" spans="2:6" x14ac:dyDescent="0.25">
      <c r="B21" t="s">
        <v>53</v>
      </c>
      <c r="C21" s="1">
        <f>'BCI FondRendir'!H159</f>
        <v>0</v>
      </c>
      <c r="D21" s="5">
        <f t="shared" si="0"/>
        <v>0</v>
      </c>
    </row>
    <row r="22" spans="2:6" x14ac:dyDescent="0.25">
      <c r="B22" s="6" t="s">
        <v>10</v>
      </c>
      <c r="C22" s="8">
        <f>SUM(C23:C26)</f>
        <v>11235143.1</v>
      </c>
      <c r="D22" s="8">
        <f>C22/D4</f>
        <v>44761.526294820716</v>
      </c>
      <c r="E22" s="5"/>
      <c r="F22" s="5"/>
    </row>
    <row r="23" spans="2:6" x14ac:dyDescent="0.25">
      <c r="B23" t="s">
        <v>30</v>
      </c>
      <c r="C23" s="1">
        <f>'BCI FondRendir'!F154</f>
        <v>9263739.0999999996</v>
      </c>
      <c r="D23" s="5">
        <f t="shared" si="0"/>
        <v>36907.327091633466</v>
      </c>
    </row>
    <row r="24" spans="2:6" s="194" customFormat="1" x14ac:dyDescent="0.25">
      <c r="B24" t="str">
        <f>'BCI FondRendir'!B149</f>
        <v>Gastos Operación</v>
      </c>
      <c r="C24" s="1">
        <f>+'BCI FondRendir'!F149</f>
        <v>481666</v>
      </c>
      <c r="D24" s="5">
        <f>C24/$D$4</f>
        <v>1918.988047808765</v>
      </c>
    </row>
    <row r="25" spans="2:6" x14ac:dyDescent="0.25">
      <c r="B25" s="14" t="s">
        <v>21</v>
      </c>
      <c r="C25" s="15"/>
      <c r="D25" s="5">
        <f t="shared" ref="D25:D26" si="1">C25/$D$4</f>
        <v>0</v>
      </c>
    </row>
    <row r="26" spans="2:6" x14ac:dyDescent="0.25">
      <c r="B26" s="14" t="s">
        <v>39</v>
      </c>
      <c r="C26" s="1">
        <f>'BCI FondRendir'!F148</f>
        <v>1489738</v>
      </c>
      <c r="D26" s="5">
        <f t="shared" si="1"/>
        <v>5935.2111553784862</v>
      </c>
    </row>
    <row r="27" spans="2:6" x14ac:dyDescent="0.25">
      <c r="B27" s="6" t="s">
        <v>18</v>
      </c>
      <c r="C27" s="8">
        <f>SUM(C28:C29)</f>
        <v>4366842</v>
      </c>
      <c r="D27" s="8">
        <f>C27/D4</f>
        <v>17397.77689243028</v>
      </c>
    </row>
    <row r="28" spans="2:6" x14ac:dyDescent="0.25">
      <c r="B28" t="s">
        <v>19</v>
      </c>
      <c r="C28" s="1">
        <f>+'BCI FondRendir'!F152</f>
        <v>4366842</v>
      </c>
      <c r="E28" s="109"/>
    </row>
    <row r="29" spans="2:6" x14ac:dyDescent="0.25">
      <c r="C29" s="1"/>
    </row>
    <row r="30" spans="2:6" x14ac:dyDescent="0.25">
      <c r="B30" s="6" t="s">
        <v>11</v>
      </c>
      <c r="C30" s="7">
        <f>SUM(C31:C32)</f>
        <v>0</v>
      </c>
      <c r="D30" s="8">
        <f>C30/D4</f>
        <v>0</v>
      </c>
      <c r="E30" s="5">
        <f>+D27+D22</f>
        <v>62159.303187250996</v>
      </c>
      <c r="F30">
        <f>+E30/650</f>
        <v>95.629697211155374</v>
      </c>
    </row>
    <row r="31" spans="2:6" x14ac:dyDescent="0.25">
      <c r="B31" t="s">
        <v>11</v>
      </c>
      <c r="C31" s="1">
        <f>-'BCI FondRendir'!F151</f>
        <v>0</v>
      </c>
    </row>
    <row r="32" spans="2:6" x14ac:dyDescent="0.25">
      <c r="B32" t="s">
        <v>110</v>
      </c>
      <c r="C32" s="1"/>
    </row>
    <row r="33" spans="2:13" x14ac:dyDescent="0.25">
      <c r="B33" t="str">
        <f>'BCI FondRendir'!B150</f>
        <v>Impuestos</v>
      </c>
      <c r="C33" s="1">
        <f>+'BCI FondRendir'!F150</f>
        <v>1912103</v>
      </c>
      <c r="D33" s="5">
        <f>C33/$D$4</f>
        <v>7617.9402390438245</v>
      </c>
    </row>
    <row r="35" spans="2:13" x14ac:dyDescent="0.25">
      <c r="B35" s="2" t="s">
        <v>299</v>
      </c>
      <c r="C35" s="10">
        <f>C8-C13-C22-C30-C27</f>
        <v>12302327.610804422</v>
      </c>
    </row>
    <row r="36" spans="2:13" x14ac:dyDescent="0.25">
      <c r="B36" s="2" t="s">
        <v>32</v>
      </c>
      <c r="C36" s="10">
        <f>C33</f>
        <v>1912103</v>
      </c>
      <c r="D36" s="10">
        <f>C35*0.25</f>
        <v>3075581.9027011055</v>
      </c>
    </row>
    <row r="37" spans="2:13" x14ac:dyDescent="0.25">
      <c r="B37" s="2" t="s">
        <v>85</v>
      </c>
      <c r="C37" s="10">
        <f>'BCI FondRendir'!G159</f>
        <v>1541997.06</v>
      </c>
    </row>
    <row r="38" spans="2:13" x14ac:dyDescent="0.25">
      <c r="B38" s="2" t="s">
        <v>86</v>
      </c>
      <c r="C38" s="10">
        <f>Nov!F126</f>
        <v>115237.09</v>
      </c>
    </row>
    <row r="39" spans="2:13" x14ac:dyDescent="0.25">
      <c r="B39" s="16" t="s">
        <v>16</v>
      </c>
      <c r="C39" s="17">
        <f>C35-D36</f>
        <v>9226745.7081033159</v>
      </c>
    </row>
    <row r="40" spans="2:13" x14ac:dyDescent="0.25">
      <c r="B40" s="16" t="s">
        <v>122</v>
      </c>
      <c r="C40" s="10">
        <f>C8-C13-C22</f>
        <v>16669169.610804422</v>
      </c>
      <c r="J40" s="80"/>
      <c r="K40" s="80"/>
      <c r="L40" s="80"/>
      <c r="M40" s="80"/>
    </row>
    <row r="41" spans="2:13" x14ac:dyDescent="0.25">
      <c r="C41" s="20" t="s">
        <v>42</v>
      </c>
      <c r="D41" s="20" t="s">
        <v>43</v>
      </c>
      <c r="E41" s="20" t="s">
        <v>247</v>
      </c>
      <c r="F41" s="20" t="s">
        <v>40</v>
      </c>
      <c r="G41" s="20" t="s">
        <v>41</v>
      </c>
      <c r="J41" s="81"/>
    </row>
    <row r="42" spans="2:13" x14ac:dyDescent="0.25">
      <c r="B42" s="2" t="s">
        <v>33</v>
      </c>
      <c r="C42" s="10"/>
      <c r="D42" s="10"/>
      <c r="E42" s="10"/>
      <c r="F42" s="10"/>
      <c r="G42" s="10"/>
    </row>
    <row r="43" spans="2:13" x14ac:dyDescent="0.25">
      <c r="B43" s="2" t="s">
        <v>47</v>
      </c>
      <c r="C43" s="10"/>
      <c r="D43" s="10"/>
      <c r="E43" s="10"/>
      <c r="F43" s="10"/>
      <c r="G43" s="10"/>
    </row>
    <row r="44" spans="2:13" x14ac:dyDescent="0.25">
      <c r="B44" s="2" t="s">
        <v>34</v>
      </c>
      <c r="C44" s="10"/>
      <c r="D44" s="10"/>
      <c r="E44" s="10"/>
      <c r="F44" s="10"/>
      <c r="G44" s="10"/>
    </row>
    <row r="45" spans="2:13" x14ac:dyDescent="0.25">
      <c r="B45" s="2" t="s">
        <v>35</v>
      </c>
      <c r="C45" s="10"/>
      <c r="D45" s="10"/>
      <c r="E45" s="10"/>
      <c r="F45" s="10"/>
      <c r="G45" s="89"/>
      <c r="I45" s="150"/>
    </row>
    <row r="46" spans="2:13" x14ac:dyDescent="0.25">
      <c r="B46" s="2" t="s">
        <v>268</v>
      </c>
      <c r="C46" s="10"/>
      <c r="D46" s="10"/>
      <c r="E46" s="10"/>
      <c r="F46" s="10"/>
      <c r="G46" s="10">
        <f t="shared" ref="G46:G47" si="2">F46*$D$3</f>
        <v>0</v>
      </c>
      <c r="H46" s="253"/>
      <c r="I46" s="253"/>
      <c r="J46" s="253"/>
      <c r="K46" s="150"/>
      <c r="L46" s="150"/>
      <c r="M46" s="150"/>
    </row>
    <row r="47" spans="2:13" x14ac:dyDescent="0.25">
      <c r="B47" s="2" t="s">
        <v>269</v>
      </c>
      <c r="C47" s="10"/>
      <c r="D47" s="10"/>
      <c r="E47" s="10"/>
      <c r="F47" s="10"/>
      <c r="G47" s="10">
        <f t="shared" si="2"/>
        <v>0</v>
      </c>
      <c r="H47" s="253"/>
      <c r="I47" s="253"/>
      <c r="J47" s="253"/>
      <c r="K47" s="150"/>
      <c r="L47" s="150"/>
      <c r="M47" s="150"/>
    </row>
    <row r="48" spans="2:13" x14ac:dyDescent="0.25">
      <c r="B48" s="2" t="s">
        <v>270</v>
      </c>
      <c r="C48" s="10"/>
      <c r="D48" s="10"/>
      <c r="E48" s="10"/>
      <c r="F48" s="10"/>
      <c r="G48" s="10"/>
      <c r="H48" s="253"/>
      <c r="I48" s="253"/>
      <c r="J48" s="253"/>
      <c r="K48" s="150"/>
      <c r="L48" s="226"/>
      <c r="M48" s="150"/>
    </row>
    <row r="49" spans="1:15" x14ac:dyDescent="0.25">
      <c r="B49" s="2" t="s">
        <v>271</v>
      </c>
      <c r="C49" s="10"/>
      <c r="D49" s="10"/>
      <c r="E49" s="10"/>
      <c r="F49" s="10">
        <f>30000000/26561.4-4000000/26798.14-13500000/27558.46</f>
        <v>490.32672565966504</v>
      </c>
      <c r="G49" s="10">
        <f>F49*$D$3</f>
        <v>13827213.663602555</v>
      </c>
      <c r="H49" s="253"/>
      <c r="I49" s="253"/>
      <c r="J49" s="253"/>
      <c r="K49" s="150"/>
      <c r="L49" s="226"/>
      <c r="M49" s="150"/>
    </row>
    <row r="50" spans="1:15" x14ac:dyDescent="0.25">
      <c r="B50" s="88" t="s">
        <v>81</v>
      </c>
      <c r="C50" s="89">
        <f>SUM(C42:C49)</f>
        <v>0</v>
      </c>
      <c r="D50" s="89">
        <f>SUM(D42:D49)</f>
        <v>0</v>
      </c>
      <c r="E50" s="89">
        <f>SUM(E42:E49)</f>
        <v>0</v>
      </c>
      <c r="F50" s="89"/>
      <c r="G50" s="89"/>
      <c r="H50" s="253"/>
      <c r="I50" s="253"/>
      <c r="J50" s="253"/>
      <c r="K50" s="150"/>
      <c r="L50" s="150"/>
      <c r="M50" s="150"/>
    </row>
    <row r="51" spans="1:15" x14ac:dyDescent="0.25">
      <c r="B51" s="88"/>
      <c r="C51" s="89"/>
      <c r="D51" s="89">
        <f>D50*D3</f>
        <v>0</v>
      </c>
      <c r="E51" s="89"/>
      <c r="F51" s="89"/>
      <c r="G51" s="89"/>
      <c r="I51" s="150"/>
      <c r="J51" s="194"/>
      <c r="K51" s="194"/>
      <c r="L51" s="194"/>
      <c r="M51" s="194"/>
      <c r="N51" s="194"/>
      <c r="O51" s="194"/>
    </row>
    <row r="52" spans="1:15" x14ac:dyDescent="0.25">
      <c r="I52" s="150"/>
      <c r="J52" s="194"/>
      <c r="K52" s="194"/>
      <c r="L52" s="194"/>
      <c r="M52" s="194"/>
      <c r="N52" s="194"/>
      <c r="O52" s="194"/>
    </row>
    <row r="55" spans="1:15" x14ac:dyDescent="0.25">
      <c r="A55" s="109"/>
      <c r="B55" s="109"/>
      <c r="C55" s="109"/>
      <c r="D55" s="109"/>
      <c r="E55" s="109"/>
      <c r="F55" s="109"/>
    </row>
    <row r="56" spans="1:15" x14ac:dyDescent="0.25">
      <c r="A56" s="109"/>
      <c r="B56" s="109"/>
      <c r="C56" s="109"/>
      <c r="D56" s="109"/>
      <c r="E56" s="109"/>
      <c r="F56" s="109"/>
    </row>
    <row r="57" spans="1:15" x14ac:dyDescent="0.25">
      <c r="A57" s="109"/>
      <c r="B57" s="109"/>
      <c r="C57" s="109"/>
      <c r="D57" s="109"/>
      <c r="E57" s="109"/>
      <c r="F57" s="109"/>
    </row>
    <row r="58" spans="1:15" x14ac:dyDescent="0.25">
      <c r="A58" s="109"/>
      <c r="B58" s="109"/>
      <c r="C58" s="109"/>
      <c r="D58" s="109"/>
      <c r="E58" s="109"/>
      <c r="F58" s="109"/>
    </row>
    <row r="59" spans="1:15" x14ac:dyDescent="0.25">
      <c r="A59" s="109"/>
      <c r="B59" s="109"/>
      <c r="C59" s="109"/>
      <c r="D59" s="109"/>
      <c r="E59" s="109"/>
      <c r="F59" s="109"/>
    </row>
    <row r="60" spans="1:15" x14ac:dyDescent="0.25">
      <c r="A60" s="109"/>
      <c r="B60" s="109"/>
      <c r="C60" s="109"/>
      <c r="D60" s="109"/>
      <c r="E60" s="109"/>
      <c r="F60" s="109"/>
    </row>
    <row r="61" spans="1:15" x14ac:dyDescent="0.25">
      <c r="A61" s="109"/>
      <c r="B61" s="109"/>
      <c r="C61" s="109"/>
      <c r="D61" s="109"/>
      <c r="E61" s="109"/>
      <c r="F61" s="109"/>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EZ188"/>
  <sheetViews>
    <sheetView topLeftCell="A49" zoomScale="70" zoomScaleNormal="70" workbookViewId="0">
      <selection activeCell="A42" sqref="A42:V44"/>
    </sheetView>
  </sheetViews>
  <sheetFormatPr baseColWidth="10" defaultColWidth="11.28515625" defaultRowHeight="15" outlineLevelCol="1" x14ac:dyDescent="0.25"/>
  <cols>
    <col min="1" max="1" width="14.140625" style="32" customWidth="1"/>
    <col min="2" max="4" width="9.5703125" style="132" customWidth="1"/>
    <col min="5" max="5" width="26.7109375" style="32" customWidth="1"/>
    <col min="6" max="6" width="10.5703125" style="32" customWidth="1"/>
    <col min="7" max="7" width="16" style="32" customWidth="1"/>
    <col min="8" max="9" width="14.140625" style="34" customWidth="1"/>
    <col min="10" max="10" width="12.5703125" style="32" customWidth="1"/>
    <col min="11" max="11" width="13.7109375" style="33" customWidth="1" outlineLevel="1"/>
    <col min="12" max="12" width="9.5703125" customWidth="1" outlineLevel="1"/>
    <col min="13" max="13" width="12.5703125" style="33" customWidth="1" outlineLevel="1"/>
    <col min="14" max="18" width="9.5703125" style="33" customWidth="1" outlineLevel="1"/>
    <col min="19" max="19" width="13" style="32" customWidth="1"/>
    <col min="20" max="20" width="12.5703125" style="32" customWidth="1"/>
    <col min="21" max="21" width="10.140625" style="35" customWidth="1"/>
    <col min="22" max="22" width="15.7109375" style="32" customWidth="1"/>
    <col min="23" max="23" width="14.28515625" style="132" customWidth="1"/>
    <col min="24" max="24" width="15.28515625" style="132" customWidth="1"/>
    <col min="25" max="25" width="14" style="132" customWidth="1"/>
    <col min="26" max="26" width="21.7109375" style="32" customWidth="1"/>
    <col min="27" max="27" width="11.28515625" style="32"/>
    <col min="28" max="28" width="13.140625" style="32" bestFit="1" customWidth="1"/>
    <col min="29" max="30" width="10.28515625" style="32" bestFit="1" customWidth="1"/>
    <col min="31" max="31" width="15.85546875" style="32" bestFit="1" customWidth="1"/>
    <col min="32" max="16384" width="11.28515625" style="32"/>
  </cols>
  <sheetData>
    <row r="1" spans="1:33" ht="15" customHeight="1" x14ac:dyDescent="0.2">
      <c r="A1" s="227"/>
      <c r="B1" s="360" t="s">
        <v>275</v>
      </c>
      <c r="C1" s="361"/>
      <c r="D1" s="362"/>
      <c r="E1" s="227"/>
      <c r="F1" s="227"/>
      <c r="G1" s="227"/>
      <c r="H1" s="228"/>
      <c r="I1" s="228"/>
      <c r="J1" s="227"/>
      <c r="K1" s="365" t="s">
        <v>78</v>
      </c>
      <c r="L1" s="365"/>
      <c r="M1" s="365" t="s">
        <v>79</v>
      </c>
      <c r="N1" s="365"/>
      <c r="O1" s="365" t="s">
        <v>80</v>
      </c>
      <c r="P1" s="365"/>
      <c r="Q1" s="365" t="s">
        <v>142</v>
      </c>
      <c r="R1" s="365"/>
      <c r="S1" s="227"/>
      <c r="T1" s="227"/>
      <c r="U1" s="231"/>
      <c r="V1" s="227"/>
      <c r="W1" s="227"/>
      <c r="X1" s="227"/>
      <c r="Y1" s="227"/>
    </row>
    <row r="2" spans="1:33" ht="30" customHeight="1" x14ac:dyDescent="0.2">
      <c r="A2" s="227" t="s">
        <v>72</v>
      </c>
      <c r="B2" s="227" t="s">
        <v>272</v>
      </c>
      <c r="C2" s="227" t="s">
        <v>273</v>
      </c>
      <c r="D2" s="227" t="s">
        <v>274</v>
      </c>
      <c r="E2" s="227" t="s">
        <v>0</v>
      </c>
      <c r="F2" s="227" t="s">
        <v>44</v>
      </c>
      <c r="G2" s="227" t="s">
        <v>73</v>
      </c>
      <c r="H2" s="228" t="s">
        <v>1</v>
      </c>
      <c r="I2" s="228" t="s">
        <v>2</v>
      </c>
      <c r="J2" s="228" t="s">
        <v>3</v>
      </c>
      <c r="K2" s="229" t="s">
        <v>74</v>
      </c>
      <c r="L2" s="230" t="s">
        <v>48</v>
      </c>
      <c r="M2" s="229" t="s">
        <v>74</v>
      </c>
      <c r="N2" s="229" t="s">
        <v>48</v>
      </c>
      <c r="O2" s="229" t="e">
        <f>IF(H2="Venta U$",VLOOKUP(A2,Nov!$B$3:$B$111,13,FALSE)+VLOOKUP(A2,Nov!$C$3:$C$111,16,FALSE)+VLOOKUP(A2,Nov!$D$3:$D$111,16,FALSE),VLOOKUP(A2,Nov!$B$3:$B$111,12,FALSE)+VLOOKUP(A2,Nov!$C$3:$C$111,15,FALSE))</f>
        <v>#N/A</v>
      </c>
      <c r="P2" s="229" t="s">
        <v>48</v>
      </c>
      <c r="Q2" s="229" t="s">
        <v>74</v>
      </c>
      <c r="R2" s="229" t="s">
        <v>48</v>
      </c>
      <c r="S2" s="227" t="s">
        <v>75</v>
      </c>
      <c r="T2" s="227" t="s">
        <v>77</v>
      </c>
      <c r="U2" s="231" t="s">
        <v>45</v>
      </c>
      <c r="V2" s="227" t="s">
        <v>143</v>
      </c>
      <c r="W2" s="227" t="s">
        <v>44</v>
      </c>
      <c r="X2" s="227" t="s">
        <v>6</v>
      </c>
      <c r="Y2" s="227" t="s">
        <v>6</v>
      </c>
    </row>
    <row r="3" spans="1:33" s="132" customFormat="1" ht="15" customHeight="1" x14ac:dyDescent="0.25">
      <c r="A3" s="243">
        <v>4179</v>
      </c>
      <c r="B3" s="276">
        <v>1820</v>
      </c>
      <c r="C3" s="276"/>
      <c r="D3" s="276"/>
      <c r="E3" s="244" t="s">
        <v>370</v>
      </c>
      <c r="F3" s="244" t="s">
        <v>223</v>
      </c>
      <c r="G3" s="244">
        <v>1847738112</v>
      </c>
      <c r="H3" s="245">
        <v>43770</v>
      </c>
      <c r="I3" s="245">
        <v>43771</v>
      </c>
      <c r="J3" s="244">
        <v>1</v>
      </c>
      <c r="K3" s="246"/>
      <c r="L3" s="247"/>
      <c r="M3" s="246"/>
      <c r="N3" s="246"/>
      <c r="O3" s="246"/>
      <c r="P3" s="246"/>
      <c r="Q3" s="246"/>
      <c r="R3" s="246">
        <v>190</v>
      </c>
      <c r="S3" s="137">
        <f t="shared" ref="S3:S9" si="0">L3+N3+P3+R3</f>
        <v>190</v>
      </c>
      <c r="T3" s="137">
        <f t="shared" ref="T3:T7" si="1">M3+O3+K3+Q3</f>
        <v>0</v>
      </c>
      <c r="U3" s="135">
        <f>IF(J3=0,(S3+T3/EERR!$D$2/1.19),(S3+T3/EERR!$D$2/1.19)/J3)</f>
        <v>190</v>
      </c>
      <c r="V3" s="137">
        <f>T3+S3*EERR!$D$2</f>
        <v>147540.69999999998</v>
      </c>
      <c r="W3" s="132">
        <f ca="1">SUMIF(Siteminder!$A$5:$J$164,Nov!G3,Siteminder!$M$5:$M$164)</f>
        <v>1</v>
      </c>
      <c r="X3" s="250">
        <f>SUMIF(Transbank!$A$2:$A$462,B3,Transbank!$L$2:$L$462)+SUMIF(Transbank!$A$2:$A$462,C3,Transbank!$L$2:$L$462)+SUMIF(Transbank!$A$2:$A$462,D3,Transbank!$L$2:$L$462)+(K3+O3)+(L3+P3)*EERR!$D$2</f>
        <v>147540.69999999998</v>
      </c>
      <c r="Y3" s="250">
        <f>X3/EERR!$D$2</f>
        <v>189.99999999999997</v>
      </c>
      <c r="Z3" s="260">
        <f t="shared" ref="Z3:Z68" si="2">+X3-V3</f>
        <v>0</v>
      </c>
      <c r="AA3" s="132">
        <f>+Z3/EERR!$D$2</f>
        <v>0</v>
      </c>
    </row>
    <row r="4" spans="1:33" s="132" customFormat="1" ht="15" customHeight="1" x14ac:dyDescent="0.25">
      <c r="A4" s="243">
        <v>4181</v>
      </c>
      <c r="B4" s="276">
        <v>1824</v>
      </c>
      <c r="C4" s="276">
        <v>133</v>
      </c>
      <c r="D4" s="276"/>
      <c r="E4" s="244" t="s">
        <v>1096</v>
      </c>
      <c r="F4" s="244" t="s">
        <v>223</v>
      </c>
      <c r="G4" s="244">
        <v>2611406488</v>
      </c>
      <c r="H4" s="245">
        <v>43771</v>
      </c>
      <c r="I4" s="245">
        <v>43777</v>
      </c>
      <c r="J4" s="244">
        <v>6</v>
      </c>
      <c r="K4" s="246"/>
      <c r="L4" s="247"/>
      <c r="M4" s="246"/>
      <c r="N4" s="246">
        <v>1100</v>
      </c>
      <c r="O4" s="246"/>
      <c r="P4" s="246"/>
      <c r="Q4" s="246"/>
      <c r="R4" s="246">
        <v>240</v>
      </c>
      <c r="S4" s="137">
        <f t="shared" si="0"/>
        <v>1340</v>
      </c>
      <c r="T4" s="137">
        <f t="shared" si="1"/>
        <v>0</v>
      </c>
      <c r="U4" s="135">
        <f>IF(J4=0,(S4+T4/EERR!$D$2/1.19),(S4+T4/EERR!$D$2/1.19)/J4)</f>
        <v>223.33333333333334</v>
      </c>
      <c r="V4" s="137">
        <f>T4+S4*EERR!$D$2</f>
        <v>1040550.2</v>
      </c>
      <c r="W4" s="132">
        <f ca="1">SUMIF(Siteminder!$A$5:$J$164,Nov!G4,Siteminder!$M$5:$M$164)</f>
        <v>6</v>
      </c>
      <c r="X4" s="250">
        <f>SUMIF(Transbank!$A$2:$A$462,B4,Transbank!$L$2:$L$462)+SUMIF(Transbank!$A$2:$A$462,C4,Transbank!$L$2:$L$462)+SUMIF(Transbank!$A$2:$A$462,D4,Transbank!$L$2:$L$462)+(K4+O4)+(L4+P4)*EERR!$D$2</f>
        <v>1040550.2</v>
      </c>
      <c r="Y4" s="250">
        <f>X4/EERR!$D$2</f>
        <v>1340</v>
      </c>
      <c r="Z4" s="260">
        <f t="shared" si="2"/>
        <v>0</v>
      </c>
      <c r="AA4" s="132">
        <f>+Z4/EERR!$D$2</f>
        <v>0</v>
      </c>
      <c r="AF4" s="132">
        <v>1120</v>
      </c>
      <c r="AG4" s="132">
        <v>5</v>
      </c>
    </row>
    <row r="5" spans="1:33" s="132" customFormat="1" ht="15" customHeight="1" x14ac:dyDescent="0.25">
      <c r="A5" s="243">
        <v>4183</v>
      </c>
      <c r="B5" s="276">
        <v>135</v>
      </c>
      <c r="C5" s="276"/>
      <c r="D5" s="276"/>
      <c r="E5" s="244" t="s">
        <v>1097</v>
      </c>
      <c r="F5" s="244" t="s">
        <v>223</v>
      </c>
      <c r="G5" s="244">
        <v>3468268554</v>
      </c>
      <c r="H5" s="245">
        <v>43772</v>
      </c>
      <c r="I5" s="245">
        <v>43773</v>
      </c>
      <c r="J5" s="244">
        <v>1</v>
      </c>
      <c r="K5" s="246"/>
      <c r="L5" s="247"/>
      <c r="M5" s="246"/>
      <c r="N5" s="246"/>
      <c r="O5" s="246"/>
      <c r="P5" s="246"/>
      <c r="Q5" s="246"/>
      <c r="R5" s="246">
        <v>198</v>
      </c>
      <c r="S5" s="137">
        <f t="shared" si="0"/>
        <v>198</v>
      </c>
      <c r="T5" s="137">
        <f t="shared" si="1"/>
        <v>0</v>
      </c>
      <c r="U5" s="135">
        <f>IF(J5=0,(S5+T5/EERR!$D$2/1.19),(S5+T5/EERR!$D$2/1.19)/J5)</f>
        <v>198</v>
      </c>
      <c r="V5" s="137">
        <f>T5+S5*EERR!$D$2</f>
        <v>153752.94</v>
      </c>
      <c r="W5" s="132">
        <f ca="1">SUMIF(Siteminder!$A$5:$J$164,Nov!G5,Siteminder!$M$5:$M$164)</f>
        <v>1</v>
      </c>
      <c r="X5" s="250">
        <f>SUMIF(Transbank!$A$2:$A$462,B5,Transbank!$L$2:$L$462)+SUMIF(Transbank!$A$2:$A$462,C5,Transbank!$L$2:$L$462)+SUMIF(Transbank!$A$2:$A$462,D5,Transbank!$L$2:$L$462)+(K5+O5)+(L5+P5)*EERR!$D$2</f>
        <v>153752.94</v>
      </c>
      <c r="Y5" s="250">
        <f>X5/EERR!$D$2</f>
        <v>198</v>
      </c>
      <c r="Z5" s="260">
        <f t="shared" si="2"/>
        <v>0</v>
      </c>
      <c r="AA5" s="132">
        <f>+Z5/EERR!$D$2</f>
        <v>0</v>
      </c>
      <c r="AC5" s="318"/>
      <c r="AD5" s="318"/>
      <c r="AF5" s="132">
        <v>960</v>
      </c>
      <c r="AG5" s="132">
        <v>4</v>
      </c>
    </row>
    <row r="6" spans="1:33" s="132" customFormat="1" ht="15" customHeight="1" x14ac:dyDescent="0.25">
      <c r="A6" s="243">
        <v>4189</v>
      </c>
      <c r="B6" s="276">
        <v>15</v>
      </c>
      <c r="C6" s="276">
        <v>140</v>
      </c>
      <c r="D6" s="276"/>
      <c r="E6" s="244" t="s">
        <v>1098</v>
      </c>
      <c r="F6" s="244" t="s">
        <v>223</v>
      </c>
      <c r="G6" s="244">
        <v>2260881681</v>
      </c>
      <c r="H6" s="245">
        <v>43773</v>
      </c>
      <c r="I6" s="245">
        <v>43775</v>
      </c>
      <c r="J6" s="244">
        <v>2</v>
      </c>
      <c r="K6" s="246"/>
      <c r="L6" s="247"/>
      <c r="M6" s="246"/>
      <c r="N6" s="246">
        <v>220</v>
      </c>
      <c r="O6" s="246"/>
      <c r="P6" s="246"/>
      <c r="Q6" s="246"/>
      <c r="R6" s="246">
        <v>220</v>
      </c>
      <c r="S6" s="137">
        <f t="shared" si="0"/>
        <v>440</v>
      </c>
      <c r="T6" s="137">
        <f t="shared" si="1"/>
        <v>0</v>
      </c>
      <c r="U6" s="135">
        <f>IF(J6=0,(S6+T6/EERR!$D$2/1.19),(S6+T6/EERR!$D$2/1.19)/J6)</f>
        <v>220</v>
      </c>
      <c r="V6" s="137">
        <f>T6+S6*EERR!$D$2</f>
        <v>341673.2</v>
      </c>
      <c r="W6" s="132">
        <f ca="1">SUMIF(Siteminder!$A$5:$J$164,Nov!G6,Siteminder!$M$5:$M$164)</f>
        <v>2</v>
      </c>
      <c r="X6" s="250">
        <f>SUMIF(Transbank!$A$2:$A$462,B6,Transbank!$L$2:$L$462)+SUMIF(Transbank!$A$2:$A$462,C6,Transbank!$L$2:$L$462)+SUMIF(Transbank!$A$2:$A$462,D6,Transbank!$L$2:$L$462)+(K6+O6)+(L6+P6)*EERR!$D$2</f>
        <v>341673.2</v>
      </c>
      <c r="Y6" s="250">
        <f>X6/EERR!$D$2</f>
        <v>440.00000000000006</v>
      </c>
      <c r="Z6" s="260">
        <f t="shared" si="2"/>
        <v>0</v>
      </c>
      <c r="AA6" s="132">
        <f>+Z6/EERR!$D$2</f>
        <v>0</v>
      </c>
      <c r="AB6" s="132">
        <v>1279844007</v>
      </c>
      <c r="AC6" s="318">
        <v>43705</v>
      </c>
      <c r="AD6" s="318">
        <v>43711</v>
      </c>
      <c r="AE6" s="132" t="s">
        <v>314</v>
      </c>
      <c r="AF6" s="132">
        <v>1320</v>
      </c>
      <c r="AG6" s="132">
        <v>6</v>
      </c>
    </row>
    <row r="7" spans="1:33" s="132" customFormat="1" ht="15" customHeight="1" x14ac:dyDescent="0.25">
      <c r="A7" s="243">
        <v>4190</v>
      </c>
      <c r="B7" s="276">
        <v>9</v>
      </c>
      <c r="C7" s="276">
        <v>143</v>
      </c>
      <c r="D7" s="276">
        <v>145</v>
      </c>
      <c r="E7" s="244" t="s">
        <v>1099</v>
      </c>
      <c r="F7" s="244" t="s">
        <v>223</v>
      </c>
      <c r="G7" s="244">
        <v>1662181693</v>
      </c>
      <c r="H7" s="245">
        <v>43773</v>
      </c>
      <c r="I7" s="245">
        <v>43777</v>
      </c>
      <c r="J7" s="244">
        <v>8</v>
      </c>
      <c r="K7" s="246"/>
      <c r="L7" s="247"/>
      <c r="M7" s="246"/>
      <c r="N7" s="246">
        <v>1230</v>
      </c>
      <c r="O7" s="246"/>
      <c r="P7" s="246"/>
      <c r="Q7" s="246"/>
      <c r="R7" s="246">
        <v>440</v>
      </c>
      <c r="S7" s="137">
        <f t="shared" si="0"/>
        <v>1670</v>
      </c>
      <c r="T7" s="137">
        <f t="shared" si="1"/>
        <v>0</v>
      </c>
      <c r="U7" s="135">
        <f>IF(J7=0,(S7+T7/EERR!$D$2/1.19),(S7+T7/EERR!$D$2/1.19)/J7)</f>
        <v>208.75</v>
      </c>
      <c r="V7" s="137">
        <f>T7+S7*EERR!$D$2</f>
        <v>1296805.0999999999</v>
      </c>
      <c r="W7" s="132">
        <f ca="1">SUMIF(Siteminder!$A$5:$J$164,Nov!G7,Siteminder!$M$5:$M$164)</f>
        <v>8</v>
      </c>
      <c r="X7" s="250">
        <f>SUMIF(Transbank!$A$2:$A$462,B7,Transbank!$L$2:$L$462)+SUMIF(Transbank!$A$2:$A$462,C7,Transbank!$L$2:$L$462)+SUMIF(Transbank!$A$2:$A$462,D7,Transbank!$L$2:$L$462)+(K7+O7)+(L7+P7)*EERR!$D$2</f>
        <v>1114320.55</v>
      </c>
      <c r="Y7" s="250">
        <f>X7/EERR!$D$2</f>
        <v>1435</v>
      </c>
      <c r="Z7" s="260">
        <f t="shared" si="2"/>
        <v>-182484.54999999981</v>
      </c>
      <c r="AA7" s="132">
        <f>+Z7/EERR!$D$2</f>
        <v>-234.99999999999977</v>
      </c>
      <c r="AC7" s="318"/>
      <c r="AD7" s="318"/>
      <c r="AF7" s="132">
        <v>195</v>
      </c>
      <c r="AG7" s="132">
        <v>1</v>
      </c>
    </row>
    <row r="8" spans="1:33" s="132" customFormat="1" ht="15" customHeight="1" x14ac:dyDescent="0.25">
      <c r="A8" s="243">
        <v>4190</v>
      </c>
      <c r="B8" s="276">
        <v>144</v>
      </c>
      <c r="C8" s="276"/>
      <c r="D8" s="276"/>
      <c r="E8" s="244" t="s">
        <v>1099</v>
      </c>
      <c r="F8" s="244"/>
      <c r="G8" s="244"/>
      <c r="H8" s="245"/>
      <c r="I8" s="245"/>
      <c r="J8" s="244"/>
      <c r="K8" s="246"/>
      <c r="L8" s="247"/>
      <c r="M8" s="246"/>
      <c r="N8" s="246"/>
      <c r="O8" s="246"/>
      <c r="P8" s="246"/>
      <c r="Q8" s="246"/>
      <c r="R8" s="246"/>
      <c r="S8" s="137">
        <f t="shared" ref="S8" si="3">L8+N8+P8+R8</f>
        <v>0</v>
      </c>
      <c r="T8" s="137">
        <f t="shared" ref="T8" si="4">M8+O8+K8+Q8</f>
        <v>0</v>
      </c>
      <c r="U8" s="135">
        <f>IF(J8=0,(S8+T8/EERR!$D$2/1.19),(S8+T8/EERR!$D$2/1.19)/J8)</f>
        <v>0</v>
      </c>
      <c r="V8" s="137">
        <f>T8+S8*EERR!$D$2</f>
        <v>0</v>
      </c>
      <c r="W8" s="132">
        <f ca="1">SUMIF(Siteminder!$A$5:$J$164,Nov!G8,Siteminder!$M$5:$M$164)</f>
        <v>0</v>
      </c>
      <c r="X8" s="250">
        <f>SUMIF(Transbank!$A$2:$A$462,B8,Transbank!$L$2:$L$462)+SUMIF(Transbank!$A$2:$A$462,C8,Transbank!$L$2:$L$462)+SUMIF(Transbank!$A$2:$A$462,D8,Transbank!$L$2:$L$462)+(K8+O8)+(L8+P8)*EERR!$D$2</f>
        <v>159188.65</v>
      </c>
      <c r="Y8" s="250">
        <f>X8/EERR!$D$2</f>
        <v>205</v>
      </c>
      <c r="Z8" s="260"/>
      <c r="AA8" s="132">
        <f>+Z8/EERR!$D$2</f>
        <v>0</v>
      </c>
      <c r="AC8" s="318"/>
      <c r="AD8" s="318"/>
    </row>
    <row r="9" spans="1:33" s="132" customFormat="1" ht="15" customHeight="1" x14ac:dyDescent="0.25">
      <c r="A9" s="243">
        <v>4192</v>
      </c>
      <c r="B9" s="276">
        <v>12</v>
      </c>
      <c r="C9" s="276">
        <v>149</v>
      </c>
      <c r="D9" s="276"/>
      <c r="E9" s="244" t="s">
        <v>1100</v>
      </c>
      <c r="F9" s="244" t="s">
        <v>223</v>
      </c>
      <c r="G9" s="244">
        <v>3912484980</v>
      </c>
      <c r="H9" s="245">
        <v>43774</v>
      </c>
      <c r="I9" s="245">
        <v>43777</v>
      </c>
      <c r="J9" s="244">
        <v>3</v>
      </c>
      <c r="K9" s="246"/>
      <c r="L9" s="247"/>
      <c r="M9" s="246"/>
      <c r="N9" s="246">
        <v>440</v>
      </c>
      <c r="O9" s="246"/>
      <c r="P9" s="246"/>
      <c r="Q9" s="246"/>
      <c r="R9" s="246">
        <v>220</v>
      </c>
      <c r="S9" s="137">
        <f t="shared" si="0"/>
        <v>660</v>
      </c>
      <c r="T9" s="137">
        <f t="shared" ref="T9" si="5">M9+O9+K9+Q9</f>
        <v>0</v>
      </c>
      <c r="U9" s="135">
        <f>IF(J9=0,(S9+T9/EERR!$D$2/1.19),(S9+T9/EERR!$D$2/1.19)/J9)</f>
        <v>220</v>
      </c>
      <c r="V9" s="137">
        <f>T9+S9*EERR!$D$2</f>
        <v>512509.8</v>
      </c>
      <c r="W9" s="132">
        <f ca="1">SUMIF(Siteminder!$A$5:$J$164,Nov!G9,Siteminder!$M$5:$M$164)</f>
        <v>3</v>
      </c>
      <c r="X9" s="250">
        <f>SUMIF(Transbank!$A$2:$A$462,B9,Transbank!$L$2:$L$462)+SUMIF(Transbank!$A$2:$A$462,C9,Transbank!$L$2:$L$462)+SUMIF(Transbank!$A$2:$A$462,D9,Transbank!$L$2:$L$462)+(K9+O9)+(L9+P9)*EERR!$D$2</f>
        <v>512509.80000000005</v>
      </c>
      <c r="Y9" s="250">
        <f>X9/EERR!$D$2</f>
        <v>660.00000000000011</v>
      </c>
      <c r="Z9" s="260">
        <f t="shared" si="2"/>
        <v>0</v>
      </c>
      <c r="AA9" s="132">
        <f>+Z9/EERR!$D$2</f>
        <v>0</v>
      </c>
      <c r="AC9" s="318"/>
      <c r="AD9" s="318"/>
    </row>
    <row r="10" spans="1:33" s="132" customFormat="1" ht="15" customHeight="1" x14ac:dyDescent="0.25">
      <c r="A10" s="243">
        <v>4194</v>
      </c>
      <c r="B10" s="276">
        <v>3</v>
      </c>
      <c r="C10" s="276">
        <v>151</v>
      </c>
      <c r="D10" s="276"/>
      <c r="E10" s="244" t="s">
        <v>1101</v>
      </c>
      <c r="F10" s="244" t="s">
        <v>223</v>
      </c>
      <c r="G10" s="244">
        <v>2628549654</v>
      </c>
      <c r="H10" s="245">
        <v>43775</v>
      </c>
      <c r="I10" s="245">
        <v>43780</v>
      </c>
      <c r="J10" s="244">
        <v>5</v>
      </c>
      <c r="K10" s="246"/>
      <c r="L10" s="247"/>
      <c r="M10" s="246"/>
      <c r="N10" s="246">
        <v>880</v>
      </c>
      <c r="O10" s="246"/>
      <c r="P10" s="246"/>
      <c r="Q10" s="246"/>
      <c r="R10" s="246">
        <v>220</v>
      </c>
      <c r="S10" s="137">
        <f t="shared" ref="S10:S65" si="6">L10+N10+P10+R10</f>
        <v>1100</v>
      </c>
      <c r="T10" s="137">
        <f t="shared" ref="T10:T65" si="7">M10+O10+K10+Q10</f>
        <v>0</v>
      </c>
      <c r="U10" s="135">
        <f>IF(J10=0,(S10+T10/EERR!$D$2/1.19),(S10+T10/EERR!$D$2/1.19)/J10)</f>
        <v>220</v>
      </c>
      <c r="V10" s="137">
        <f>T10+S10*EERR!$D$2</f>
        <v>854183</v>
      </c>
      <c r="W10" s="132">
        <f ca="1">SUMIF(Siteminder!$A$5:$J$164,Nov!G10,Siteminder!$M$5:$M$164)</f>
        <v>5</v>
      </c>
      <c r="X10" s="250">
        <f>SUMIF(Transbank!$A$2:$A$462,B10,Transbank!$L$2:$L$462)+SUMIF(Transbank!$A$2:$A$462,C10,Transbank!$L$2:$L$462)+SUMIF(Transbank!$A$2:$A$462,D10,Transbank!$L$2:$L$462)+(K10+O10)+(L10+P10)*EERR!$D$2</f>
        <v>854183</v>
      </c>
      <c r="Y10" s="250">
        <f>X10/EERR!$D$2</f>
        <v>1100</v>
      </c>
      <c r="Z10" s="260">
        <f t="shared" si="2"/>
        <v>0</v>
      </c>
      <c r="AA10" s="132">
        <f>+Z10/EERR!$D$2</f>
        <v>0</v>
      </c>
      <c r="AB10" s="132">
        <v>1305097443</v>
      </c>
      <c r="AC10" s="318">
        <v>43678</v>
      </c>
      <c r="AD10" s="318">
        <v>43679</v>
      </c>
      <c r="AE10" s="132" t="s">
        <v>315</v>
      </c>
      <c r="AF10" s="132">
        <v>195</v>
      </c>
      <c r="AG10" s="132">
        <v>1</v>
      </c>
    </row>
    <row r="11" spans="1:33" s="132" customFormat="1" ht="15" customHeight="1" x14ac:dyDescent="0.25">
      <c r="A11" s="243">
        <v>4193</v>
      </c>
      <c r="B11" s="276">
        <v>14</v>
      </c>
      <c r="C11" s="276"/>
      <c r="D11" s="276"/>
      <c r="E11" s="244" t="s">
        <v>371</v>
      </c>
      <c r="F11" s="244" t="s">
        <v>223</v>
      </c>
      <c r="G11" s="244">
        <v>3756821918</v>
      </c>
      <c r="H11" s="245">
        <v>43776</v>
      </c>
      <c r="I11" s="245">
        <v>43777</v>
      </c>
      <c r="J11" s="244">
        <v>1</v>
      </c>
      <c r="K11" s="246"/>
      <c r="L11" s="247"/>
      <c r="M11" s="246"/>
      <c r="N11" s="246"/>
      <c r="O11" s="246"/>
      <c r="P11" s="246"/>
      <c r="Q11" s="246"/>
      <c r="R11" s="246">
        <v>220</v>
      </c>
      <c r="S11" s="137">
        <f t="shared" si="6"/>
        <v>220</v>
      </c>
      <c r="T11" s="137">
        <f t="shared" si="7"/>
        <v>0</v>
      </c>
      <c r="U11" s="135">
        <f>IF(J11=0,(S11+T11/EERR!$D$2/1.19),(S11+T11/EERR!$D$2/1.19)/J11)</f>
        <v>220</v>
      </c>
      <c r="V11" s="137">
        <f>T11+S11*EERR!$D$2</f>
        <v>170836.6</v>
      </c>
      <c r="W11" s="132">
        <f ca="1">SUMIF(Siteminder!$A$5:$J$164,Nov!G11,Siteminder!$M$5:$M$164)</f>
        <v>1</v>
      </c>
      <c r="X11" s="250">
        <f>SUMIF(Transbank!$A$2:$A$462,B11,Transbank!$L$2:$L$462)+SUMIF(Transbank!$A$2:$A$462,C11,Transbank!$L$2:$L$462)+SUMIF(Transbank!$A$2:$A$462,D11,Transbank!$L$2:$L$462)+(K11+O11)+(L11+P11)*EERR!$D$2</f>
        <v>170836.6</v>
      </c>
      <c r="Y11" s="250">
        <f>X11/EERR!$D$2</f>
        <v>220.00000000000003</v>
      </c>
      <c r="Z11" s="260">
        <f t="shared" si="2"/>
        <v>0</v>
      </c>
      <c r="AA11" s="132">
        <f>+Z11/EERR!$D$2</f>
        <v>0</v>
      </c>
      <c r="AC11" s="318"/>
      <c r="AD11" s="318"/>
    </row>
    <row r="12" spans="1:33" s="132" customFormat="1" ht="15" customHeight="1" x14ac:dyDescent="0.25">
      <c r="A12" s="243">
        <v>4180</v>
      </c>
      <c r="B12" s="276">
        <v>134</v>
      </c>
      <c r="C12" s="276">
        <v>17</v>
      </c>
      <c r="D12" s="276"/>
      <c r="E12" s="244" t="s">
        <v>1096</v>
      </c>
      <c r="F12" s="244" t="s">
        <v>223</v>
      </c>
      <c r="G12" s="244">
        <v>3010621357</v>
      </c>
      <c r="H12" s="245">
        <v>43777</v>
      </c>
      <c r="I12" s="245">
        <v>43779</v>
      </c>
      <c r="J12" s="244">
        <v>2</v>
      </c>
      <c r="K12" s="246"/>
      <c r="L12" s="247"/>
      <c r="M12" s="246"/>
      <c r="N12" s="246">
        <v>220</v>
      </c>
      <c r="O12" s="246"/>
      <c r="P12" s="246"/>
      <c r="Q12" s="246"/>
      <c r="R12" s="246">
        <v>220</v>
      </c>
      <c r="S12" s="137">
        <f t="shared" si="6"/>
        <v>440</v>
      </c>
      <c r="T12" s="137">
        <f t="shared" si="7"/>
        <v>0</v>
      </c>
      <c r="U12" s="135">
        <f>IF(J12=0,(S12+T12/EERR!$D$2/1.19),(S12+T12/EERR!$D$2/1.19)/J12)</f>
        <v>220</v>
      </c>
      <c r="V12" s="137">
        <f>T12+S12*EERR!$D$2</f>
        <v>341673.2</v>
      </c>
      <c r="W12" s="132">
        <f ca="1">SUMIF(Siteminder!$A$5:$J$164,Nov!G12,Siteminder!$M$5:$M$164)</f>
        <v>2</v>
      </c>
      <c r="X12" s="250">
        <f>SUMIF(Transbank!$A$2:$A$462,B12,Transbank!$L$2:$L$462)+SUMIF(Transbank!$A$2:$A$462,C12,Transbank!$L$2:$L$462)+SUMIF(Transbank!$A$2:$A$462,D12,Transbank!$L$2:$L$462)+(K12+O12)+(L12+P12)*EERR!$D$2</f>
        <v>341673.2</v>
      </c>
      <c r="Y12" s="250">
        <f>X12/EERR!$D$2</f>
        <v>440.00000000000006</v>
      </c>
      <c r="Z12" s="260">
        <f t="shared" si="2"/>
        <v>0</v>
      </c>
      <c r="AA12" s="132">
        <f>+Z12/EERR!$D$2</f>
        <v>0</v>
      </c>
      <c r="AC12" s="318"/>
      <c r="AD12" s="318"/>
    </row>
    <row r="13" spans="1:33" s="132" customFormat="1" ht="15" customHeight="1" x14ac:dyDescent="0.25">
      <c r="A13" s="243">
        <v>4195</v>
      </c>
      <c r="B13" s="276">
        <v>158</v>
      </c>
      <c r="C13" s="276">
        <v>18</v>
      </c>
      <c r="D13" s="276"/>
      <c r="E13" s="244" t="s">
        <v>1102</v>
      </c>
      <c r="F13" s="244" t="s">
        <v>223</v>
      </c>
      <c r="G13" s="244">
        <v>2895706800</v>
      </c>
      <c r="H13" s="245">
        <v>43777</v>
      </c>
      <c r="I13" s="245">
        <v>43779</v>
      </c>
      <c r="J13" s="244">
        <v>2</v>
      </c>
      <c r="K13" s="246"/>
      <c r="L13" s="247"/>
      <c r="M13" s="246"/>
      <c r="N13" s="246">
        <v>220</v>
      </c>
      <c r="O13" s="246"/>
      <c r="P13" s="246"/>
      <c r="Q13" s="246"/>
      <c r="R13" s="246">
        <v>220</v>
      </c>
      <c r="S13" s="137">
        <f t="shared" ref="S13:S42" si="8">L13+N13+P13+R13</f>
        <v>440</v>
      </c>
      <c r="T13" s="137">
        <f t="shared" ref="T13:T42" si="9">M13+O13+K13+Q13</f>
        <v>0</v>
      </c>
      <c r="U13" s="135">
        <f>IF(J13=0,(S13+T13/EERR!$D$2/1.19),(S13+T13/EERR!$D$2/1.19)/J13)</f>
        <v>220</v>
      </c>
      <c r="V13" s="137">
        <f>T13+S13*EERR!$D$2</f>
        <v>341673.2</v>
      </c>
      <c r="W13" s="132">
        <f ca="1">SUMIF(Siteminder!$A$5:$J$164,Nov!G13,Siteminder!$M$5:$M$164)</f>
        <v>2</v>
      </c>
      <c r="X13" s="250">
        <f>SUMIF(Transbank!$A$2:$A$462,B13,Transbank!$L$2:$L$462)+SUMIF(Transbank!$A$2:$A$462,C13,Transbank!$L$2:$L$462)+SUMIF(Transbank!$A$2:$A$462,D13,Transbank!$L$2:$L$462)+(K13+O13)+(L13+P13)*EERR!$D$2</f>
        <v>341673.2</v>
      </c>
      <c r="Y13" s="250">
        <f>X13/EERR!$D$2</f>
        <v>440.00000000000006</v>
      </c>
      <c r="Z13" s="260">
        <f t="shared" si="2"/>
        <v>0</v>
      </c>
      <c r="AA13" s="132">
        <f>+Z13/EERR!$D$2</f>
        <v>0</v>
      </c>
      <c r="AC13" s="318"/>
      <c r="AD13" s="318"/>
    </row>
    <row r="14" spans="1:33" s="132" customFormat="1" ht="15" customHeight="1" x14ac:dyDescent="0.25">
      <c r="A14" s="243">
        <v>4197</v>
      </c>
      <c r="B14" s="276">
        <v>26</v>
      </c>
      <c r="C14" s="276">
        <v>161</v>
      </c>
      <c r="D14" s="276"/>
      <c r="E14" s="244" t="s">
        <v>1103</v>
      </c>
      <c r="F14" s="244" t="s">
        <v>223</v>
      </c>
      <c r="G14" s="244">
        <v>3919296905</v>
      </c>
      <c r="H14" s="245">
        <v>43778</v>
      </c>
      <c r="I14" s="245">
        <v>43784</v>
      </c>
      <c r="J14" s="244">
        <v>6</v>
      </c>
      <c r="K14" s="246"/>
      <c r="L14" s="247"/>
      <c r="M14" s="246"/>
      <c r="N14" s="246">
        <v>1120</v>
      </c>
      <c r="O14" s="246"/>
      <c r="P14" s="246"/>
      <c r="Q14" s="246"/>
      <c r="R14" s="246">
        <v>220</v>
      </c>
      <c r="S14" s="137">
        <f t="shared" si="8"/>
        <v>1340</v>
      </c>
      <c r="T14" s="137">
        <f t="shared" si="9"/>
        <v>0</v>
      </c>
      <c r="U14" s="135">
        <f>IF(J14=0,(S14+T14/EERR!$D$2/1.19),(S14+T14/EERR!$D$2/1.19)/J14)</f>
        <v>223.33333333333334</v>
      </c>
      <c r="V14" s="137">
        <f>T14+S14*EERR!$D$2</f>
        <v>1040550.2</v>
      </c>
      <c r="W14" s="132">
        <f ca="1">SUMIF(Siteminder!$A$5:$J$164,Nov!G14,Siteminder!$M$5:$M$164)</f>
        <v>6</v>
      </c>
      <c r="X14" s="250">
        <f>SUMIF(Transbank!$A$2:$A$462,B14,Transbank!$L$2:$L$462)+SUMIF(Transbank!$A$2:$A$462,C14,Transbank!$L$2:$L$462)+SUMIF(Transbank!$A$2:$A$462,D14,Transbank!$L$2:$L$462)+(K14+O14)+(L14+P14)*EERR!$D$2</f>
        <v>1040550.2</v>
      </c>
      <c r="Y14" s="250">
        <f>X14/EERR!$D$2</f>
        <v>1340</v>
      </c>
      <c r="Z14" s="260">
        <f t="shared" si="2"/>
        <v>0</v>
      </c>
      <c r="AA14" s="132">
        <f>+Z14/EERR!$D$2</f>
        <v>0</v>
      </c>
    </row>
    <row r="15" spans="1:33" s="132" customFormat="1" ht="15" customHeight="1" x14ac:dyDescent="0.25">
      <c r="A15" s="243">
        <v>4198</v>
      </c>
      <c r="B15" s="276">
        <v>27</v>
      </c>
      <c r="C15" s="276"/>
      <c r="D15" s="276"/>
      <c r="E15" s="244" t="s">
        <v>1104</v>
      </c>
      <c r="F15" s="244" t="s">
        <v>223</v>
      </c>
      <c r="G15" s="244">
        <v>2732061028</v>
      </c>
      <c r="H15" s="245">
        <v>43778</v>
      </c>
      <c r="I15" s="245">
        <v>43787</v>
      </c>
      <c r="J15" s="244">
        <v>18</v>
      </c>
      <c r="K15" s="246"/>
      <c r="L15" s="247">
        <v>3640</v>
      </c>
      <c r="M15" s="246"/>
      <c r="N15" s="246"/>
      <c r="O15" s="246"/>
      <c r="P15" s="246"/>
      <c r="Q15" s="246"/>
      <c r="R15" s="246">
        <v>440</v>
      </c>
      <c r="S15" s="137">
        <f t="shared" si="8"/>
        <v>4080</v>
      </c>
      <c r="T15" s="137">
        <f t="shared" si="9"/>
        <v>0</v>
      </c>
      <c r="U15" s="135">
        <f>IF(J15=0,(S15+T15/EERR!$D$2/1.19),(S15+T15/EERR!$D$2/1.19)/J15)</f>
        <v>226.66666666666666</v>
      </c>
      <c r="V15" s="137">
        <f>T15+S15*EERR!$D$2</f>
        <v>3168242.4</v>
      </c>
      <c r="W15" s="132">
        <f ca="1">SUMIF(Siteminder!$A$5:$J$164,Nov!G15,Siteminder!$M$5:$M$164)</f>
        <v>18</v>
      </c>
      <c r="X15" s="250">
        <f>SUMIF(Transbank!$A$2:$A$462,B15,Transbank!$L$2:$L$462)+SUMIF(Transbank!$A$2:$A$462,C15,Transbank!$L$2:$L$462)+SUMIF(Transbank!$A$2:$A$462,D15,Transbank!$L$2:$L$462)+(K15+O15)+(L15+P15)*EERR!$D$2</f>
        <v>3168242.4</v>
      </c>
      <c r="Y15" s="250">
        <f>X15/EERR!$D$2</f>
        <v>4080</v>
      </c>
      <c r="Z15" s="260">
        <f t="shared" si="2"/>
        <v>0</v>
      </c>
      <c r="AA15" s="132">
        <f>+Z15/EERR!$D$2</f>
        <v>0</v>
      </c>
    </row>
    <row r="16" spans="1:33" s="132" customFormat="1" ht="15" customHeight="1" x14ac:dyDescent="0.25">
      <c r="A16" s="243">
        <v>4199</v>
      </c>
      <c r="B16" s="276">
        <v>29</v>
      </c>
      <c r="C16" s="276"/>
      <c r="D16" s="276"/>
      <c r="E16" s="244" t="s">
        <v>1105</v>
      </c>
      <c r="F16" s="244" t="s">
        <v>223</v>
      </c>
      <c r="G16" s="244">
        <v>2396191617</v>
      </c>
      <c r="H16" s="245">
        <v>43778</v>
      </c>
      <c r="I16" s="245">
        <v>43779</v>
      </c>
      <c r="J16" s="244">
        <v>1</v>
      </c>
      <c r="K16" s="246"/>
      <c r="L16" s="247"/>
      <c r="M16" s="246"/>
      <c r="N16" s="246"/>
      <c r="O16" s="246"/>
      <c r="P16" s="246"/>
      <c r="Q16" s="246"/>
      <c r="R16" s="246">
        <v>220</v>
      </c>
      <c r="S16" s="137">
        <f t="shared" si="8"/>
        <v>220</v>
      </c>
      <c r="T16" s="137">
        <f t="shared" si="9"/>
        <v>0</v>
      </c>
      <c r="U16" s="135">
        <f>IF(J16=0,(S16+T16/EERR!$D$2/1.19),(S16+T16/EERR!$D$2/1.19)/J16)</f>
        <v>220</v>
      </c>
      <c r="V16" s="137">
        <f>T16+S16*EERR!$D$2</f>
        <v>170836.6</v>
      </c>
      <c r="W16" s="132">
        <f ca="1">SUMIF(Siteminder!$A$5:$J$164,Nov!G16,Siteminder!$M$5:$M$164)</f>
        <v>1</v>
      </c>
      <c r="X16" s="250">
        <f>SUMIF(Transbank!$A$2:$A$462,B16,Transbank!$L$2:$L$462)+SUMIF(Transbank!$A$2:$A$462,C16,Transbank!$L$2:$L$462)+SUMIF(Transbank!$A$2:$A$462,D16,Transbank!$L$2:$L$462)+(K16+O16)+(L16+P16)*EERR!$D$2</f>
        <v>170836.6</v>
      </c>
      <c r="Y16" s="250">
        <f>X16/EERR!$D$2</f>
        <v>220.00000000000003</v>
      </c>
      <c r="Z16" s="260">
        <f t="shared" si="2"/>
        <v>0</v>
      </c>
      <c r="AA16" s="132">
        <f>+Z16/EERR!$D$2</f>
        <v>0</v>
      </c>
    </row>
    <row r="17" spans="1:27" s="132" customFormat="1" ht="15" customHeight="1" x14ac:dyDescent="0.25">
      <c r="A17" s="243">
        <v>4200</v>
      </c>
      <c r="B17" s="276">
        <v>162</v>
      </c>
      <c r="C17" s="276">
        <v>25</v>
      </c>
      <c r="D17" s="276"/>
      <c r="E17" s="244" t="s">
        <v>1106</v>
      </c>
      <c r="F17" s="244" t="s">
        <v>223</v>
      </c>
      <c r="G17" s="244">
        <v>2973292102</v>
      </c>
      <c r="H17" s="245">
        <v>43778</v>
      </c>
      <c r="I17" s="245">
        <v>43781</v>
      </c>
      <c r="J17" s="244">
        <v>3</v>
      </c>
      <c r="K17" s="246"/>
      <c r="L17" s="247"/>
      <c r="M17" s="246"/>
      <c r="N17" s="246">
        <v>440</v>
      </c>
      <c r="O17" s="246"/>
      <c r="P17" s="246"/>
      <c r="Q17" s="246"/>
      <c r="R17" s="246">
        <v>220</v>
      </c>
      <c r="S17" s="137">
        <f t="shared" si="8"/>
        <v>660</v>
      </c>
      <c r="T17" s="137">
        <f t="shared" si="9"/>
        <v>0</v>
      </c>
      <c r="U17" s="135">
        <f>IF(J17=0,(S17+T17/EERR!$D$2/1.19),(S17+T17/EERR!$D$2/1.19)/J17)</f>
        <v>220</v>
      </c>
      <c r="V17" s="137">
        <f>T17+S17*EERR!$D$2</f>
        <v>512509.8</v>
      </c>
      <c r="W17" s="132">
        <f ca="1">SUMIF(Siteminder!$A$5:$J$164,Nov!G17,Siteminder!$M$5:$M$164)</f>
        <v>3</v>
      </c>
      <c r="X17" s="250">
        <f>SUMIF(Transbank!$A$2:$A$462,B17,Transbank!$L$2:$L$462)+SUMIF(Transbank!$A$2:$A$462,C17,Transbank!$L$2:$L$462)+SUMIF(Transbank!$A$2:$A$462,D17,Transbank!$L$2:$L$462)+(K17+O17)+(L17+P17)*EERR!$D$2</f>
        <v>512509.80000000005</v>
      </c>
      <c r="Y17" s="250">
        <f>X17/EERR!$D$2</f>
        <v>660.00000000000011</v>
      </c>
      <c r="Z17" s="260">
        <f t="shared" si="2"/>
        <v>0</v>
      </c>
      <c r="AA17" s="132">
        <f>+Z17/EERR!$D$2</f>
        <v>0</v>
      </c>
    </row>
    <row r="18" spans="1:27" s="132" customFormat="1" ht="15" customHeight="1" x14ac:dyDescent="0.25">
      <c r="A18" s="243">
        <v>4196</v>
      </c>
      <c r="B18" s="276">
        <v>33</v>
      </c>
      <c r="C18" s="276"/>
      <c r="D18" s="276"/>
      <c r="E18" s="244" t="s">
        <v>1102</v>
      </c>
      <c r="F18" s="244" t="s">
        <v>223</v>
      </c>
      <c r="G18" s="244">
        <v>3548845749</v>
      </c>
      <c r="H18" s="245">
        <v>43779</v>
      </c>
      <c r="I18" s="245">
        <v>43780</v>
      </c>
      <c r="J18" s="244">
        <v>1</v>
      </c>
      <c r="K18" s="246"/>
      <c r="L18" s="247"/>
      <c r="M18" s="275"/>
      <c r="N18" s="275"/>
      <c r="O18" s="275"/>
      <c r="P18" s="275"/>
      <c r="Q18" s="275"/>
      <c r="R18" s="275">
        <v>220</v>
      </c>
      <c r="S18" s="137">
        <f t="shared" si="8"/>
        <v>220</v>
      </c>
      <c r="T18" s="137">
        <f t="shared" si="9"/>
        <v>0</v>
      </c>
      <c r="U18" s="135">
        <f>IF(J18=0,(S18+T18/EERR!$D$2/1.19),(S18+T18/EERR!$D$2/1.19)/J18)</f>
        <v>220</v>
      </c>
      <c r="V18" s="137">
        <f>T18+S18*EERR!$D$2</f>
        <v>170836.6</v>
      </c>
      <c r="W18" s="132">
        <f ca="1">SUMIF(Siteminder!$A$5:$J$164,Nov!G18,Siteminder!$M$5:$M$164)</f>
        <v>1</v>
      </c>
      <c r="X18" s="250">
        <f>SUMIF(Transbank!$A$2:$A$462,B18,Transbank!$L$2:$L$462)+SUMIF(Transbank!$A$2:$A$462,C18,Transbank!$L$2:$L$462)+SUMIF(Transbank!$A$2:$A$462,D18,Transbank!$L$2:$L$462)+(K18+O18)+(L18+P18)*EERR!$D$2</f>
        <v>170836.6</v>
      </c>
      <c r="Y18" s="250">
        <f>X18/EERR!$D$2</f>
        <v>220.00000000000003</v>
      </c>
      <c r="Z18" s="260">
        <f t="shared" si="2"/>
        <v>0</v>
      </c>
      <c r="AA18" s="132">
        <f>+Z18/EERR!$D$2</f>
        <v>0</v>
      </c>
    </row>
    <row r="19" spans="1:27" s="132" customFormat="1" ht="15" customHeight="1" x14ac:dyDescent="0.25">
      <c r="A19" s="243">
        <v>4205</v>
      </c>
      <c r="B19" s="276">
        <v>32</v>
      </c>
      <c r="C19" s="276">
        <v>164</v>
      </c>
      <c r="D19" s="276"/>
      <c r="E19" s="244" t="s">
        <v>1107</v>
      </c>
      <c r="F19" s="244" t="s">
        <v>223</v>
      </c>
      <c r="G19" s="244">
        <v>3218982437</v>
      </c>
      <c r="H19" s="245">
        <v>43779</v>
      </c>
      <c r="I19" s="245">
        <v>43782</v>
      </c>
      <c r="J19" s="244">
        <v>3</v>
      </c>
      <c r="K19" s="246"/>
      <c r="L19" s="247"/>
      <c r="M19" s="246"/>
      <c r="N19" s="246">
        <v>440</v>
      </c>
      <c r="O19" s="246"/>
      <c r="P19" s="246"/>
      <c r="Q19" s="246"/>
      <c r="R19" s="246">
        <v>220</v>
      </c>
      <c r="S19" s="137">
        <f t="shared" si="8"/>
        <v>660</v>
      </c>
      <c r="T19" s="137">
        <f t="shared" si="9"/>
        <v>0</v>
      </c>
      <c r="U19" s="135">
        <f>IF(J19=0,(S19+T19/EERR!$D$2/1.19),(S19+T19/EERR!$D$2/1.19)/J19)</f>
        <v>220</v>
      </c>
      <c r="V19" s="137">
        <f>T19+S19*EERR!$D$2</f>
        <v>512509.8</v>
      </c>
      <c r="W19" s="132">
        <f ca="1">SUMIF(Siteminder!$A$5:$J$164,Nov!G19,Siteminder!$M$5:$M$164)</f>
        <v>3</v>
      </c>
      <c r="X19" s="250">
        <f>SUMIF(Transbank!$A$2:$A$462,B19,Transbank!$L$2:$L$462)+SUMIF(Transbank!$A$2:$A$462,C19,Transbank!$L$2:$L$462)+SUMIF(Transbank!$A$2:$A$462,D19,Transbank!$L$2:$L$462)+(K19+O19)+(L19+P19)*EERR!$D$2</f>
        <v>512509.80000000005</v>
      </c>
      <c r="Y19" s="250">
        <f>X19/EERR!$D$2</f>
        <v>660.00000000000011</v>
      </c>
      <c r="Z19" s="260">
        <f t="shared" si="2"/>
        <v>0</v>
      </c>
      <c r="AA19" s="132">
        <f>+Z19/EERR!$D$2</f>
        <v>0</v>
      </c>
    </row>
    <row r="20" spans="1:27" s="132" customFormat="1" ht="15" customHeight="1" x14ac:dyDescent="0.25">
      <c r="A20" s="243">
        <v>4206</v>
      </c>
      <c r="B20" s="276">
        <v>42</v>
      </c>
      <c r="C20" s="276">
        <v>168</v>
      </c>
      <c r="D20" s="276"/>
      <c r="E20" s="244" t="s">
        <v>1108</v>
      </c>
      <c r="F20" s="244" t="s">
        <v>223</v>
      </c>
      <c r="G20" s="244">
        <v>3860842933</v>
      </c>
      <c r="H20" s="245">
        <v>43780</v>
      </c>
      <c r="I20" s="245">
        <v>43784</v>
      </c>
      <c r="J20" s="244">
        <v>4</v>
      </c>
      <c r="K20" s="246"/>
      <c r="L20" s="247"/>
      <c r="M20" s="275"/>
      <c r="N20" s="275">
        <v>680</v>
      </c>
      <c r="O20" s="275"/>
      <c r="P20" s="275"/>
      <c r="Q20" s="275"/>
      <c r="R20" s="275">
        <v>220</v>
      </c>
      <c r="S20" s="137">
        <f t="shared" si="8"/>
        <v>900</v>
      </c>
      <c r="T20" s="137">
        <f t="shared" si="9"/>
        <v>0</v>
      </c>
      <c r="U20" s="135">
        <f>IF(J20=0,(S20+T20/EERR!$D$2/1.19),(S20+T20/EERR!$D$2/1.19)/J20)</f>
        <v>225</v>
      </c>
      <c r="V20" s="137">
        <f>T20+S20*EERR!$D$2</f>
        <v>698877</v>
      </c>
      <c r="W20" s="132">
        <f ca="1">SUMIF(Siteminder!$A$5:$J$164,Nov!G20,Siteminder!$M$5:$M$164)</f>
        <v>4</v>
      </c>
      <c r="X20" s="250">
        <f>SUMIF(Transbank!$A$2:$A$462,B20,Transbank!$L$2:$L$462)+SUMIF(Transbank!$A$2:$A$462,C20,Transbank!$L$2:$L$462)+SUMIF(Transbank!$A$2:$A$462,D20,Transbank!$L$2:$L$462)+(K20+O20)+(L20+P20)*EERR!$D$2</f>
        <v>698877</v>
      </c>
      <c r="Y20" s="250">
        <f>X20/EERR!$D$2</f>
        <v>900</v>
      </c>
      <c r="Z20" s="260">
        <f t="shared" si="2"/>
        <v>0</v>
      </c>
      <c r="AA20" s="132">
        <f>+Z20/EERR!$D$2</f>
        <v>0</v>
      </c>
    </row>
    <row r="21" spans="1:27" s="132" customFormat="1" ht="15" customHeight="1" x14ac:dyDescent="0.25">
      <c r="A21" s="243">
        <v>4207</v>
      </c>
      <c r="B21" s="276">
        <v>131</v>
      </c>
      <c r="C21" s="276"/>
      <c r="D21" s="276"/>
      <c r="E21" s="244" t="s">
        <v>1109</v>
      </c>
      <c r="F21" s="244" t="s">
        <v>223</v>
      </c>
      <c r="G21" s="244">
        <v>2806461456</v>
      </c>
      <c r="H21" s="245">
        <v>43780</v>
      </c>
      <c r="I21" s="245">
        <v>43781</v>
      </c>
      <c r="J21" s="244">
        <v>1</v>
      </c>
      <c r="K21" s="246"/>
      <c r="L21" s="247"/>
      <c r="M21" s="246"/>
      <c r="N21" s="246"/>
      <c r="O21" s="246"/>
      <c r="P21" s="246"/>
      <c r="Q21" s="246"/>
      <c r="R21" s="246">
        <v>198</v>
      </c>
      <c r="S21" s="137">
        <f t="shared" si="8"/>
        <v>198</v>
      </c>
      <c r="T21" s="137">
        <f t="shared" si="9"/>
        <v>0</v>
      </c>
      <c r="U21" s="135">
        <f>IF(J21=0,(S21+T21/EERR!$D$2/1.19),(S21+T21/EERR!$D$2/1.19)/J21)</f>
        <v>198</v>
      </c>
      <c r="V21" s="137">
        <f>T21+S21*EERR!$D$2</f>
        <v>153752.94</v>
      </c>
      <c r="W21" s="132">
        <f ca="1">SUMIF(Siteminder!$A$5:$J$164,Nov!G21,Siteminder!$M$5:$M$164)</f>
        <v>1</v>
      </c>
      <c r="X21" s="250">
        <f>SUMIF(Transbank!$A$2:$A$462,B21,Transbank!$L$2:$L$462)+SUMIF(Transbank!$A$2:$A$462,C21,Transbank!$L$2:$L$462)+SUMIF(Transbank!$A$2:$A$462,D21,Transbank!$L$2:$L$462)+(K21+O21)+(L21+P21)*EERR!$D$2</f>
        <v>153752.94</v>
      </c>
      <c r="Y21" s="250">
        <f>X21/EERR!$D$2</f>
        <v>198</v>
      </c>
      <c r="Z21" s="260">
        <f t="shared" si="2"/>
        <v>0</v>
      </c>
      <c r="AA21" s="132">
        <f>+Z21/EERR!$D$2</f>
        <v>0</v>
      </c>
    </row>
    <row r="22" spans="1:27" s="132" customFormat="1" ht="15" customHeight="1" x14ac:dyDescent="0.25">
      <c r="A22" s="243">
        <v>4208</v>
      </c>
      <c r="B22" s="276">
        <v>38</v>
      </c>
      <c r="C22" s="276"/>
      <c r="D22" s="276"/>
      <c r="E22" s="244" t="s">
        <v>1109</v>
      </c>
      <c r="F22" s="244" t="s">
        <v>223</v>
      </c>
      <c r="G22" s="244">
        <v>3162159720</v>
      </c>
      <c r="H22" s="245">
        <v>43781</v>
      </c>
      <c r="I22" s="245">
        <v>43782</v>
      </c>
      <c r="J22" s="244">
        <v>1</v>
      </c>
      <c r="K22" s="246"/>
      <c r="L22" s="247"/>
      <c r="M22" s="275"/>
      <c r="N22" s="275"/>
      <c r="O22" s="275"/>
      <c r="P22" s="275"/>
      <c r="Q22" s="275"/>
      <c r="R22" s="275">
        <v>220</v>
      </c>
      <c r="S22" s="137">
        <f t="shared" si="8"/>
        <v>220</v>
      </c>
      <c r="T22" s="137">
        <f t="shared" si="9"/>
        <v>0</v>
      </c>
      <c r="U22" s="135">
        <f>IF(J22=0,(S22+T22/EERR!$D$2/1.19),(S22+T22/EERR!$D$2/1.19)/J22)</f>
        <v>220</v>
      </c>
      <c r="V22" s="137">
        <f>T22+S22*EERR!$D$2</f>
        <v>170836.6</v>
      </c>
      <c r="W22" s="132">
        <f ca="1">SUMIF(Siteminder!$A$5:$J$164,Nov!G22,Siteminder!$M$5:$M$164)</f>
        <v>1</v>
      </c>
      <c r="X22" s="250">
        <f>SUMIF(Transbank!$A$2:$A$462,B22,Transbank!$L$2:$L$462)+SUMIF(Transbank!$A$2:$A$462,C22,Transbank!$L$2:$L$462)+SUMIF(Transbank!$A$2:$A$462,D22,Transbank!$L$2:$L$462)+(K22+O22)+(L22+P22)*EERR!$D$2</f>
        <v>170836.6</v>
      </c>
      <c r="Y22" s="250">
        <f>X22/EERR!$D$2</f>
        <v>220.00000000000003</v>
      </c>
      <c r="Z22" s="260">
        <f t="shared" si="2"/>
        <v>0</v>
      </c>
      <c r="AA22" s="132">
        <f>+Z22/EERR!$D$2</f>
        <v>0</v>
      </c>
    </row>
    <row r="23" spans="1:27" s="132" customFormat="1" ht="15" customHeight="1" x14ac:dyDescent="0.25">
      <c r="A23" s="243">
        <v>4209</v>
      </c>
      <c r="B23" s="276">
        <v>40</v>
      </c>
      <c r="C23" s="276">
        <v>172</v>
      </c>
      <c r="D23" s="276"/>
      <c r="E23" s="244" t="s">
        <v>1110</v>
      </c>
      <c r="F23" s="244" t="s">
        <v>223</v>
      </c>
      <c r="G23" s="244">
        <v>2886638530</v>
      </c>
      <c r="H23" s="245">
        <v>43781</v>
      </c>
      <c r="I23" s="245">
        <v>43785</v>
      </c>
      <c r="J23" s="244">
        <v>4</v>
      </c>
      <c r="K23" s="246"/>
      <c r="L23" s="247"/>
      <c r="M23" s="246"/>
      <c r="N23" s="246">
        <v>700</v>
      </c>
      <c r="O23" s="246"/>
      <c r="P23" s="246"/>
      <c r="Q23" s="246"/>
      <c r="R23" s="246">
        <v>220</v>
      </c>
      <c r="S23" s="137">
        <f t="shared" si="8"/>
        <v>920</v>
      </c>
      <c r="T23" s="137">
        <f t="shared" si="9"/>
        <v>0</v>
      </c>
      <c r="U23" s="135">
        <f>IF(J23=0,(S23+T23/EERR!$D$2/1.19),(S23+T23/EERR!$D$2/1.19)/J23)</f>
        <v>230</v>
      </c>
      <c r="V23" s="137">
        <f>T23+S23*EERR!$D$2</f>
        <v>714407.6</v>
      </c>
      <c r="W23" s="132">
        <f ca="1">SUMIF(Siteminder!$A$5:$J$164,Nov!G23,Siteminder!$M$5:$M$164)</f>
        <v>4</v>
      </c>
      <c r="X23" s="250">
        <f>SUMIF(Transbank!$A$2:$A$462,B23,Transbank!$L$2:$L$462)+SUMIF(Transbank!$A$2:$A$462,C23,Transbank!$L$2:$L$462)+SUMIF(Transbank!$A$2:$A$462,D23,Transbank!$L$2:$L$462)+(K23+O23)+(L23+P23)*EERR!$D$2</f>
        <v>714407.6</v>
      </c>
      <c r="Y23" s="250">
        <f>X23/EERR!$D$2</f>
        <v>920</v>
      </c>
      <c r="Z23" s="260">
        <f t="shared" si="2"/>
        <v>0</v>
      </c>
      <c r="AA23" s="132">
        <f>+Z23/EERR!$D$2</f>
        <v>0</v>
      </c>
    </row>
    <row r="24" spans="1:27" s="132" customFormat="1" ht="15" customHeight="1" x14ac:dyDescent="0.25">
      <c r="A24" s="243">
        <v>4212</v>
      </c>
      <c r="B24" s="276">
        <v>39</v>
      </c>
      <c r="C24" s="276"/>
      <c r="D24" s="276"/>
      <c r="E24" s="244" t="s">
        <v>1105</v>
      </c>
      <c r="F24" s="244" t="s">
        <v>223</v>
      </c>
      <c r="G24" s="244">
        <v>2732054652</v>
      </c>
      <c r="H24" s="245">
        <v>43781</v>
      </c>
      <c r="I24" s="245">
        <v>43783</v>
      </c>
      <c r="J24" s="244">
        <v>2</v>
      </c>
      <c r="K24" s="246"/>
      <c r="L24" s="247">
        <v>220</v>
      </c>
      <c r="M24" s="246"/>
      <c r="N24" s="246"/>
      <c r="O24" s="246"/>
      <c r="P24" s="246"/>
      <c r="Q24" s="246"/>
      <c r="R24" s="246">
        <v>220</v>
      </c>
      <c r="S24" s="137">
        <f t="shared" si="8"/>
        <v>440</v>
      </c>
      <c r="T24" s="137">
        <f t="shared" si="9"/>
        <v>0</v>
      </c>
      <c r="U24" s="135">
        <f>IF(J24=0,(S24+T24/EERR!$D$2/1.19),(S24+T24/EERR!$D$2/1.19)/J24)</f>
        <v>220</v>
      </c>
      <c r="V24" s="137">
        <f>T24+S24*EERR!$D$2</f>
        <v>341673.2</v>
      </c>
      <c r="W24" s="132">
        <f ca="1">SUMIF(Siteminder!$A$5:$J$164,Nov!G24,Siteminder!$M$5:$M$164)</f>
        <v>2</v>
      </c>
      <c r="X24" s="250">
        <f>SUMIF(Transbank!$A$2:$A$462,B24,Transbank!$L$2:$L$462)+SUMIF(Transbank!$A$2:$A$462,C24,Transbank!$L$2:$L$462)+SUMIF(Transbank!$A$2:$A$462,D24,Transbank!$L$2:$L$462)+(K24+O24)+(L24+P24)*EERR!$D$2</f>
        <v>341673.2</v>
      </c>
      <c r="Y24" s="250">
        <f>X24/EERR!$D$2</f>
        <v>440.00000000000006</v>
      </c>
      <c r="Z24" s="260">
        <f t="shared" si="2"/>
        <v>0</v>
      </c>
      <c r="AA24" s="132">
        <f>+Z24/EERR!$D$2</f>
        <v>0</v>
      </c>
    </row>
    <row r="25" spans="1:27" s="132" customFormat="1" ht="15" customHeight="1" x14ac:dyDescent="0.25">
      <c r="A25" s="243">
        <v>4211</v>
      </c>
      <c r="B25" s="276">
        <v>45</v>
      </c>
      <c r="C25" s="276">
        <v>174</v>
      </c>
      <c r="D25" s="276"/>
      <c r="E25" s="244" t="s">
        <v>1111</v>
      </c>
      <c r="F25" s="244" t="s">
        <v>223</v>
      </c>
      <c r="G25" s="244">
        <v>1341416135</v>
      </c>
      <c r="H25" s="245">
        <v>43782</v>
      </c>
      <c r="I25" s="245">
        <v>43785</v>
      </c>
      <c r="J25" s="244">
        <v>3</v>
      </c>
      <c r="K25" s="246"/>
      <c r="L25" s="247"/>
      <c r="M25" s="275"/>
      <c r="N25" s="275">
        <v>380</v>
      </c>
      <c r="O25" s="275"/>
      <c r="P25" s="275"/>
      <c r="Q25" s="275"/>
      <c r="R25" s="275">
        <v>190</v>
      </c>
      <c r="S25" s="137">
        <f t="shared" si="8"/>
        <v>570</v>
      </c>
      <c r="T25" s="137">
        <f t="shared" si="9"/>
        <v>0</v>
      </c>
      <c r="U25" s="135">
        <f>IF(J25=0,(S25+T25/EERR!$D$2/1.19),(S25+T25/EERR!$D$2/1.19)/J25)</f>
        <v>190</v>
      </c>
      <c r="V25" s="137">
        <f>T25+S25*EERR!$D$2</f>
        <v>442622.1</v>
      </c>
      <c r="W25" s="132">
        <f ca="1">SUMIF(Siteminder!$A$5:$J$164,Nov!G25,Siteminder!$M$5:$M$164)</f>
        <v>3</v>
      </c>
      <c r="X25" s="250">
        <f>SUMIF(Transbank!$A$2:$A$462,B25,Transbank!$L$2:$L$462)+SUMIF(Transbank!$A$2:$A$462,C25,Transbank!$L$2:$L$462)+SUMIF(Transbank!$A$2:$A$462,D25,Transbank!$L$2:$L$462)+(K25+O25)+(L25+P25)*EERR!$D$2</f>
        <v>442622.1</v>
      </c>
      <c r="Y25" s="250">
        <f>X25/EERR!$D$2</f>
        <v>570</v>
      </c>
      <c r="Z25" s="260">
        <f t="shared" si="2"/>
        <v>0</v>
      </c>
      <c r="AA25" s="132">
        <f>+Z25/EERR!$D$2</f>
        <v>0</v>
      </c>
    </row>
    <row r="26" spans="1:27" s="132" customFormat="1" ht="15" customHeight="1" x14ac:dyDescent="0.25">
      <c r="A26" s="243">
        <v>4217</v>
      </c>
      <c r="B26" s="276">
        <v>64</v>
      </c>
      <c r="C26" s="276">
        <v>187</v>
      </c>
      <c r="D26" s="276"/>
      <c r="E26" s="244" t="s">
        <v>1112</v>
      </c>
      <c r="F26" s="244" t="s">
        <v>223</v>
      </c>
      <c r="G26" s="244">
        <v>3078979386</v>
      </c>
      <c r="H26" s="245">
        <v>43785</v>
      </c>
      <c r="I26" s="245">
        <v>43791</v>
      </c>
      <c r="J26" s="244">
        <v>6</v>
      </c>
      <c r="K26" s="246"/>
      <c r="L26" s="247"/>
      <c r="M26" s="275"/>
      <c r="N26" s="275">
        <v>1100</v>
      </c>
      <c r="O26" s="275"/>
      <c r="P26" s="275"/>
      <c r="Q26" s="275"/>
      <c r="R26" s="275">
        <v>240</v>
      </c>
      <c r="S26" s="137">
        <f t="shared" si="8"/>
        <v>1340</v>
      </c>
      <c r="T26" s="137">
        <f t="shared" si="9"/>
        <v>0</v>
      </c>
      <c r="U26" s="135">
        <f>IF(J26=0,(S26+T26/EERR!$D$2/1.19),(S26+T26/EERR!$D$2/1.19)/J26)</f>
        <v>223.33333333333334</v>
      </c>
      <c r="V26" s="137">
        <f>T26+S26*EERR!$D$2</f>
        <v>1040550.2</v>
      </c>
      <c r="W26" s="132">
        <f ca="1">SUMIF(Siteminder!$A$5:$J$164,Nov!G26,Siteminder!$M$5:$M$164)</f>
        <v>6</v>
      </c>
      <c r="X26" s="250">
        <f>SUMIF(Transbank!$A$2:$A$462,B26,Transbank!$L$2:$L$462)+SUMIF(Transbank!$A$2:$A$462,C26,Transbank!$L$2:$L$462)+SUMIF(Transbank!$A$2:$A$462,D26,Transbank!$L$2:$L$462)+(K26+O26)+(L26+P26)*EERR!$D$2</f>
        <v>1040550.2</v>
      </c>
      <c r="Y26" s="250">
        <f>X26/EERR!$D$2</f>
        <v>1340</v>
      </c>
      <c r="Z26" s="260">
        <f t="shared" si="2"/>
        <v>0</v>
      </c>
      <c r="AA26" s="132">
        <f>+Z26/EERR!$D$2</f>
        <v>0</v>
      </c>
    </row>
    <row r="27" spans="1:27" s="132" customFormat="1" ht="15" customHeight="1" x14ac:dyDescent="0.25">
      <c r="A27" s="243">
        <v>4218</v>
      </c>
      <c r="B27" s="276">
        <v>102</v>
      </c>
      <c r="C27" s="276"/>
      <c r="D27" s="276"/>
      <c r="E27" s="244" t="s">
        <v>1113</v>
      </c>
      <c r="F27" s="244" t="s">
        <v>223</v>
      </c>
      <c r="G27" s="244">
        <v>3873934890</v>
      </c>
      <c r="H27" s="245">
        <v>43785</v>
      </c>
      <c r="I27" s="245">
        <v>43786</v>
      </c>
      <c r="J27" s="244">
        <v>1</v>
      </c>
      <c r="K27" s="246"/>
      <c r="L27" s="247"/>
      <c r="M27" s="246"/>
      <c r="N27" s="246"/>
      <c r="O27" s="246"/>
      <c r="P27" s="246"/>
      <c r="Q27" s="246"/>
      <c r="R27" s="246">
        <v>240</v>
      </c>
      <c r="S27" s="137">
        <f t="shared" si="8"/>
        <v>240</v>
      </c>
      <c r="T27" s="137">
        <f t="shared" si="9"/>
        <v>0</v>
      </c>
      <c r="U27" s="135">
        <f>IF(J27=0,(S27+T27/EERR!$D$2/1.19),(S27+T27/EERR!$D$2/1.19)/J27)</f>
        <v>240</v>
      </c>
      <c r="V27" s="137">
        <f>T27+S27*EERR!$D$2</f>
        <v>186367.19999999998</v>
      </c>
      <c r="W27" s="132">
        <f ca="1">SUMIF(Siteminder!$A$5:$J$164,Nov!G27,Siteminder!$M$5:$M$164)</f>
        <v>1</v>
      </c>
      <c r="X27" s="250">
        <f>SUMIF(Transbank!$A$2:$A$462,B27,Transbank!$L$2:$L$462)+SUMIF(Transbank!$A$2:$A$462,C27,Transbank!$L$2:$L$462)+SUMIF(Transbank!$A$2:$A$462,D27,Transbank!$L$2:$L$462)+(K27+O27)+(L27+P27)*EERR!$D$2</f>
        <v>186367.19999999998</v>
      </c>
      <c r="Y27" s="250">
        <f>X27/EERR!$D$2</f>
        <v>240</v>
      </c>
      <c r="Z27" s="260">
        <f t="shared" si="2"/>
        <v>0</v>
      </c>
      <c r="AA27" s="132">
        <f>+Z27/EERR!$D$2</f>
        <v>0</v>
      </c>
    </row>
    <row r="28" spans="1:27" s="132" customFormat="1" ht="15" customHeight="1" x14ac:dyDescent="0.25">
      <c r="A28" s="243">
        <v>99292</v>
      </c>
      <c r="B28" s="276">
        <v>170</v>
      </c>
      <c r="C28" s="276">
        <v>195</v>
      </c>
      <c r="D28" s="276"/>
      <c r="E28" s="244" t="s">
        <v>1114</v>
      </c>
      <c r="F28" s="244" t="s">
        <v>223</v>
      </c>
      <c r="G28" s="244">
        <v>3951299292</v>
      </c>
      <c r="H28" s="245">
        <v>43785</v>
      </c>
      <c r="I28" s="245">
        <v>43787</v>
      </c>
      <c r="J28" s="244">
        <v>2</v>
      </c>
      <c r="K28" s="246"/>
      <c r="L28" s="247"/>
      <c r="M28" s="246">
        <v>184490</v>
      </c>
      <c r="N28" s="246"/>
      <c r="O28" s="246"/>
      <c r="P28" s="246"/>
      <c r="Q28" s="246">
        <v>194322</v>
      </c>
      <c r="R28" s="246"/>
      <c r="S28" s="137">
        <f t="shared" si="8"/>
        <v>0</v>
      </c>
      <c r="T28" s="137">
        <f t="shared" si="9"/>
        <v>378812</v>
      </c>
      <c r="U28" s="135">
        <f>IF(J28=0,(S28+T28/EERR!$D$2/1.19),(S28+T28/EERR!$D$2/1.19)/J28)</f>
        <v>204.96916523811436</v>
      </c>
      <c r="V28" s="137">
        <f>T28+S28*EERR!$D$2</f>
        <v>378812</v>
      </c>
      <c r="W28" s="132">
        <f ca="1">SUMIF(Siteminder!$A$5:$J$164,Nov!G28,Siteminder!$M$5:$M$164)</f>
        <v>2</v>
      </c>
      <c r="X28" s="250">
        <f>SUMIF(Transbank!$A$2:$A$462,B28,Transbank!$L$2:$L$462)+SUMIF(Transbank!$A$2:$A$462,C28,Transbank!$L$2:$L$462)+SUMIF(Transbank!$A$2:$A$462,D28,Transbank!$L$2:$L$462)+(K28+O28)+(L28+P28)*EERR!$D$2</f>
        <v>378812</v>
      </c>
      <c r="Y28" s="250">
        <f>X28/EERR!$D$2</f>
        <v>487.82661326671217</v>
      </c>
      <c r="Z28" s="260">
        <f t="shared" si="2"/>
        <v>0</v>
      </c>
      <c r="AA28" s="132">
        <f>+Z28/EERR!$D$2</f>
        <v>0</v>
      </c>
    </row>
    <row r="29" spans="1:27" s="132" customFormat="1" ht="15" customHeight="1" x14ac:dyDescent="0.25">
      <c r="A29" s="243">
        <v>4219</v>
      </c>
      <c r="B29" s="276">
        <v>189</v>
      </c>
      <c r="C29" s="276">
        <v>69</v>
      </c>
      <c r="D29" s="276"/>
      <c r="E29" s="244" t="s">
        <v>1113</v>
      </c>
      <c r="F29" s="244" t="s">
        <v>223</v>
      </c>
      <c r="G29" s="244">
        <v>3440760368</v>
      </c>
      <c r="H29" s="245">
        <v>43786</v>
      </c>
      <c r="I29" s="245">
        <v>43789</v>
      </c>
      <c r="J29" s="244">
        <v>3</v>
      </c>
      <c r="K29" s="246"/>
      <c r="L29" s="247"/>
      <c r="M29" s="246"/>
      <c r="N29" s="246">
        <v>440</v>
      </c>
      <c r="O29" s="246"/>
      <c r="P29" s="246"/>
      <c r="Q29" s="246"/>
      <c r="R29" s="246">
        <v>220</v>
      </c>
      <c r="S29" s="137">
        <f t="shared" si="8"/>
        <v>660</v>
      </c>
      <c r="T29" s="137">
        <f t="shared" si="9"/>
        <v>0</v>
      </c>
      <c r="U29" s="135">
        <f>IF(J29=0,(S29+T29/EERR!$D$2/1.19),(S29+T29/EERR!$D$2/1.19)/J29)</f>
        <v>220</v>
      </c>
      <c r="V29" s="137">
        <f>T29+S29*EERR!$D$2</f>
        <v>512509.8</v>
      </c>
      <c r="W29" s="132">
        <f ca="1">SUMIF(Siteminder!$A$5:$J$164,Nov!G29,Siteminder!$M$5:$M$164)</f>
        <v>3</v>
      </c>
      <c r="X29" s="250">
        <f>SUMIF(Transbank!$A$2:$A$462,B29,Transbank!$L$2:$L$462)+SUMIF(Transbank!$A$2:$A$462,C29,Transbank!$L$2:$L$462)+SUMIF(Transbank!$A$2:$A$462,D29,Transbank!$L$2:$L$462)+(K29+O29)+(L29+P29)*EERR!$D$2</f>
        <v>512509.80000000005</v>
      </c>
      <c r="Y29" s="250">
        <f>X29/EERR!$D$2</f>
        <v>660.00000000000011</v>
      </c>
      <c r="Z29" s="260">
        <f t="shared" si="2"/>
        <v>0</v>
      </c>
      <c r="AA29" s="132">
        <f>+Z29/EERR!$D$2</f>
        <v>0</v>
      </c>
    </row>
    <row r="30" spans="1:27" s="132" customFormat="1" ht="15" customHeight="1" x14ac:dyDescent="0.25">
      <c r="A30" s="243">
        <v>4220</v>
      </c>
      <c r="B30" s="276">
        <v>68</v>
      </c>
      <c r="C30" s="276">
        <v>192</v>
      </c>
      <c r="D30" s="276"/>
      <c r="E30" s="244" t="s">
        <v>1115</v>
      </c>
      <c r="F30" s="244" t="s">
        <v>223</v>
      </c>
      <c r="G30" s="244">
        <v>2942088224</v>
      </c>
      <c r="H30" s="245">
        <v>43786</v>
      </c>
      <c r="I30" s="245">
        <v>43791</v>
      </c>
      <c r="J30" s="244">
        <v>5</v>
      </c>
      <c r="K30" s="246"/>
      <c r="L30" s="247"/>
      <c r="M30" s="246"/>
      <c r="N30" s="246">
        <v>880</v>
      </c>
      <c r="O30" s="246"/>
      <c r="P30" s="246"/>
      <c r="Q30" s="246"/>
      <c r="R30" s="246">
        <v>220</v>
      </c>
      <c r="S30" s="137">
        <f t="shared" si="8"/>
        <v>1100</v>
      </c>
      <c r="T30" s="137">
        <f t="shared" si="9"/>
        <v>0</v>
      </c>
      <c r="U30" s="135">
        <f>IF(J30=0,(S30+T30/EERR!$D$2/1.19),(S30+T30/EERR!$D$2/1.19)/J30)</f>
        <v>220</v>
      </c>
      <c r="V30" s="137">
        <f>T30+S30*EERR!$D$2</f>
        <v>854183</v>
      </c>
      <c r="W30" s="132">
        <f ca="1">SUMIF(Siteminder!$A$5:$J$164,Nov!G30,Siteminder!$M$5:$M$164)</f>
        <v>5</v>
      </c>
      <c r="X30" s="250">
        <f>SUMIF(Transbank!$A$2:$A$462,B30,Transbank!$L$2:$L$462)+SUMIF(Transbank!$A$2:$A$462,C30,Transbank!$L$2:$L$462)+SUMIF(Transbank!$A$2:$A$462,D30,Transbank!$L$2:$L$462)+(K30+O30)+(L30+P30)*EERR!$D$2</f>
        <v>854183</v>
      </c>
      <c r="Y30" s="250">
        <f>X30/EERR!$D$2</f>
        <v>1100</v>
      </c>
      <c r="Z30" s="260">
        <f t="shared" si="2"/>
        <v>0</v>
      </c>
      <c r="AA30" s="132">
        <f>+Z30/EERR!$D$2</f>
        <v>0</v>
      </c>
    </row>
    <row r="31" spans="1:27" s="132" customFormat="1" ht="15" customHeight="1" x14ac:dyDescent="0.25">
      <c r="A31" s="243">
        <v>4222</v>
      </c>
      <c r="B31" s="276">
        <v>66</v>
      </c>
      <c r="C31" s="276">
        <v>191</v>
      </c>
      <c r="D31" s="276"/>
      <c r="E31" s="244" t="s">
        <v>1116</v>
      </c>
      <c r="F31" s="244" t="s">
        <v>223</v>
      </c>
      <c r="G31" s="244">
        <v>1800879581</v>
      </c>
      <c r="H31" s="245">
        <v>43786</v>
      </c>
      <c r="I31" s="245">
        <v>43789</v>
      </c>
      <c r="J31" s="244">
        <v>3</v>
      </c>
      <c r="K31" s="246"/>
      <c r="L31" s="247"/>
      <c r="M31" s="246"/>
      <c r="N31" s="246">
        <v>410</v>
      </c>
      <c r="O31" s="246"/>
      <c r="P31" s="246"/>
      <c r="Q31" s="246"/>
      <c r="R31" s="246">
        <v>205</v>
      </c>
      <c r="S31" s="137">
        <f t="shared" si="8"/>
        <v>615</v>
      </c>
      <c r="T31" s="137">
        <f t="shared" si="9"/>
        <v>0</v>
      </c>
      <c r="U31" s="135">
        <f>IF(J31=0,(S31+T31/EERR!$D$2/1.19),(S31+T31/EERR!$D$2/1.19)/J31)</f>
        <v>205</v>
      </c>
      <c r="V31" s="137">
        <f>T31+S31*EERR!$D$2</f>
        <v>477565.95</v>
      </c>
      <c r="W31" s="132">
        <f ca="1">SUMIF(Siteminder!$A$5:$J$164,Nov!G31,Siteminder!$M$5:$M$164)</f>
        <v>3</v>
      </c>
      <c r="X31" s="250">
        <f>SUMIF(Transbank!$A$2:$A$462,B31,Transbank!$L$2:$L$462)+SUMIF(Transbank!$A$2:$A$462,C31,Transbank!$L$2:$L$462)+SUMIF(Transbank!$A$2:$A$462,D31,Transbank!$L$2:$L$462)+(K31+O31)+(L31+P31)*EERR!$D$2</f>
        <v>477565.94999999995</v>
      </c>
      <c r="Y31" s="250">
        <f>X31/EERR!$D$2</f>
        <v>615</v>
      </c>
      <c r="Z31" s="260">
        <f t="shared" si="2"/>
        <v>0</v>
      </c>
      <c r="AA31" s="132">
        <f>+Z31/EERR!$D$2</f>
        <v>0</v>
      </c>
    </row>
    <row r="32" spans="1:27" s="132" customFormat="1" ht="15" customHeight="1" x14ac:dyDescent="0.25">
      <c r="A32" s="243">
        <v>4224</v>
      </c>
      <c r="B32" s="276">
        <v>75</v>
      </c>
      <c r="C32" s="276">
        <v>200</v>
      </c>
      <c r="D32" s="276"/>
      <c r="E32" s="244" t="s">
        <v>1117</v>
      </c>
      <c r="F32" s="244" t="s">
        <v>223</v>
      </c>
      <c r="G32" s="244">
        <v>2799313284</v>
      </c>
      <c r="H32" s="245">
        <v>43787</v>
      </c>
      <c r="I32" s="245">
        <v>43792</v>
      </c>
      <c r="J32" s="244">
        <v>5</v>
      </c>
      <c r="K32" s="246"/>
      <c r="L32" s="247"/>
      <c r="M32" s="275"/>
      <c r="N32" s="275">
        <v>792</v>
      </c>
      <c r="O32" s="275"/>
      <c r="P32" s="275"/>
      <c r="Q32" s="275"/>
      <c r="R32" s="275">
        <v>198</v>
      </c>
      <c r="S32" s="137">
        <f t="shared" si="8"/>
        <v>990</v>
      </c>
      <c r="T32" s="137">
        <f t="shared" si="9"/>
        <v>0</v>
      </c>
      <c r="U32" s="135">
        <f>IF(J32=0,(S32+T32/EERR!$D$2/1.19),(S32+T32/EERR!$D$2/1.19)/J32)</f>
        <v>198</v>
      </c>
      <c r="V32" s="137">
        <f>T32+S32*EERR!$D$2</f>
        <v>768764.7</v>
      </c>
      <c r="W32" s="132">
        <f ca="1">SUMIF(Siteminder!$A$5:$J$164,Nov!G32,Siteminder!$M$5:$M$164)</f>
        <v>5</v>
      </c>
      <c r="X32" s="250">
        <f>SUMIF(Transbank!$A$2:$A$462,B32,Transbank!$L$2:$L$462)+SUMIF(Transbank!$A$2:$A$462,C32,Transbank!$L$2:$L$462)+SUMIF(Transbank!$A$2:$A$462,D32,Transbank!$L$2:$L$462)+(K32+O32)+(L32+P32)*EERR!$D$2</f>
        <v>768764.7</v>
      </c>
      <c r="Y32" s="250">
        <f>X32/EERR!$D$2</f>
        <v>990</v>
      </c>
      <c r="Z32" s="260">
        <f t="shared" si="2"/>
        <v>0</v>
      </c>
      <c r="AA32" s="132">
        <f>+Z32/EERR!$D$2</f>
        <v>0</v>
      </c>
    </row>
    <row r="33" spans="1:27" s="132" customFormat="1" ht="15" customHeight="1" x14ac:dyDescent="0.25">
      <c r="A33" s="243">
        <v>4226</v>
      </c>
      <c r="B33" s="276">
        <v>105</v>
      </c>
      <c r="C33" s="276">
        <v>202</v>
      </c>
      <c r="D33" s="276"/>
      <c r="E33" s="244" t="s">
        <v>1118</v>
      </c>
      <c r="F33" s="244" t="s">
        <v>223</v>
      </c>
      <c r="G33" s="244">
        <v>3775730212</v>
      </c>
      <c r="H33" s="245">
        <v>43788</v>
      </c>
      <c r="I33" s="245">
        <v>43794</v>
      </c>
      <c r="J33" s="244">
        <v>6</v>
      </c>
      <c r="K33" s="246"/>
      <c r="L33" s="345">
        <v>400</v>
      </c>
      <c r="M33" s="246"/>
      <c r="N33" s="246">
        <v>590</v>
      </c>
      <c r="O33" s="246"/>
      <c r="P33" s="246"/>
      <c r="Q33" s="275"/>
      <c r="R33" s="246">
        <v>198</v>
      </c>
      <c r="S33" s="137">
        <f t="shared" si="8"/>
        <v>1188</v>
      </c>
      <c r="T33" s="137">
        <f t="shared" si="9"/>
        <v>0</v>
      </c>
      <c r="U33" s="135">
        <f>IF(J33=0,(S33+T33/EERR!$D$2/1.19),(S33+T33/EERR!$D$2/1.19)/J33)</f>
        <v>198</v>
      </c>
      <c r="V33" s="137">
        <f>T33+S33*EERR!$D$2</f>
        <v>922517.64</v>
      </c>
      <c r="W33" s="132">
        <f ca="1">SUMIF(Siteminder!$A$5:$J$164,Nov!G33,Siteminder!$M$5:$M$164)</f>
        <v>6</v>
      </c>
      <c r="X33" s="250">
        <f>SUMIF(Transbank!$A$2:$A$462,B33,Transbank!$L$2:$L$462)+SUMIF(Transbank!$A$2:$A$462,C33,Transbank!$L$2:$L$462)+SUMIF(Transbank!$A$2:$A$462,D33,Transbank!$L$2:$L$462)+(K33+O33)+(L33+P33)*EERR!$D$2</f>
        <v>922517.64</v>
      </c>
      <c r="Y33" s="250">
        <f>X33/EERR!$D$2</f>
        <v>1188</v>
      </c>
      <c r="Z33" s="260">
        <f t="shared" si="2"/>
        <v>0</v>
      </c>
      <c r="AA33" s="132">
        <f>+Z33/EERR!$D$2</f>
        <v>0</v>
      </c>
    </row>
    <row r="34" spans="1:27" s="132" customFormat="1" ht="15" customHeight="1" x14ac:dyDescent="0.25">
      <c r="A34" s="243">
        <v>4227</v>
      </c>
      <c r="B34" s="276">
        <v>84</v>
      </c>
      <c r="C34" s="276">
        <v>204</v>
      </c>
      <c r="D34" s="276"/>
      <c r="E34" s="244" t="s">
        <v>1119</v>
      </c>
      <c r="F34" s="244" t="s">
        <v>223</v>
      </c>
      <c r="G34" s="244">
        <v>3555270217</v>
      </c>
      <c r="H34" s="245">
        <v>43789</v>
      </c>
      <c r="I34" s="245">
        <v>43796</v>
      </c>
      <c r="J34" s="244">
        <v>7</v>
      </c>
      <c r="K34" s="246"/>
      <c r="L34" s="247"/>
      <c r="M34" s="246"/>
      <c r="N34" s="246">
        <v>1320</v>
      </c>
      <c r="O34" s="246"/>
      <c r="P34" s="246"/>
      <c r="Q34" s="275"/>
      <c r="R34" s="246">
        <v>220</v>
      </c>
      <c r="S34" s="137">
        <f t="shared" si="8"/>
        <v>1540</v>
      </c>
      <c r="T34" s="137">
        <f t="shared" si="9"/>
        <v>0</v>
      </c>
      <c r="U34" s="135">
        <f>IF(J34=0,(S34+T34/EERR!$D$2/1.19),(S34+T34/EERR!$D$2/1.19)/J34)</f>
        <v>220</v>
      </c>
      <c r="V34" s="137">
        <f>T34+S34*EERR!$D$2</f>
        <v>1195856.2</v>
      </c>
      <c r="W34" s="132">
        <f ca="1">SUMIF(Siteminder!$A$5:$J$164,Nov!G34,Siteminder!$M$5:$M$164)</f>
        <v>7</v>
      </c>
      <c r="X34" s="250">
        <f>SUMIF(Transbank!$A$2:$A$462,B34,Transbank!$L$2:$L$462)+SUMIF(Transbank!$A$2:$A$462,C34,Transbank!$L$2:$L$462)+SUMIF(Transbank!$A$2:$A$462,D34,Transbank!$L$2:$L$462)+(K34+O34)+(L34+P34)*EERR!$D$2</f>
        <v>1195856.2</v>
      </c>
      <c r="Y34" s="250">
        <f>X34/EERR!$D$2</f>
        <v>1540</v>
      </c>
      <c r="Z34" s="260">
        <f t="shared" si="2"/>
        <v>0</v>
      </c>
      <c r="AA34" s="132">
        <f>+Z34/EERR!$D$2</f>
        <v>0</v>
      </c>
    </row>
    <row r="35" spans="1:27" s="132" customFormat="1" ht="15" customHeight="1" x14ac:dyDescent="0.25">
      <c r="A35" s="243">
        <v>4231</v>
      </c>
      <c r="B35" s="276">
        <v>91</v>
      </c>
      <c r="C35" s="344"/>
      <c r="D35" s="276"/>
      <c r="E35" s="244" t="s">
        <v>808</v>
      </c>
      <c r="F35" s="244" t="s">
        <v>223</v>
      </c>
      <c r="G35" s="244">
        <v>2588573132</v>
      </c>
      <c r="H35" s="245">
        <v>43791</v>
      </c>
      <c r="I35" s="245">
        <v>43792</v>
      </c>
      <c r="J35" s="244">
        <v>1</v>
      </c>
      <c r="K35" s="246"/>
      <c r="L35" s="247"/>
      <c r="M35" s="246"/>
      <c r="N35" s="246"/>
      <c r="O35" s="246"/>
      <c r="P35" s="246"/>
      <c r="Q35" s="246"/>
      <c r="R35" s="246">
        <v>220</v>
      </c>
      <c r="S35" s="137">
        <f t="shared" si="8"/>
        <v>220</v>
      </c>
      <c r="T35" s="137">
        <f t="shared" si="9"/>
        <v>0</v>
      </c>
      <c r="U35" s="135">
        <f>IF(J35=0,(S35+T35/EERR!$D$2/1.19),(S35+T35/EERR!$D$2/1.19)/J35)</f>
        <v>220</v>
      </c>
      <c r="V35" s="137">
        <f>T35+S35*EERR!$D$2</f>
        <v>170836.6</v>
      </c>
      <c r="W35" s="132">
        <f ca="1">SUMIF(Siteminder!$A$5:$J$164,Nov!G35,Siteminder!$M$5:$M$164)</f>
        <v>1</v>
      </c>
      <c r="X35" s="250">
        <f>SUMIF(Transbank!$A$2:$A$462,B35,Transbank!$L$2:$L$462)+SUMIF(Transbank!$A$2:$A$462,C35,Transbank!$L$2:$L$462)+SUMIF(Transbank!$A$2:$A$462,D35,Transbank!$L$2:$L$462)+(K35+O35)+(L35+P35)*EERR!$D$2</f>
        <v>170836.6</v>
      </c>
      <c r="Y35" s="250">
        <f>X35/EERR!$D$2</f>
        <v>220.00000000000003</v>
      </c>
      <c r="Z35" s="260">
        <f t="shared" si="2"/>
        <v>0</v>
      </c>
      <c r="AA35" s="132">
        <f>+Z35/EERR!$D$2</f>
        <v>0</v>
      </c>
    </row>
    <row r="36" spans="1:27" s="132" customFormat="1" ht="15" customHeight="1" x14ac:dyDescent="0.25">
      <c r="A36" s="243">
        <v>4233</v>
      </c>
      <c r="B36" s="276">
        <v>101</v>
      </c>
      <c r="C36" s="276">
        <v>217</v>
      </c>
      <c r="D36" s="276"/>
      <c r="E36" s="244" t="s">
        <v>1120</v>
      </c>
      <c r="F36" s="244" t="s">
        <v>223</v>
      </c>
      <c r="G36" s="244">
        <v>1329505823</v>
      </c>
      <c r="H36" s="245">
        <v>43793</v>
      </c>
      <c r="I36" s="245">
        <v>43798</v>
      </c>
      <c r="J36" s="244">
        <v>5</v>
      </c>
      <c r="K36" s="246"/>
      <c r="L36" s="247"/>
      <c r="M36" s="246"/>
      <c r="N36" s="246">
        <v>880</v>
      </c>
      <c r="O36" s="246"/>
      <c r="P36" s="246"/>
      <c r="Q36" s="246"/>
      <c r="R36" s="246">
        <v>220</v>
      </c>
      <c r="S36" s="137">
        <f t="shared" si="8"/>
        <v>1100</v>
      </c>
      <c r="T36" s="137">
        <f t="shared" si="9"/>
        <v>0</v>
      </c>
      <c r="U36" s="135">
        <f>IF(J36=0,(S36+T36/EERR!$D$2/1.19),(S36+T36/EERR!$D$2/1.19)/J36)</f>
        <v>220</v>
      </c>
      <c r="V36" s="137">
        <f>T36+S36*EERR!$D$2</f>
        <v>854183</v>
      </c>
      <c r="W36" s="132">
        <f ca="1">SUMIF(Siteminder!$A$5:$J$164,Nov!G36,Siteminder!$M$5:$M$164)</f>
        <v>5</v>
      </c>
      <c r="X36" s="250">
        <f>SUMIF(Transbank!$A$2:$A$462,B36,Transbank!$L$2:$L$462)+SUMIF(Transbank!$A$2:$A$462,C36,Transbank!$L$2:$L$462)+SUMIF(Transbank!$A$2:$A$462,D36,Transbank!$L$2:$L$462)+(K36+O36)+(L36+P36)*EERR!$D$2</f>
        <v>854183</v>
      </c>
      <c r="Y36" s="250">
        <f>X36/EERR!$D$2</f>
        <v>1100</v>
      </c>
      <c r="Z36" s="260">
        <f t="shared" si="2"/>
        <v>0</v>
      </c>
      <c r="AA36" s="132">
        <f>+Z36/EERR!$D$2</f>
        <v>0</v>
      </c>
    </row>
    <row r="37" spans="1:27" s="132" customFormat="1" ht="15" customHeight="1" x14ac:dyDescent="0.25">
      <c r="A37" s="243">
        <v>4235</v>
      </c>
      <c r="B37" s="276">
        <v>100</v>
      </c>
      <c r="C37" s="276"/>
      <c r="D37" s="276"/>
      <c r="E37" s="244" t="s">
        <v>1121</v>
      </c>
      <c r="F37" s="244" t="s">
        <v>223</v>
      </c>
      <c r="G37" s="244">
        <v>3083653785</v>
      </c>
      <c r="H37" s="245">
        <v>43793</v>
      </c>
      <c r="I37" s="245">
        <v>43799</v>
      </c>
      <c r="J37" s="244">
        <v>6</v>
      </c>
      <c r="K37" s="246"/>
      <c r="L37" s="247">
        <v>1100</v>
      </c>
      <c r="M37" s="246"/>
      <c r="N37" s="246"/>
      <c r="O37" s="246"/>
      <c r="P37" s="246"/>
      <c r="Q37" s="246"/>
      <c r="R37" s="246">
        <v>220</v>
      </c>
      <c r="S37" s="137">
        <f t="shared" si="8"/>
        <v>1320</v>
      </c>
      <c r="T37" s="137">
        <f t="shared" si="9"/>
        <v>0</v>
      </c>
      <c r="U37" s="135">
        <f>IF(J37=0,(S37+T37/EERR!$D$2/1.19),(S37+T37/EERR!$D$2/1.19)/J37)</f>
        <v>220</v>
      </c>
      <c r="V37" s="137">
        <f>T37+S37*EERR!$D$2</f>
        <v>1025019.6</v>
      </c>
      <c r="W37" s="132">
        <f ca="1">SUMIF(Siteminder!$A$5:$J$164,Nov!G37,Siteminder!$M$5:$M$164)</f>
        <v>6</v>
      </c>
      <c r="X37" s="250">
        <f>SUMIF(Transbank!$A$2:$A$462,B37,Transbank!$L$2:$L$462)+SUMIF(Transbank!$A$2:$A$462,C37,Transbank!$L$2:$L$462)+SUMIF(Transbank!$A$2:$A$462,D37,Transbank!$L$2:$L$462)+(K37+O37)+(L37+P37)*EERR!$D$2</f>
        <v>1025019.6</v>
      </c>
      <c r="Y37" s="250">
        <f>X37/EERR!$D$2</f>
        <v>1320</v>
      </c>
      <c r="Z37" s="260">
        <f t="shared" si="2"/>
        <v>0</v>
      </c>
      <c r="AA37" s="132">
        <f>+Z37/EERR!$D$2</f>
        <v>0</v>
      </c>
    </row>
    <row r="38" spans="1:27" s="132" customFormat="1" ht="15" customHeight="1" x14ac:dyDescent="0.25">
      <c r="A38" s="243">
        <v>4237</v>
      </c>
      <c r="B38" s="276">
        <v>107</v>
      </c>
      <c r="C38" s="276">
        <v>225</v>
      </c>
      <c r="D38" s="276"/>
      <c r="E38" s="244" t="s">
        <v>1122</v>
      </c>
      <c r="F38" s="244" t="s">
        <v>223</v>
      </c>
      <c r="G38" s="244">
        <v>2798233817</v>
      </c>
      <c r="H38" s="245">
        <v>43793</v>
      </c>
      <c r="I38" s="245">
        <v>43797</v>
      </c>
      <c r="J38" s="244">
        <v>4</v>
      </c>
      <c r="K38" s="246"/>
      <c r="L38" s="247"/>
      <c r="M38" s="246"/>
      <c r="N38" s="246">
        <v>660</v>
      </c>
      <c r="O38" s="246"/>
      <c r="P38" s="246"/>
      <c r="Q38" s="246"/>
      <c r="R38" s="246">
        <v>220</v>
      </c>
      <c r="S38" s="137">
        <f t="shared" si="8"/>
        <v>880</v>
      </c>
      <c r="T38" s="137">
        <f t="shared" si="9"/>
        <v>0</v>
      </c>
      <c r="U38" s="135">
        <f>IF(J38=0,(S38+T38/EERR!$D$2/1.19),(S38+T38/EERR!$D$2/1.19)/J38)</f>
        <v>220</v>
      </c>
      <c r="V38" s="137">
        <f>T38+S38*EERR!$D$2</f>
        <v>683346.4</v>
      </c>
      <c r="W38" s="132">
        <f ca="1">SUMIF(Siteminder!$A$5:$J$164,Nov!G38,Siteminder!$M$5:$M$164)</f>
        <v>4</v>
      </c>
      <c r="X38" s="250">
        <f>SUMIF(Transbank!$A$2:$A$462,B38,Transbank!$L$2:$L$462)+SUMIF(Transbank!$A$2:$A$462,C38,Transbank!$L$2:$L$462)+SUMIF(Transbank!$A$2:$A$462,D38,Transbank!$L$2:$L$462)+(K38+O38)+(L38+P38)*EERR!$D$2</f>
        <v>683346.4</v>
      </c>
      <c r="Y38" s="250">
        <f>X38/EERR!$D$2</f>
        <v>880.00000000000011</v>
      </c>
      <c r="Z38" s="260">
        <f t="shared" si="2"/>
        <v>0</v>
      </c>
      <c r="AA38" s="132">
        <f>+Z38/EERR!$D$2</f>
        <v>0</v>
      </c>
    </row>
    <row r="39" spans="1:27" s="132" customFormat="1" ht="15" customHeight="1" x14ac:dyDescent="0.25">
      <c r="A39" s="243">
        <v>4239</v>
      </c>
      <c r="B39" s="319"/>
      <c r="C39" s="344"/>
      <c r="D39" s="276"/>
      <c r="E39" s="244" t="s">
        <v>1123</v>
      </c>
      <c r="F39" s="244" t="s">
        <v>223</v>
      </c>
      <c r="G39" s="244">
        <v>2276759997</v>
      </c>
      <c r="H39" s="245">
        <v>43794</v>
      </c>
      <c r="I39" s="245">
        <v>43800</v>
      </c>
      <c r="J39" s="244">
        <v>6</v>
      </c>
      <c r="K39" s="246"/>
      <c r="L39" s="247">
        <v>1100</v>
      </c>
      <c r="M39" s="246"/>
      <c r="N39" s="246"/>
      <c r="O39" s="246"/>
      <c r="P39" s="246"/>
      <c r="Q39" s="246"/>
      <c r="R39" s="246">
        <v>220</v>
      </c>
      <c r="S39" s="137">
        <f t="shared" si="8"/>
        <v>1320</v>
      </c>
      <c r="T39" s="137">
        <f t="shared" si="9"/>
        <v>0</v>
      </c>
      <c r="U39" s="135">
        <f>IF(J39=0,(S39+T39/EERR!$D$2/1.19),(S39+T39/EERR!$D$2/1.19)/J39)</f>
        <v>220</v>
      </c>
      <c r="V39" s="137">
        <f>T39+S39*EERR!$D$2</f>
        <v>1025019.6</v>
      </c>
      <c r="W39" s="132">
        <f ca="1">SUMIF(Siteminder!$A$5:$J$164,Nov!G39,Siteminder!$M$5:$M$164)</f>
        <v>6</v>
      </c>
      <c r="X39" s="250">
        <f>SUMIF(Transbank!$A$2:$A$462,B39,Transbank!$L$2:$L$462)+SUMIF(Transbank!$A$2:$A$462,C39,Transbank!$L$2:$L$462)+SUMIF(Transbank!$A$2:$A$462,D39,Transbank!$L$2:$L$462)+(K39+O39)+(L39+P39)*EERR!$D$2</f>
        <v>854183</v>
      </c>
      <c r="Y39" s="250">
        <f>X39/EERR!$D$2</f>
        <v>1100</v>
      </c>
      <c r="Z39" s="260">
        <f t="shared" si="2"/>
        <v>-170836.59999999998</v>
      </c>
      <c r="AA39" s="132">
        <f>+Z39/EERR!$D$2</f>
        <v>-219.99999999999997</v>
      </c>
    </row>
    <row r="40" spans="1:27" s="132" customFormat="1" ht="15" customHeight="1" x14ac:dyDescent="0.25">
      <c r="A40" s="243">
        <v>4240</v>
      </c>
      <c r="B40" s="276">
        <v>109</v>
      </c>
      <c r="C40" s="344">
        <v>231</v>
      </c>
      <c r="D40" s="276"/>
      <c r="E40" s="244" t="s">
        <v>1124</v>
      </c>
      <c r="F40" s="244" t="s">
        <v>223</v>
      </c>
      <c r="G40" s="244">
        <v>2617611766</v>
      </c>
      <c r="H40" s="245">
        <v>43795</v>
      </c>
      <c r="I40" s="245">
        <v>43797</v>
      </c>
      <c r="J40" s="244">
        <v>2</v>
      </c>
      <c r="K40" s="246"/>
      <c r="L40" s="247"/>
      <c r="M40" s="246"/>
      <c r="N40" s="246">
        <v>220</v>
      </c>
      <c r="O40" s="246"/>
      <c r="P40" s="246"/>
      <c r="Q40" s="246"/>
      <c r="R40" s="246">
        <v>220</v>
      </c>
      <c r="S40" s="137">
        <f t="shared" si="8"/>
        <v>440</v>
      </c>
      <c r="T40" s="137">
        <f t="shared" si="9"/>
        <v>0</v>
      </c>
      <c r="U40" s="135">
        <f>IF(J40=0,(S40+T40/EERR!$D$2/1.19),(S40+T40/EERR!$D$2/1.19)/J40)</f>
        <v>220</v>
      </c>
      <c r="V40" s="137">
        <f>T40+S40*EERR!$D$2</f>
        <v>341673.2</v>
      </c>
      <c r="W40" s="132">
        <f ca="1">SUMIF(Siteminder!$A$5:$J$164,Nov!G40,Siteminder!$M$5:$M$164)</f>
        <v>2</v>
      </c>
      <c r="X40" s="250">
        <f>SUMIF(Transbank!$A$2:$A$462,B40,Transbank!$L$2:$L$462)+SUMIF(Transbank!$A$2:$A$462,C40,Transbank!$L$2:$L$462)+SUMIF(Transbank!$A$2:$A$462,D40,Transbank!$L$2:$L$462)+(K40+O40)+(L40+P40)*EERR!$D$2</f>
        <v>341673.2</v>
      </c>
      <c r="Y40" s="250">
        <f>X40/EERR!$D$2</f>
        <v>440.00000000000006</v>
      </c>
      <c r="Z40" s="260">
        <f t="shared" si="2"/>
        <v>0</v>
      </c>
      <c r="AA40" s="132">
        <f>+Z40/EERR!$D$2</f>
        <v>0</v>
      </c>
    </row>
    <row r="41" spans="1:27" s="132" customFormat="1" ht="15" customHeight="1" x14ac:dyDescent="0.25">
      <c r="A41" s="243">
        <v>4241</v>
      </c>
      <c r="B41" s="344">
        <v>210</v>
      </c>
      <c r="C41" s="344"/>
      <c r="D41" s="276"/>
      <c r="E41" s="244" t="s">
        <v>1125</v>
      </c>
      <c r="F41" s="244" t="s">
        <v>223</v>
      </c>
      <c r="G41" s="244">
        <v>3255722573</v>
      </c>
      <c r="H41" s="245">
        <v>43795</v>
      </c>
      <c r="I41" s="245">
        <v>43796</v>
      </c>
      <c r="J41" s="244">
        <v>1</v>
      </c>
      <c r="K41" s="246"/>
      <c r="L41" s="247"/>
      <c r="M41" s="246"/>
      <c r="N41" s="246"/>
      <c r="O41" s="246"/>
      <c r="P41" s="246"/>
      <c r="Q41" s="246"/>
      <c r="R41" s="246">
        <v>198</v>
      </c>
      <c r="S41" s="137">
        <f t="shared" si="8"/>
        <v>198</v>
      </c>
      <c r="T41" s="137">
        <f t="shared" si="9"/>
        <v>0</v>
      </c>
      <c r="U41" s="135">
        <f>IF(J41=0,(S41+T41/EERR!$D$2/1.19),(S41+T41/EERR!$D$2/1.19)/J41)</f>
        <v>198</v>
      </c>
      <c r="V41" s="137">
        <f>T41+S41*EERR!$D$2</f>
        <v>153752.94</v>
      </c>
      <c r="W41" s="132">
        <f ca="1">SUMIF(Siteminder!$A$5:$J$164,Nov!G41,Siteminder!$M$5:$M$164)</f>
        <v>1</v>
      </c>
      <c r="X41" s="250">
        <f>SUMIF(Transbank!$A$2:$A$462,B41,Transbank!$L$2:$L$462)+SUMIF(Transbank!$A$2:$A$462,C41,Transbank!$L$2:$L$462)+SUMIF(Transbank!$A$2:$A$462,D41,Transbank!$L$2:$L$462)+(K41+O41)+(L41+P41)*EERR!$D$2</f>
        <v>153752.94</v>
      </c>
      <c r="Y41" s="250">
        <f>X41/EERR!$D$2</f>
        <v>198</v>
      </c>
      <c r="Z41" s="260">
        <f t="shared" si="2"/>
        <v>0</v>
      </c>
      <c r="AA41" s="132">
        <f>+Z41/EERR!$D$2</f>
        <v>0</v>
      </c>
    </row>
    <row r="42" spans="1:27" s="132" customFormat="1" ht="15" customHeight="1" x14ac:dyDescent="0.25">
      <c r="A42" s="243">
        <v>4243</v>
      </c>
      <c r="B42" s="344">
        <v>211</v>
      </c>
      <c r="C42" s="346">
        <v>236</v>
      </c>
      <c r="D42" s="276"/>
      <c r="E42" s="244" t="s">
        <v>1126</v>
      </c>
      <c r="F42" s="244" t="s">
        <v>223</v>
      </c>
      <c r="G42" s="244">
        <v>3687759396</v>
      </c>
      <c r="H42" s="245">
        <v>43796</v>
      </c>
      <c r="I42" s="245">
        <v>43799</v>
      </c>
      <c r="J42" s="244">
        <v>3</v>
      </c>
      <c r="K42" s="246"/>
      <c r="L42" s="247"/>
      <c r="M42" s="246"/>
      <c r="N42" s="246">
        <v>396</v>
      </c>
      <c r="O42" s="246"/>
      <c r="P42" s="246"/>
      <c r="Q42" s="246"/>
      <c r="R42" s="246">
        <v>198</v>
      </c>
      <c r="S42" s="137">
        <f t="shared" si="8"/>
        <v>594</v>
      </c>
      <c r="T42" s="137">
        <f t="shared" si="9"/>
        <v>0</v>
      </c>
      <c r="U42" s="135">
        <f>IF(J42=0,(S42+T42/EERR!$D$2/1.19),(S42+T42/EERR!$D$2/1.19)/J42)</f>
        <v>198</v>
      </c>
      <c r="V42" s="137">
        <f>T42+S42*EERR!$D$2</f>
        <v>461258.82</v>
      </c>
      <c r="W42" s="132">
        <f ca="1">SUMIF(Siteminder!$A$5:$J$164,Nov!G42,Siteminder!$M$5:$M$164)</f>
        <v>3</v>
      </c>
      <c r="X42" s="250">
        <f>SUMIF(Transbank!$A$2:$A$462,B42,Transbank!$L$2:$L$462)+SUMIF(Transbank!$A$2:$A$462,C42,Transbank!$L$2:$L$462)+SUMIF(Transbank!$A$2:$A$462,D42,Transbank!$L$2:$L$462)+(K42+O42)+(L42+P42)*EERR!$D$2</f>
        <v>461258.82</v>
      </c>
      <c r="Y42" s="250">
        <f>X42/EERR!$D$2</f>
        <v>594</v>
      </c>
      <c r="Z42" s="260">
        <f t="shared" si="2"/>
        <v>0</v>
      </c>
      <c r="AA42" s="132">
        <f>+Z42/EERR!$D$2</f>
        <v>0</v>
      </c>
    </row>
    <row r="43" spans="1:27" s="132" customFormat="1" ht="15" customHeight="1" x14ac:dyDescent="0.25">
      <c r="A43" s="243">
        <v>4244</v>
      </c>
      <c r="B43" s="344">
        <v>229</v>
      </c>
      <c r="C43" s="344">
        <v>242</v>
      </c>
      <c r="D43" s="276"/>
      <c r="E43" s="244" t="s">
        <v>1127</v>
      </c>
      <c r="F43" s="244" t="s">
        <v>223</v>
      </c>
      <c r="G43" s="244">
        <v>3018907379</v>
      </c>
      <c r="H43" s="245">
        <v>43797</v>
      </c>
      <c r="I43" s="245">
        <v>43800</v>
      </c>
      <c r="J43" s="244">
        <v>3</v>
      </c>
      <c r="K43" s="246"/>
      <c r="L43" s="247"/>
      <c r="M43" s="246"/>
      <c r="N43" s="246">
        <v>440</v>
      </c>
      <c r="O43" s="246"/>
      <c r="P43" s="246"/>
      <c r="Q43" s="246"/>
      <c r="R43" s="246">
        <v>220</v>
      </c>
      <c r="S43" s="137">
        <f t="shared" si="6"/>
        <v>660</v>
      </c>
      <c r="T43" s="137">
        <f t="shared" si="7"/>
        <v>0</v>
      </c>
      <c r="U43" s="135">
        <f>IF(J43=0,(S43+T43/EERR!$D$2/1.19),(S43+T43/EERR!$D$2/1.19)/J43)</f>
        <v>220</v>
      </c>
      <c r="V43" s="137">
        <f>T43+S43*EERR!$D$2</f>
        <v>512509.8</v>
      </c>
      <c r="W43" s="132">
        <f ca="1">SUMIF(Siteminder!$A$5:$J$164,Nov!G43,Siteminder!$M$5:$M$164)</f>
        <v>3</v>
      </c>
      <c r="X43" s="250">
        <f>SUMIF(Transbank!$A$2:$A$462,B43,Transbank!$L$2:$L$462)+SUMIF(Transbank!$A$2:$A$462,C43,Transbank!$L$2:$L$462)+SUMIF(Transbank!$A$2:$A$462,D43,Transbank!$L$2:$L$462)+(K43+O43)+(L43+P43)*EERR!$D$2</f>
        <v>512509.80000000005</v>
      </c>
      <c r="Y43" s="250">
        <f>X43/EERR!$D$2</f>
        <v>660.00000000000011</v>
      </c>
      <c r="Z43" s="260">
        <f t="shared" si="2"/>
        <v>0</v>
      </c>
      <c r="AA43" s="132">
        <f>+Z43/EERR!$D$2</f>
        <v>0</v>
      </c>
    </row>
    <row r="44" spans="1:27" s="132" customFormat="1" ht="15" customHeight="1" x14ac:dyDescent="0.25">
      <c r="A44" s="243">
        <v>157232</v>
      </c>
      <c r="B44" s="319">
        <v>118</v>
      </c>
      <c r="C44" s="319">
        <v>238</v>
      </c>
      <c r="D44" s="276"/>
      <c r="E44" s="244" t="s">
        <v>1128</v>
      </c>
      <c r="F44" s="244" t="s">
        <v>223</v>
      </c>
      <c r="G44" s="244">
        <v>3722157232</v>
      </c>
      <c r="H44" s="245">
        <v>43797</v>
      </c>
      <c r="I44" s="245">
        <v>43770</v>
      </c>
      <c r="J44" s="244">
        <v>3</v>
      </c>
      <c r="K44" s="246"/>
      <c r="L44" s="247"/>
      <c r="M44" s="246">
        <v>422021</v>
      </c>
      <c r="N44" s="246"/>
      <c r="O44" s="246"/>
      <c r="P44" s="246"/>
      <c r="Q44" s="246">
        <v>190066</v>
      </c>
      <c r="R44" s="246"/>
      <c r="S44" s="137">
        <f t="shared" si="6"/>
        <v>0</v>
      </c>
      <c r="T44" s="137">
        <f t="shared" si="7"/>
        <v>612087</v>
      </c>
      <c r="U44" s="135">
        <f>IF(J44=0,(S44+T44/EERR!$D$2/1.19),(S44+T44/EERR!$D$2/1.19)/J44)</f>
        <v>220.79371199627909</v>
      </c>
      <c r="V44" s="137">
        <f>T44+S44*EERR!$D$2</f>
        <v>612087</v>
      </c>
      <c r="W44" s="132">
        <f ca="1">SUMIF(Siteminder!$A$5:$J$164,Nov!G44,Siteminder!$M$5:$M$164)</f>
        <v>3</v>
      </c>
      <c r="X44" s="250">
        <f>SUMIF(Transbank!$A$2:$A$462,B44,Transbank!$L$2:$L$462)+SUMIF(Transbank!$A$2:$A$462,C44,Transbank!$L$2:$L$462)+SUMIF(Transbank!$A$2:$A$462,D44,Transbank!$L$2:$L$462)+(K44+O44)+(L44+P44)*EERR!$D$2</f>
        <v>612087</v>
      </c>
      <c r="Y44" s="250">
        <f>X44/EERR!$D$2</f>
        <v>788.23355182671628</v>
      </c>
      <c r="Z44" s="260">
        <f t="shared" si="2"/>
        <v>0</v>
      </c>
      <c r="AA44" s="132">
        <f>+Z44/EERR!$D$2</f>
        <v>0</v>
      </c>
    </row>
    <row r="45" spans="1:27" s="132" customFormat="1" ht="15" customHeight="1" x14ac:dyDescent="0.25">
      <c r="A45" s="243">
        <v>4246</v>
      </c>
      <c r="B45" s="344">
        <v>253</v>
      </c>
      <c r="C45" s="276"/>
      <c r="D45" s="276"/>
      <c r="E45" s="244" t="s">
        <v>1129</v>
      </c>
      <c r="F45" s="244" t="s">
        <v>223</v>
      </c>
      <c r="G45" s="244">
        <v>3359981348</v>
      </c>
      <c r="H45" s="245">
        <v>43799</v>
      </c>
      <c r="I45" s="245">
        <v>43801</v>
      </c>
      <c r="J45" s="244">
        <v>2</v>
      </c>
      <c r="K45" s="246"/>
      <c r="L45" s="247"/>
      <c r="M45" s="246"/>
      <c r="N45" s="246">
        <v>418</v>
      </c>
      <c r="O45" s="246"/>
      <c r="P45" s="246"/>
      <c r="Q45" s="246"/>
      <c r="R45" s="246"/>
      <c r="S45" s="137">
        <f t="shared" si="6"/>
        <v>418</v>
      </c>
      <c r="T45" s="137">
        <f t="shared" si="7"/>
        <v>0</v>
      </c>
      <c r="U45" s="135">
        <f>IF(J45=0,(S45+T45/EERR!$D$2/1.19),(S45+T45/EERR!$D$2/1.19)/J45)</f>
        <v>209</v>
      </c>
      <c r="V45" s="137">
        <f>T45+S45*EERR!$D$2</f>
        <v>324589.53999999998</v>
      </c>
      <c r="W45" s="132">
        <f ca="1">SUMIF(Siteminder!$A$5:$J$164,Nov!G45,Siteminder!$M$5:$M$164)</f>
        <v>2</v>
      </c>
      <c r="X45" s="250">
        <f>SUMIF(Transbank!$A$2:$A$462,B45,Transbank!$L$2:$L$462)+SUMIF(Transbank!$A$2:$A$462,C45,Transbank!$L$2:$L$462)+SUMIF(Transbank!$A$2:$A$462,D45,Transbank!$L$2:$L$462)+(K45+O45)+(L45+P45)*EERR!$D$2</f>
        <v>324589.53999999998</v>
      </c>
      <c r="Y45" s="250">
        <f>X45/EERR!$D$2</f>
        <v>418</v>
      </c>
      <c r="Z45" s="260">
        <f t="shared" si="2"/>
        <v>0</v>
      </c>
      <c r="AA45" s="132">
        <f>+Z45/EERR!$D$2</f>
        <v>0</v>
      </c>
    </row>
    <row r="46" spans="1:27" s="132" customFormat="1" ht="15" customHeight="1" x14ac:dyDescent="0.25">
      <c r="A46" s="243"/>
      <c r="B46" s="276"/>
      <c r="C46" s="276"/>
      <c r="D46" s="276"/>
      <c r="E46" s="316"/>
      <c r="F46" s="316"/>
      <c r="G46" s="316"/>
      <c r="H46" s="317"/>
      <c r="I46" s="317"/>
      <c r="J46" s="316"/>
      <c r="K46" s="262"/>
      <c r="L46" s="261"/>
      <c r="M46" s="262"/>
      <c r="N46" s="262"/>
      <c r="O46" s="262"/>
      <c r="P46" s="262"/>
      <c r="Q46" s="262"/>
      <c r="R46" s="262"/>
      <c r="S46" s="137">
        <f t="shared" si="6"/>
        <v>0</v>
      </c>
      <c r="T46" s="137">
        <f t="shared" si="7"/>
        <v>0</v>
      </c>
      <c r="U46" s="135">
        <f>IF(J46=0,(S46+T46/EERR!$D$2/1.19),(S46+T46/EERR!$D$2/1.19)/J46)</f>
        <v>0</v>
      </c>
      <c r="V46" s="137">
        <f>T46+S46*EERR!$D$2</f>
        <v>0</v>
      </c>
      <c r="W46" s="132">
        <f ca="1">SUMIF(Siteminder!$A$5:$J$164,Nov!G46,Siteminder!$M$5:$M$164)</f>
        <v>0</v>
      </c>
      <c r="X46" s="250">
        <f>SUMIF(Transbank!$A$2:$A$462,B46,Transbank!$L$2:$L$462)+SUMIF(Transbank!$A$2:$A$462,C46,Transbank!$L$2:$L$462)+SUMIF(Transbank!$A$2:$A$462,D46,Transbank!$L$2:$L$462)+(K46+O46)+(L46+P46)*EERR!$D$2</f>
        <v>0</v>
      </c>
      <c r="Y46" s="250">
        <f>X46/EERR!$D$2</f>
        <v>0</v>
      </c>
      <c r="Z46" s="260">
        <f t="shared" si="2"/>
        <v>0</v>
      </c>
      <c r="AA46" s="132">
        <f>+Z46/EERR!$D$2</f>
        <v>0</v>
      </c>
    </row>
    <row r="47" spans="1:27" s="132" customFormat="1" ht="15" customHeight="1" x14ac:dyDescent="0.25">
      <c r="A47" s="243"/>
      <c r="B47" s="276"/>
      <c r="C47" s="276"/>
      <c r="D47" s="276"/>
      <c r="E47" s="316"/>
      <c r="F47" s="316"/>
      <c r="G47" s="316"/>
      <c r="H47" s="317"/>
      <c r="I47" s="317"/>
      <c r="J47" s="316"/>
      <c r="K47" s="262"/>
      <c r="L47" s="261"/>
      <c r="M47" s="262"/>
      <c r="N47" s="262"/>
      <c r="O47" s="262"/>
      <c r="P47" s="262"/>
      <c r="Q47" s="262"/>
      <c r="R47" s="262"/>
      <c r="S47" s="137">
        <f t="shared" si="6"/>
        <v>0</v>
      </c>
      <c r="T47" s="137">
        <f t="shared" si="7"/>
        <v>0</v>
      </c>
      <c r="U47" s="135">
        <f>IF(J47=0,(S47+T47/EERR!$D$2/1.19),(S47+T47/EERR!$D$2/1.19)/J47)</f>
        <v>0</v>
      </c>
      <c r="V47" s="137">
        <f>T47+S47*EERR!$D$2</f>
        <v>0</v>
      </c>
      <c r="W47" s="132">
        <f ca="1">SUMIF(Siteminder!$A$5:$J$164,Nov!G47,Siteminder!$M$5:$M$164)</f>
        <v>0</v>
      </c>
      <c r="X47" s="250">
        <f>SUMIF(Transbank!$A$2:$A$462,B47,Transbank!$L$2:$L$462)+SUMIF(Transbank!$A$2:$A$462,C47,Transbank!$L$2:$L$462)+SUMIF(Transbank!$A$2:$A$462,D47,Transbank!$L$2:$L$462)+(K47+O47)+(L47+P47)*EERR!$D$2</f>
        <v>0</v>
      </c>
      <c r="Y47" s="250">
        <f>X47/EERR!$D$2</f>
        <v>0</v>
      </c>
      <c r="Z47" s="260">
        <f t="shared" si="2"/>
        <v>0</v>
      </c>
      <c r="AA47" s="132">
        <f>+Z47/EERR!$D$2</f>
        <v>0</v>
      </c>
    </row>
    <row r="48" spans="1:27" s="132" customFormat="1" ht="15" customHeight="1" x14ac:dyDescent="0.25">
      <c r="A48" s="243"/>
      <c r="B48" s="276"/>
      <c r="C48" s="276"/>
      <c r="D48" s="276"/>
      <c r="E48" s="316"/>
      <c r="F48" s="316"/>
      <c r="G48" s="316"/>
      <c r="H48" s="317"/>
      <c r="I48" s="317"/>
      <c r="J48" s="316"/>
      <c r="K48" s="262"/>
      <c r="L48" s="261"/>
      <c r="M48" s="262"/>
      <c r="N48" s="262"/>
      <c r="O48" s="262"/>
      <c r="P48" s="262"/>
      <c r="Q48" s="262"/>
      <c r="R48" s="262"/>
      <c r="S48" s="137">
        <f t="shared" si="6"/>
        <v>0</v>
      </c>
      <c r="T48" s="137">
        <f t="shared" si="7"/>
        <v>0</v>
      </c>
      <c r="U48" s="135">
        <f>IF(J48=0,(S48+T48/EERR!$D$2/1.19),(S48+T48/EERR!$D$2/1.19)/J48)</f>
        <v>0</v>
      </c>
      <c r="V48" s="137">
        <f>T48+S48*EERR!$D$2</f>
        <v>0</v>
      </c>
      <c r="W48" s="132">
        <f ca="1">SUMIF(Siteminder!$A$5:$J$164,Nov!G48,Siteminder!$M$5:$M$164)</f>
        <v>0</v>
      </c>
      <c r="X48" s="250">
        <f>SUMIF(Transbank!$A$2:$A$462,B48,Transbank!$L$2:$L$462)+SUMIF(Transbank!$A$2:$A$462,C48,Transbank!$L$2:$L$462)+SUMIF(Transbank!$A$2:$A$462,D48,Transbank!$L$2:$L$462)+(K48+O48)+(L48+P48)*EERR!$D$2</f>
        <v>0</v>
      </c>
      <c r="Y48" s="250">
        <f>X48/EERR!$D$2</f>
        <v>0</v>
      </c>
      <c r="Z48" s="260">
        <f t="shared" si="2"/>
        <v>0</v>
      </c>
      <c r="AA48" s="132">
        <f>+Z48/EERR!$D$2</f>
        <v>0</v>
      </c>
    </row>
    <row r="49" spans="1:6143 6145:7168 7170:16380" s="132" customFormat="1" ht="15" customHeight="1" x14ac:dyDescent="0.25">
      <c r="A49" s="243"/>
      <c r="B49" s="276"/>
      <c r="C49" s="276"/>
      <c r="D49" s="276"/>
      <c r="E49" s="244"/>
      <c r="F49" s="244"/>
      <c r="G49" s="244"/>
      <c r="H49" s="245"/>
      <c r="I49" s="245"/>
      <c r="J49" s="244"/>
      <c r="K49" s="246"/>
      <c r="L49" s="247"/>
      <c r="M49" s="246"/>
      <c r="N49" s="246"/>
      <c r="O49" s="246"/>
      <c r="P49" s="246"/>
      <c r="Q49" s="246"/>
      <c r="R49" s="246"/>
      <c r="S49" s="137">
        <f t="shared" si="6"/>
        <v>0</v>
      </c>
      <c r="T49" s="137">
        <f t="shared" si="7"/>
        <v>0</v>
      </c>
      <c r="U49" s="135">
        <f>IF(J49=0,(S49+T49/EERR!$D$2/1.19),(S49+T49/EERR!$D$2/1.19)/J49)</f>
        <v>0</v>
      </c>
      <c r="V49" s="137">
        <f>T49+S49*EERR!$D$2</f>
        <v>0</v>
      </c>
      <c r="W49" s="132">
        <f ca="1">SUMIF(Siteminder!$A$5:$J$164,Nov!G49,Siteminder!$M$5:$M$164)</f>
        <v>0</v>
      </c>
      <c r="X49" s="250">
        <f>SUMIF(Transbank!$A$2:$A$462,B49,Transbank!$L$2:$L$462)+SUMIF(Transbank!$A$2:$A$462,C49,Transbank!$L$2:$L$462)+SUMIF(Transbank!$A$2:$A$462,D49,Transbank!$L$2:$L$462)+(K49+O49)+(L49+P49)*EERR!$D$2</f>
        <v>0</v>
      </c>
      <c r="Y49" s="250">
        <f>X49/EERR!$D$2</f>
        <v>0</v>
      </c>
      <c r="Z49" s="260">
        <f t="shared" si="2"/>
        <v>0</v>
      </c>
      <c r="AA49" s="132">
        <f>+Z49/EERR!$D$2</f>
        <v>0</v>
      </c>
    </row>
    <row r="50" spans="1:6143 6145:7168 7170:16380" s="132" customFormat="1" ht="15" customHeight="1" x14ac:dyDescent="0.25">
      <c r="A50" s="243"/>
      <c r="B50" s="276"/>
      <c r="C50" s="276"/>
      <c r="D50" s="276"/>
      <c r="E50" s="244"/>
      <c r="F50" s="244"/>
      <c r="G50" s="244"/>
      <c r="H50" s="245"/>
      <c r="I50" s="245"/>
      <c r="J50" s="244"/>
      <c r="K50" s="246"/>
      <c r="L50" s="247"/>
      <c r="M50" s="246"/>
      <c r="N50" s="246"/>
      <c r="O50" s="246"/>
      <c r="P50" s="246"/>
      <c r="Q50" s="246"/>
      <c r="R50" s="246"/>
      <c r="S50" s="137">
        <f t="shared" si="6"/>
        <v>0</v>
      </c>
      <c r="T50" s="137">
        <f t="shared" si="7"/>
        <v>0</v>
      </c>
      <c r="U50" s="135">
        <f>IF(J50=0,(S50+T50/EERR!$D$2/1.19),(S50+T50/EERR!$D$2/1.19)/J50)</f>
        <v>0</v>
      </c>
      <c r="V50" s="137">
        <f>T50+S50*EERR!$D$2</f>
        <v>0</v>
      </c>
      <c r="W50" s="132">
        <f ca="1">SUMIF(Siteminder!$A$5:$J$164,Nov!G50,Siteminder!$M$5:$M$164)</f>
        <v>0</v>
      </c>
      <c r="X50" s="250">
        <f>SUMIF(Transbank!$A$2:$A$462,B50,Transbank!$L$2:$L$462)+SUMIF(Transbank!$A$2:$A$462,C50,Transbank!$L$2:$L$462)+SUMIF(Transbank!$A$2:$A$462,D50,Transbank!$L$2:$L$462)+(K50+O50)+(L50+P50)*EERR!$D$2</f>
        <v>0</v>
      </c>
      <c r="Y50" s="250">
        <f>X50/EERR!$D$2</f>
        <v>0</v>
      </c>
      <c r="Z50" s="260">
        <f t="shared" si="2"/>
        <v>0</v>
      </c>
      <c r="AA50" s="132">
        <f>+Z50/EERR!$D$2</f>
        <v>0</v>
      </c>
    </row>
    <row r="51" spans="1:6143 6145:7168 7170:16380" s="132" customFormat="1" ht="15" customHeight="1" x14ac:dyDescent="0.25">
      <c r="A51" s="243"/>
      <c r="B51" s="276"/>
      <c r="C51" s="276"/>
      <c r="D51" s="276"/>
      <c r="E51" s="244"/>
      <c r="F51" s="244"/>
      <c r="G51" s="244"/>
      <c r="H51" s="245"/>
      <c r="I51" s="245"/>
      <c r="J51" s="244"/>
      <c r="K51" s="246"/>
      <c r="L51" s="247"/>
      <c r="M51" s="246"/>
      <c r="N51" s="246"/>
      <c r="O51" s="246"/>
      <c r="P51" s="246"/>
      <c r="Q51" s="246"/>
      <c r="R51" s="246"/>
      <c r="S51" s="137">
        <f t="shared" si="6"/>
        <v>0</v>
      </c>
      <c r="T51" s="137">
        <f t="shared" si="7"/>
        <v>0</v>
      </c>
      <c r="U51" s="135">
        <f>IF(J51=0,(S51+T51/EERR!$D$2/1.19),(S51+T51/EERR!$D$2/1.19)/J51)</f>
        <v>0</v>
      </c>
      <c r="V51" s="137">
        <f>T51+S51*EERR!$D$2</f>
        <v>0</v>
      </c>
      <c r="W51" s="132">
        <f ca="1">SUMIF(Siteminder!$A$5:$J$164,Nov!G51,Siteminder!$M$5:$M$164)</f>
        <v>0</v>
      </c>
      <c r="X51" s="250">
        <f>SUMIF(Transbank!$A$2:$A$462,B51,Transbank!$L$2:$L$462)+SUMIF(Transbank!$A$2:$A$462,C51,Transbank!$L$2:$L$462)+SUMIF(Transbank!$A$2:$A$462,D51,Transbank!$L$2:$L$462)+(K51+O51)+(L51+P51)*EERR!$D$2</f>
        <v>0</v>
      </c>
      <c r="Y51" s="250">
        <f>X51/EERR!$D$2</f>
        <v>0</v>
      </c>
      <c r="Z51" s="260">
        <f t="shared" si="2"/>
        <v>0</v>
      </c>
      <c r="AA51" s="132">
        <f>+Z51/EERR!$D$2</f>
        <v>0</v>
      </c>
    </row>
    <row r="52" spans="1:6143 6145:7168 7170:16380" s="132" customFormat="1" ht="15" customHeight="1" x14ac:dyDescent="0.25">
      <c r="A52" s="243"/>
      <c r="B52" s="276"/>
      <c r="C52" s="276"/>
      <c r="D52" s="276"/>
      <c r="E52" s="244"/>
      <c r="F52" s="244"/>
      <c r="G52" s="244"/>
      <c r="H52" s="245"/>
      <c r="I52" s="245"/>
      <c r="J52" s="244"/>
      <c r="K52" s="246"/>
      <c r="L52" s="247"/>
      <c r="M52" s="246"/>
      <c r="N52" s="246"/>
      <c r="O52" s="246"/>
      <c r="P52" s="246"/>
      <c r="Q52" s="246"/>
      <c r="R52" s="246"/>
      <c r="S52" s="137">
        <f t="shared" si="6"/>
        <v>0</v>
      </c>
      <c r="T52" s="137">
        <f t="shared" si="7"/>
        <v>0</v>
      </c>
      <c r="U52" s="135">
        <f>IF(J52=0,(S52+T52/EERR!$D$2/1.19),(S52+T52/EERR!$D$2/1.19)/J52)</f>
        <v>0</v>
      </c>
      <c r="V52" s="137">
        <f>T52+S52*EERR!$D$2</f>
        <v>0</v>
      </c>
      <c r="W52" s="132">
        <f ca="1">SUMIF(Siteminder!$A$5:$J$164,Nov!G52,Siteminder!$M$5:$M$164)</f>
        <v>0</v>
      </c>
      <c r="X52" s="250">
        <f>SUMIF(Transbank!$A$2:$A$462,B52,Transbank!$L$2:$L$462)+SUMIF(Transbank!$A$2:$A$462,C52,Transbank!$L$2:$L$462)+SUMIF(Transbank!$A$2:$A$462,D52,Transbank!$L$2:$L$462)+(K52+O52)+(L52+P52)*EERR!$D$2</f>
        <v>0</v>
      </c>
      <c r="Y52" s="250">
        <f>X52/EERR!$D$2</f>
        <v>0</v>
      </c>
      <c r="Z52" s="260">
        <f t="shared" si="2"/>
        <v>0</v>
      </c>
      <c r="AA52" s="132">
        <f>+Z52/EERR!$D$2</f>
        <v>0</v>
      </c>
    </row>
    <row r="53" spans="1:6143 6145:7168 7170:16380" s="132" customFormat="1" ht="15" customHeight="1" x14ac:dyDescent="0.25">
      <c r="A53" s="243"/>
      <c r="B53" s="276"/>
      <c r="C53" s="276"/>
      <c r="D53" s="276"/>
      <c r="E53" s="244"/>
      <c r="F53" s="244"/>
      <c r="G53" s="244"/>
      <c r="H53" s="245"/>
      <c r="I53" s="245"/>
      <c r="J53" s="244"/>
      <c r="K53" s="246"/>
      <c r="L53" s="247"/>
      <c r="M53" s="246"/>
      <c r="N53" s="246"/>
      <c r="O53" s="246"/>
      <c r="P53" s="246"/>
      <c r="Q53" s="246"/>
      <c r="R53" s="246"/>
      <c r="S53" s="137">
        <f t="shared" si="6"/>
        <v>0</v>
      </c>
      <c r="T53" s="137">
        <f t="shared" si="7"/>
        <v>0</v>
      </c>
      <c r="U53" s="135">
        <f>IF(J53=0,(S53+T53/EERR!$D$2/1.19),(S53+T53/EERR!$D$2/1.19)/J53)</f>
        <v>0</v>
      </c>
      <c r="V53" s="137">
        <f>T53+S53*EERR!$D$2</f>
        <v>0</v>
      </c>
      <c r="W53" s="132">
        <f ca="1">SUMIF(Siteminder!$A$5:$J$164,Nov!G53,Siteminder!$M$5:$M$164)</f>
        <v>0</v>
      </c>
      <c r="X53" s="250">
        <f>SUMIF(Transbank!$A$2:$A$462,B53,Transbank!$L$2:$L$462)+SUMIF(Transbank!$A$2:$A$462,C53,Transbank!$L$2:$L$462)+SUMIF(Transbank!$A$2:$A$462,D53,Transbank!$L$2:$L$462)+(K53+O53)+(L53+P53)*EERR!$D$2</f>
        <v>0</v>
      </c>
      <c r="Y53" s="250">
        <f>X53/EERR!$D$2</f>
        <v>0</v>
      </c>
      <c r="Z53" s="260">
        <f t="shared" si="2"/>
        <v>0</v>
      </c>
      <c r="AA53" s="132">
        <f>+Z53/EERR!$D$2</f>
        <v>0</v>
      </c>
    </row>
    <row r="54" spans="1:6143 6145:7168 7170:16380" s="132" customFormat="1" ht="15" customHeight="1" x14ac:dyDescent="0.25">
      <c r="A54" s="243"/>
      <c r="B54" s="276"/>
      <c r="C54" s="276"/>
      <c r="D54" s="276"/>
      <c r="E54" s="244"/>
      <c r="F54" s="244"/>
      <c r="G54" s="244"/>
      <c r="H54" s="245"/>
      <c r="I54" s="245"/>
      <c r="J54" s="244"/>
      <c r="K54" s="246"/>
      <c r="L54" s="247"/>
      <c r="M54" s="275"/>
      <c r="N54" s="275"/>
      <c r="O54" s="275"/>
      <c r="P54" s="275"/>
      <c r="Q54" s="275"/>
      <c r="R54" s="275"/>
      <c r="S54" s="137">
        <f t="shared" si="6"/>
        <v>0</v>
      </c>
      <c r="T54" s="137">
        <f t="shared" si="7"/>
        <v>0</v>
      </c>
      <c r="U54" s="135">
        <f>IF(J54=0,(S54+T54/EERR!$D$2/1.19),(S54+T54/EERR!$D$2/1.19)/J54)</f>
        <v>0</v>
      </c>
      <c r="V54" s="137">
        <f>T54+S54*EERR!$D$2</f>
        <v>0</v>
      </c>
      <c r="W54" s="132">
        <f ca="1">SUMIF(Siteminder!$A$5:$J$164,Nov!G54,Siteminder!$M$5:$M$164)</f>
        <v>0</v>
      </c>
      <c r="X54" s="250">
        <f>SUMIF(Transbank!$A$2:$A$462,B54,Transbank!$L$2:$L$462)+SUMIF(Transbank!$A$2:$A$462,C54,Transbank!$L$2:$L$462)+SUMIF(Transbank!$A$2:$A$462,D54,Transbank!$L$2:$L$462)+(K54+O54)+(L54+P54)*EERR!$D$2</f>
        <v>0</v>
      </c>
      <c r="Y54" s="250">
        <f>X54/EERR!$D$2</f>
        <v>0</v>
      </c>
      <c r="Z54" s="260">
        <f t="shared" si="2"/>
        <v>0</v>
      </c>
      <c r="AA54" s="132">
        <f>+Z54/EERR!$D$2</f>
        <v>0</v>
      </c>
    </row>
    <row r="55" spans="1:6143 6145:7168 7170:16380" s="132" customFormat="1" ht="15" customHeight="1" x14ac:dyDescent="0.25">
      <c r="A55" s="243"/>
      <c r="B55" s="276"/>
      <c r="C55" s="276"/>
      <c r="D55" s="276"/>
      <c r="E55" s="244"/>
      <c r="F55" s="244"/>
      <c r="G55" s="244"/>
      <c r="H55" s="245"/>
      <c r="I55" s="245"/>
      <c r="J55" s="244"/>
      <c r="K55" s="246"/>
      <c r="L55" s="247"/>
      <c r="M55" s="275"/>
      <c r="N55" s="275"/>
      <c r="O55" s="275"/>
      <c r="P55" s="275"/>
      <c r="Q55" s="275"/>
      <c r="R55" s="275"/>
      <c r="S55" s="137">
        <f t="shared" si="6"/>
        <v>0</v>
      </c>
      <c r="T55" s="137">
        <f t="shared" si="7"/>
        <v>0</v>
      </c>
      <c r="U55" s="135">
        <f>IF(J55=0,(S55+T55/EERR!$D$2/1.19),(S55+T55/EERR!$D$2/1.19)/J55)</f>
        <v>0</v>
      </c>
      <c r="V55" s="137">
        <f>T55+S55*EERR!$D$2</f>
        <v>0</v>
      </c>
      <c r="W55" s="132">
        <f ca="1">SUMIF(Siteminder!$A$5:$J$164,Nov!G55,Siteminder!$M$5:$M$164)</f>
        <v>0</v>
      </c>
      <c r="X55" s="250">
        <f>SUMIF(Transbank!$A$2:$A$462,B55,Transbank!$L$2:$L$462)+SUMIF(Transbank!$A$2:$A$462,C55,Transbank!$L$2:$L$462)+SUMIF(Transbank!$A$2:$A$462,D55,Transbank!$L$2:$L$462)+(K55+O55)+(L55+P55)*EERR!$D$2</f>
        <v>0</v>
      </c>
      <c r="Y55" s="250">
        <f>X55/EERR!$D$2</f>
        <v>0</v>
      </c>
      <c r="Z55" s="260">
        <f t="shared" si="2"/>
        <v>0</v>
      </c>
      <c r="AA55" s="132">
        <f>+Z55/EERR!$D$2</f>
        <v>0</v>
      </c>
      <c r="AB55" s="276"/>
      <c r="AC55" s="245"/>
      <c r="AD55" s="245"/>
      <c r="AE55" s="244"/>
      <c r="AF55" s="246"/>
      <c r="AG55" s="247"/>
      <c r="AH55" s="275"/>
      <c r="AI55" s="275"/>
      <c r="AJ55" s="275"/>
      <c r="AK55" s="275"/>
      <c r="AL55" s="275"/>
      <c r="AM55" s="275"/>
      <c r="AN55" s="137"/>
      <c r="AO55" s="137"/>
      <c r="AP55" s="135"/>
      <c r="AQ55" s="137"/>
      <c r="AS55" s="250"/>
      <c r="AT55" s="250"/>
      <c r="AU55" s="243"/>
      <c r="AV55" s="276"/>
      <c r="AW55" s="276"/>
      <c r="AX55" s="276"/>
      <c r="AY55" s="244"/>
      <c r="AZ55" s="244"/>
      <c r="BA55" s="244"/>
      <c r="BB55" s="245"/>
      <c r="BC55" s="245"/>
      <c r="BD55" s="244"/>
      <c r="BE55" s="246"/>
      <c r="BF55" s="247"/>
      <c r="BG55" s="275"/>
      <c r="BH55" s="275"/>
      <c r="BI55" s="275"/>
      <c r="BJ55" s="275"/>
      <c r="BK55" s="275"/>
      <c r="BL55" s="275"/>
      <c r="BM55" s="137"/>
      <c r="BN55" s="137"/>
      <c r="BO55" s="135"/>
      <c r="BP55" s="137"/>
      <c r="BR55" s="250"/>
      <c r="BS55" s="250"/>
      <c r="BT55" s="243"/>
      <c r="BU55" s="276"/>
      <c r="BV55" s="276"/>
      <c r="BW55" s="276"/>
      <c r="BX55" s="244"/>
      <c r="BY55" s="244"/>
      <c r="BZ55" s="244"/>
      <c r="CA55" s="245"/>
      <c r="CB55" s="245"/>
      <c r="CC55" s="244"/>
      <c r="CD55" s="246"/>
      <c r="CE55" s="247"/>
      <c r="CF55" s="275"/>
      <c r="CG55" s="275"/>
      <c r="CH55" s="275"/>
      <c r="CI55" s="275"/>
      <c r="CJ55" s="275"/>
      <c r="CK55" s="275"/>
      <c r="CL55" s="137"/>
      <c r="CM55" s="137"/>
      <c r="CN55" s="135"/>
      <c r="CO55" s="137"/>
      <c r="CQ55" s="250"/>
      <c r="CR55" s="250"/>
      <c r="CS55" s="243"/>
      <c r="CT55" s="276"/>
      <c r="CU55" s="276"/>
      <c r="CV55" s="276"/>
      <c r="CW55" s="244"/>
      <c r="CX55" s="244"/>
      <c r="CY55" s="244"/>
      <c r="CZ55" s="245"/>
      <c r="DA55" s="245"/>
      <c r="DB55" s="244"/>
      <c r="DC55" s="246"/>
      <c r="DD55" s="247"/>
      <c r="DE55" s="275"/>
      <c r="DF55" s="275"/>
      <c r="DG55" s="275"/>
      <c r="DH55" s="275"/>
      <c r="DI55" s="275"/>
      <c r="DJ55" s="275"/>
      <c r="DK55" s="137"/>
      <c r="DL55" s="137"/>
      <c r="DM55" s="135"/>
      <c r="DN55" s="137"/>
      <c r="DP55" s="250"/>
      <c r="DQ55" s="250"/>
      <c r="DR55" s="243"/>
      <c r="DS55" s="276"/>
      <c r="DT55" s="276"/>
      <c r="DU55" s="276"/>
      <c r="DV55" s="244"/>
      <c r="DW55" s="244"/>
      <c r="DX55" s="244"/>
      <c r="DY55" s="245"/>
      <c r="DZ55" s="245"/>
      <c r="EA55" s="244"/>
      <c r="EB55" s="246"/>
      <c r="EC55" s="247"/>
      <c r="ED55" s="275"/>
      <c r="EE55" s="275"/>
      <c r="EF55" s="275"/>
      <c r="EG55" s="275"/>
      <c r="EH55" s="275"/>
      <c r="EI55" s="275"/>
      <c r="EJ55" s="137"/>
      <c r="EK55" s="137"/>
      <c r="EL55" s="135"/>
      <c r="EM55" s="137"/>
      <c r="EO55" s="250"/>
      <c r="EP55" s="250"/>
      <c r="EQ55" s="243"/>
      <c r="ER55" s="276"/>
      <c r="ES55" s="276"/>
      <c r="ET55" s="276"/>
      <c r="EU55" s="244"/>
      <c r="EV55" s="244"/>
      <c r="EW55" s="244"/>
      <c r="EX55" s="245"/>
      <c r="EY55" s="245"/>
      <c r="EZ55" s="244"/>
      <c r="FA55" s="246"/>
      <c r="FB55" s="247"/>
      <c r="FC55" s="275"/>
      <c r="FD55" s="275"/>
      <c r="FE55" s="275"/>
      <c r="FF55" s="275"/>
      <c r="FG55" s="275"/>
      <c r="FH55" s="275"/>
      <c r="FI55" s="137"/>
      <c r="FJ55" s="137"/>
      <c r="FK55" s="135"/>
      <c r="FL55" s="137"/>
      <c r="FN55" s="250"/>
      <c r="FO55" s="250"/>
      <c r="FP55" s="243"/>
      <c r="FQ55" s="276"/>
      <c r="FR55" s="276"/>
      <c r="FS55" s="276"/>
      <c r="FT55" s="244"/>
      <c r="FU55" s="244"/>
      <c r="FV55" s="244"/>
      <c r="FW55" s="245"/>
      <c r="FX55" s="245"/>
      <c r="FY55" s="244"/>
      <c r="FZ55" s="246"/>
      <c r="GA55" s="247"/>
      <c r="GB55" s="275"/>
      <c r="GC55" s="275"/>
      <c r="GD55" s="275"/>
      <c r="GE55" s="275"/>
      <c r="GF55" s="275"/>
      <c r="GG55" s="275"/>
      <c r="GH55" s="137"/>
      <c r="GI55" s="137"/>
      <c r="GJ55" s="135"/>
      <c r="GK55" s="137"/>
      <c r="GM55" s="250"/>
      <c r="GN55" s="250"/>
      <c r="GO55" s="243"/>
      <c r="GP55" s="276"/>
      <c r="GQ55" s="276"/>
      <c r="GR55" s="276"/>
      <c r="GS55" s="244"/>
      <c r="GT55" s="244"/>
      <c r="GU55" s="244"/>
      <c r="GV55" s="245"/>
      <c r="GW55" s="245"/>
      <c r="GX55" s="244"/>
      <c r="GY55" s="246"/>
      <c r="GZ55" s="247"/>
      <c r="HA55" s="275"/>
      <c r="HB55" s="275"/>
      <c r="HC55" s="275"/>
      <c r="HD55" s="275"/>
      <c r="HE55" s="275"/>
      <c r="HF55" s="275"/>
      <c r="HG55" s="137"/>
      <c r="HH55" s="137"/>
      <c r="HI55" s="135"/>
      <c r="HJ55" s="137"/>
      <c r="HL55" s="250"/>
      <c r="HM55" s="250"/>
      <c r="HN55" s="243"/>
      <c r="HO55" s="276"/>
      <c r="HP55" s="276"/>
      <c r="HQ55" s="276"/>
      <c r="HR55" s="244"/>
      <c r="HS55" s="244"/>
      <c r="HT55" s="244"/>
      <c r="HU55" s="245"/>
      <c r="HV55" s="245"/>
      <c r="HW55" s="244"/>
      <c r="HX55" s="246"/>
      <c r="HY55" s="247"/>
      <c r="HZ55" s="275"/>
      <c r="IA55" s="275"/>
      <c r="IB55" s="275"/>
      <c r="IC55" s="275"/>
      <c r="ID55" s="275"/>
      <c r="IE55" s="275"/>
      <c r="IF55" s="137"/>
      <c r="IG55" s="137"/>
      <c r="IH55" s="135"/>
      <c r="II55" s="137"/>
      <c r="IK55" s="250"/>
      <c r="IL55" s="250"/>
      <c r="IM55" s="243"/>
      <c r="IN55" s="276"/>
      <c r="IO55" s="276"/>
      <c r="IP55" s="276"/>
      <c r="IQ55" s="244"/>
      <c r="IR55" s="244"/>
      <c r="IS55" s="244"/>
      <c r="IT55" s="245"/>
      <c r="IU55" s="245"/>
      <c r="IV55" s="244"/>
      <c r="IW55" s="246"/>
      <c r="IX55" s="247"/>
      <c r="IY55" s="275"/>
      <c r="IZ55" s="275"/>
      <c r="JA55" s="275"/>
      <c r="JB55" s="275"/>
      <c r="JC55" s="275"/>
      <c r="JD55" s="275"/>
      <c r="JE55" s="137"/>
      <c r="JF55" s="137"/>
      <c r="JG55" s="135"/>
      <c r="JH55" s="137"/>
      <c r="JJ55" s="250"/>
      <c r="JK55" s="250"/>
      <c r="JL55" s="243"/>
      <c r="JM55" s="276"/>
      <c r="JN55" s="276"/>
      <c r="JO55" s="276"/>
      <c r="JP55" s="244"/>
      <c r="JQ55" s="244"/>
      <c r="JR55" s="244"/>
      <c r="JS55" s="245"/>
      <c r="JT55" s="245"/>
      <c r="JU55" s="244"/>
      <c r="JV55" s="246"/>
      <c r="JW55" s="247"/>
      <c r="JX55" s="275"/>
      <c r="JY55" s="275"/>
      <c r="JZ55" s="275"/>
      <c r="KA55" s="275"/>
      <c r="KB55" s="275"/>
      <c r="KC55" s="275"/>
      <c r="KD55" s="137"/>
      <c r="KE55" s="137"/>
      <c r="KF55" s="135"/>
      <c r="KG55" s="137"/>
      <c r="KI55" s="250"/>
      <c r="KJ55" s="250"/>
      <c r="KK55" s="243"/>
      <c r="KL55" s="276"/>
      <c r="KM55" s="276"/>
      <c r="KN55" s="276"/>
      <c r="KO55" s="244"/>
      <c r="KP55" s="244"/>
      <c r="KQ55" s="244"/>
      <c r="KR55" s="245"/>
      <c r="KS55" s="245"/>
      <c r="KT55" s="244"/>
      <c r="KU55" s="246"/>
      <c r="KV55" s="247"/>
      <c r="KW55" s="275"/>
      <c r="KX55" s="275"/>
      <c r="KY55" s="275"/>
      <c r="KZ55" s="275"/>
      <c r="LA55" s="275"/>
      <c r="LB55" s="275"/>
      <c r="LC55" s="137"/>
      <c r="LD55" s="137"/>
      <c r="LE55" s="135"/>
      <c r="LF55" s="137"/>
      <c r="LH55" s="250"/>
      <c r="LI55" s="250"/>
      <c r="LJ55" s="243"/>
      <c r="LK55" s="276"/>
      <c r="LL55" s="276"/>
      <c r="LM55" s="276"/>
      <c r="LN55" s="244"/>
      <c r="LO55" s="244"/>
      <c r="LP55" s="244"/>
      <c r="LQ55" s="245"/>
      <c r="LR55" s="245"/>
      <c r="LS55" s="244"/>
      <c r="LT55" s="246"/>
      <c r="LU55" s="247"/>
      <c r="LV55" s="275"/>
      <c r="LW55" s="275"/>
      <c r="LX55" s="275"/>
      <c r="LY55" s="275"/>
      <c r="LZ55" s="275"/>
      <c r="MA55" s="275"/>
      <c r="MB55" s="137"/>
      <c r="MC55" s="137"/>
      <c r="MD55" s="135"/>
      <c r="ME55" s="137"/>
      <c r="MG55" s="250"/>
      <c r="MH55" s="250"/>
      <c r="MI55" s="243"/>
      <c r="MJ55" s="276"/>
      <c r="MK55" s="276"/>
      <c r="ML55" s="276"/>
      <c r="MM55" s="244"/>
      <c r="MN55" s="244"/>
      <c r="MO55" s="244"/>
      <c r="MP55" s="245"/>
      <c r="MQ55" s="245"/>
      <c r="MR55" s="244"/>
      <c r="MS55" s="246"/>
      <c r="MT55" s="247"/>
      <c r="MU55" s="275"/>
      <c r="MV55" s="275"/>
      <c r="MW55" s="275"/>
      <c r="MX55" s="275"/>
      <c r="MY55" s="275"/>
      <c r="MZ55" s="275"/>
      <c r="NA55" s="137"/>
      <c r="NB55" s="137"/>
      <c r="NC55" s="135"/>
      <c r="ND55" s="137"/>
      <c r="NF55" s="250"/>
      <c r="NG55" s="250"/>
      <c r="NH55" s="243"/>
      <c r="NI55" s="276"/>
      <c r="NJ55" s="276"/>
      <c r="NK55" s="276"/>
      <c r="NL55" s="244"/>
      <c r="NM55" s="244"/>
      <c r="NN55" s="244"/>
      <c r="NO55" s="245"/>
      <c r="NP55" s="245"/>
      <c r="NQ55" s="244"/>
      <c r="NR55" s="246"/>
      <c r="NS55" s="247"/>
      <c r="NT55" s="275"/>
      <c r="NU55" s="275"/>
      <c r="NV55" s="275"/>
      <c r="NW55" s="275"/>
      <c r="NX55" s="275"/>
      <c r="NY55" s="275"/>
      <c r="NZ55" s="137"/>
      <c r="OA55" s="137"/>
      <c r="OB55" s="135"/>
      <c r="OC55" s="137"/>
      <c r="OE55" s="250"/>
      <c r="OF55" s="250"/>
      <c r="OG55" s="243"/>
      <c r="OH55" s="276"/>
      <c r="OI55" s="276"/>
      <c r="OJ55" s="276"/>
      <c r="OK55" s="244"/>
      <c r="OL55" s="244"/>
      <c r="OM55" s="244"/>
      <c r="ON55" s="245"/>
      <c r="OO55" s="245"/>
      <c r="OP55" s="244"/>
      <c r="OQ55" s="246"/>
      <c r="OR55" s="247"/>
      <c r="OS55" s="275"/>
      <c r="OT55" s="275"/>
      <c r="OU55" s="275"/>
      <c r="OV55" s="275"/>
      <c r="OW55" s="275"/>
      <c r="OX55" s="275"/>
      <c r="OY55" s="137"/>
      <c r="OZ55" s="137"/>
      <c r="PA55" s="135"/>
      <c r="PB55" s="137"/>
      <c r="PD55" s="250"/>
      <c r="PE55" s="250"/>
      <c r="PF55" s="243"/>
      <c r="PG55" s="276"/>
      <c r="PH55" s="276"/>
      <c r="PI55" s="276"/>
      <c r="PJ55" s="244"/>
      <c r="PK55" s="244"/>
      <c r="PL55" s="244"/>
      <c r="PM55" s="245"/>
      <c r="PN55" s="245"/>
      <c r="PO55" s="244"/>
      <c r="PP55" s="246"/>
      <c r="PQ55" s="247"/>
      <c r="PR55" s="275"/>
      <c r="PS55" s="275"/>
      <c r="PT55" s="275"/>
      <c r="PU55" s="275"/>
      <c r="PV55" s="275"/>
      <c r="PW55" s="275"/>
      <c r="PX55" s="137"/>
      <c r="PY55" s="137"/>
      <c r="PZ55" s="135"/>
      <c r="QA55" s="137"/>
      <c r="QC55" s="250"/>
      <c r="QD55" s="250"/>
      <c r="QE55" s="243"/>
      <c r="QF55" s="276"/>
      <c r="QG55" s="276"/>
      <c r="QH55" s="276"/>
      <c r="QI55" s="244"/>
      <c r="QJ55" s="244"/>
      <c r="QK55" s="244"/>
      <c r="QL55" s="245"/>
      <c r="QM55" s="245"/>
      <c r="QN55" s="244"/>
      <c r="QO55" s="246"/>
      <c r="QP55" s="247"/>
      <c r="QQ55" s="275"/>
      <c r="QR55" s="275"/>
      <c r="QS55" s="275"/>
      <c r="QT55" s="275"/>
      <c r="QU55" s="275"/>
      <c r="QV55" s="275"/>
      <c r="QW55" s="137"/>
      <c r="QX55" s="137"/>
      <c r="QY55" s="135"/>
      <c r="QZ55" s="137"/>
      <c r="RB55" s="250"/>
      <c r="RC55" s="250"/>
      <c r="RD55" s="243"/>
      <c r="RE55" s="276"/>
      <c r="RF55" s="276"/>
      <c r="RG55" s="276"/>
      <c r="RH55" s="244"/>
      <c r="RI55" s="244"/>
      <c r="RJ55" s="244"/>
      <c r="RK55" s="245"/>
      <c r="RL55" s="245"/>
      <c r="RM55" s="244"/>
      <c r="RN55" s="246"/>
      <c r="RO55" s="247"/>
      <c r="RP55" s="275"/>
      <c r="RQ55" s="275"/>
      <c r="RR55" s="275"/>
      <c r="RS55" s="275"/>
      <c r="RT55" s="275"/>
      <c r="RU55" s="275"/>
      <c r="RV55" s="137"/>
      <c r="RW55" s="137"/>
      <c r="RX55" s="135"/>
      <c r="RY55" s="137"/>
      <c r="SA55" s="250"/>
      <c r="SB55" s="250"/>
      <c r="SC55" s="243"/>
      <c r="SD55" s="276"/>
      <c r="SE55" s="276"/>
      <c r="SF55" s="276"/>
      <c r="SG55" s="244"/>
      <c r="SH55" s="244"/>
      <c r="SI55" s="244"/>
      <c r="SJ55" s="245"/>
      <c r="SK55" s="245"/>
      <c r="SL55" s="244"/>
      <c r="SM55" s="246"/>
      <c r="SN55" s="247"/>
      <c r="SO55" s="275"/>
      <c r="SP55" s="275"/>
      <c r="SQ55" s="275"/>
      <c r="SR55" s="275"/>
      <c r="SS55" s="275"/>
      <c r="ST55" s="275"/>
      <c r="SU55" s="137"/>
      <c r="SV55" s="137"/>
      <c r="SW55" s="135"/>
      <c r="SX55" s="137"/>
      <c r="SZ55" s="250"/>
      <c r="TA55" s="250"/>
      <c r="TB55" s="243"/>
      <c r="TC55" s="276"/>
      <c r="TD55" s="276"/>
      <c r="TE55" s="276"/>
      <c r="TF55" s="244"/>
      <c r="TG55" s="244"/>
      <c r="TH55" s="244"/>
      <c r="TI55" s="245"/>
      <c r="TJ55" s="245"/>
      <c r="TK55" s="244"/>
      <c r="TL55" s="246"/>
      <c r="TM55" s="247"/>
      <c r="TN55" s="275"/>
      <c r="TO55" s="275"/>
      <c r="TP55" s="275"/>
      <c r="TQ55" s="275"/>
      <c r="TR55" s="275"/>
      <c r="TS55" s="275"/>
      <c r="TT55" s="137"/>
      <c r="TU55" s="137"/>
      <c r="TV55" s="135"/>
      <c r="TW55" s="137"/>
      <c r="TY55" s="250"/>
      <c r="TZ55" s="250"/>
      <c r="UA55" s="243"/>
      <c r="UB55" s="276"/>
      <c r="UC55" s="276"/>
      <c r="UD55" s="276"/>
      <c r="UE55" s="244"/>
      <c r="UF55" s="244"/>
      <c r="UG55" s="244"/>
      <c r="UH55" s="245"/>
      <c r="UI55" s="245"/>
      <c r="UJ55" s="244"/>
      <c r="UK55" s="246"/>
      <c r="UL55" s="247"/>
      <c r="UM55" s="275"/>
      <c r="UN55" s="275"/>
      <c r="UO55" s="275"/>
      <c r="UP55" s="275"/>
      <c r="UQ55" s="275"/>
      <c r="UR55" s="275"/>
      <c r="US55" s="137"/>
      <c r="UT55" s="137"/>
      <c r="UU55" s="135"/>
      <c r="UV55" s="137"/>
      <c r="UX55" s="250"/>
      <c r="UY55" s="250"/>
      <c r="UZ55" s="243"/>
      <c r="VA55" s="276"/>
      <c r="VB55" s="276"/>
      <c r="VC55" s="276"/>
      <c r="VD55" s="244"/>
      <c r="VE55" s="244"/>
      <c r="VF55" s="244"/>
      <c r="VG55" s="245"/>
      <c r="VH55" s="245"/>
      <c r="VI55" s="244"/>
      <c r="VJ55" s="246"/>
      <c r="VK55" s="247"/>
      <c r="VL55" s="275"/>
      <c r="VM55" s="275"/>
      <c r="VN55" s="275"/>
      <c r="VO55" s="275"/>
      <c r="VP55" s="275"/>
      <c r="VQ55" s="275"/>
      <c r="VR55" s="137"/>
      <c r="VS55" s="137"/>
      <c r="VT55" s="135"/>
      <c r="VU55" s="137"/>
      <c r="VW55" s="250"/>
      <c r="VX55" s="250"/>
      <c r="VY55" s="243"/>
      <c r="VZ55" s="276"/>
      <c r="WA55" s="276"/>
      <c r="WB55" s="276"/>
      <c r="WC55" s="244"/>
      <c r="WD55" s="244"/>
      <c r="WE55" s="244"/>
      <c r="WF55" s="245"/>
      <c r="WG55" s="245"/>
      <c r="WH55" s="244"/>
      <c r="WI55" s="246"/>
      <c r="WJ55" s="247"/>
      <c r="WK55" s="275"/>
      <c r="WL55" s="275"/>
      <c r="WM55" s="275"/>
      <c r="WN55" s="275"/>
      <c r="WO55" s="275"/>
      <c r="WP55" s="275"/>
      <c r="WQ55" s="137"/>
      <c r="WR55" s="137"/>
      <c r="WS55" s="135"/>
      <c r="WT55" s="137"/>
      <c r="WV55" s="250"/>
      <c r="WW55" s="250"/>
      <c r="WX55" s="243"/>
      <c r="WY55" s="276"/>
      <c r="WZ55" s="276"/>
      <c r="XA55" s="276"/>
      <c r="XB55" s="244"/>
      <c r="XC55" s="244"/>
      <c r="XD55" s="244"/>
      <c r="XE55" s="245"/>
      <c r="XF55" s="245"/>
      <c r="XG55" s="244"/>
      <c r="XH55" s="246"/>
      <c r="XI55" s="247"/>
      <c r="XJ55" s="275"/>
      <c r="XK55" s="275"/>
      <c r="XL55" s="275"/>
      <c r="XM55" s="275"/>
      <c r="XN55" s="275"/>
      <c r="XO55" s="275"/>
      <c r="XP55" s="137"/>
      <c r="XQ55" s="137"/>
      <c r="XR55" s="135"/>
      <c r="XS55" s="137"/>
      <c r="XU55" s="250"/>
      <c r="XV55" s="250"/>
      <c r="XW55" s="243"/>
      <c r="XX55" s="276"/>
      <c r="XY55" s="276"/>
      <c r="XZ55" s="276"/>
      <c r="YA55" s="244"/>
      <c r="YB55" s="244"/>
      <c r="YC55" s="244"/>
      <c r="YD55" s="245"/>
      <c r="YE55" s="245"/>
      <c r="YF55" s="244"/>
      <c r="YG55" s="246"/>
      <c r="YH55" s="247"/>
      <c r="YI55" s="275"/>
      <c r="YJ55" s="275"/>
      <c r="YK55" s="275"/>
      <c r="YL55" s="275"/>
      <c r="YM55" s="275"/>
      <c r="YN55" s="275"/>
      <c r="YO55" s="137"/>
      <c r="YP55" s="137"/>
      <c r="YQ55" s="135"/>
      <c r="YR55" s="137"/>
      <c r="YT55" s="250"/>
      <c r="YU55" s="250"/>
      <c r="YV55" s="243"/>
      <c r="YW55" s="276"/>
      <c r="YX55" s="276"/>
      <c r="YY55" s="276"/>
      <c r="YZ55" s="244"/>
      <c r="ZA55" s="244"/>
      <c r="ZB55" s="244"/>
      <c r="ZC55" s="245"/>
      <c r="ZD55" s="245"/>
      <c r="ZE55" s="244"/>
      <c r="ZF55" s="246"/>
      <c r="ZG55" s="247"/>
      <c r="ZH55" s="275"/>
      <c r="ZI55" s="275"/>
      <c r="ZJ55" s="275"/>
      <c r="ZK55" s="275"/>
      <c r="ZL55" s="275"/>
      <c r="ZM55" s="275"/>
      <c r="ZN55" s="137"/>
      <c r="ZO55" s="137"/>
      <c r="ZP55" s="135"/>
      <c r="ZQ55" s="137"/>
      <c r="ZS55" s="250"/>
      <c r="ZT55" s="250"/>
      <c r="ZU55" s="243"/>
      <c r="ZV55" s="276"/>
      <c r="ZW55" s="276"/>
      <c r="ZX55" s="276"/>
      <c r="ZY55" s="244"/>
      <c r="ZZ55" s="244"/>
      <c r="AAA55" s="244"/>
      <c r="AAB55" s="245"/>
      <c r="AAC55" s="245"/>
      <c r="AAD55" s="244"/>
      <c r="AAE55" s="246"/>
      <c r="AAF55" s="247"/>
      <c r="AAG55" s="275"/>
      <c r="AAH55" s="275"/>
      <c r="AAI55" s="275"/>
      <c r="AAJ55" s="275"/>
      <c r="AAK55" s="275"/>
      <c r="AAL55" s="275"/>
      <c r="AAM55" s="137"/>
      <c r="AAN55" s="137"/>
      <c r="AAO55" s="135"/>
      <c r="AAP55" s="137"/>
      <c r="AAR55" s="250"/>
      <c r="AAS55" s="250"/>
      <c r="AAT55" s="243"/>
      <c r="AAU55" s="276"/>
      <c r="AAV55" s="276"/>
      <c r="AAW55" s="276"/>
      <c r="AAX55" s="244"/>
      <c r="AAY55" s="244"/>
      <c r="AAZ55" s="244"/>
      <c r="ABA55" s="245"/>
      <c r="ABB55" s="245"/>
      <c r="ABC55" s="244"/>
      <c r="ABD55" s="246"/>
      <c r="ABE55" s="247"/>
      <c r="ABF55" s="275"/>
      <c r="ABG55" s="275"/>
      <c r="ABH55" s="275"/>
      <c r="ABI55" s="275"/>
      <c r="ABJ55" s="275"/>
      <c r="ABK55" s="275"/>
      <c r="ABL55" s="137"/>
      <c r="ABM55" s="137"/>
      <c r="ABN55" s="135"/>
      <c r="ABO55" s="137"/>
      <c r="ABQ55" s="250"/>
      <c r="ABR55" s="250"/>
      <c r="ABS55" s="243"/>
      <c r="ABT55" s="276"/>
      <c r="ABU55" s="276"/>
      <c r="ABV55" s="276"/>
      <c r="ABW55" s="244"/>
      <c r="ABX55" s="244"/>
      <c r="ABY55" s="244"/>
      <c r="ABZ55" s="245"/>
      <c r="ACA55" s="245"/>
      <c r="ACB55" s="244"/>
      <c r="ACC55" s="246"/>
      <c r="ACD55" s="247"/>
      <c r="ACE55" s="275"/>
      <c r="ACF55" s="275"/>
      <c r="ACG55" s="275"/>
      <c r="ACH55" s="275"/>
      <c r="ACI55" s="275"/>
      <c r="ACJ55" s="275"/>
      <c r="ACK55" s="137"/>
      <c r="ACL55" s="137"/>
      <c r="ACM55" s="135"/>
      <c r="ACN55" s="137"/>
      <c r="ACP55" s="250"/>
      <c r="ACQ55" s="250"/>
      <c r="ACR55" s="243"/>
      <c r="ACS55" s="276"/>
      <c r="ACT55" s="276"/>
      <c r="ACU55" s="276"/>
      <c r="ACV55" s="244"/>
      <c r="ACW55" s="244"/>
      <c r="ACX55" s="244"/>
      <c r="ACY55" s="245"/>
      <c r="ACZ55" s="245"/>
      <c r="ADA55" s="244"/>
      <c r="ADB55" s="246"/>
      <c r="ADC55" s="247"/>
      <c r="ADD55" s="275"/>
      <c r="ADE55" s="275"/>
      <c r="ADF55" s="275"/>
      <c r="ADG55" s="275"/>
      <c r="ADH55" s="275"/>
      <c r="ADI55" s="275"/>
      <c r="ADJ55" s="137"/>
      <c r="ADK55" s="137"/>
      <c r="ADL55" s="135"/>
      <c r="ADM55" s="137"/>
      <c r="ADO55" s="250"/>
      <c r="ADP55" s="250"/>
      <c r="ADQ55" s="243"/>
      <c r="ADR55" s="276"/>
      <c r="ADS55" s="276"/>
      <c r="ADT55" s="276"/>
      <c r="ADU55" s="244"/>
      <c r="ADV55" s="244"/>
      <c r="ADW55" s="244"/>
      <c r="ADX55" s="245"/>
      <c r="ADY55" s="245"/>
      <c r="ADZ55" s="244"/>
      <c r="AEA55" s="246"/>
      <c r="AEB55" s="247"/>
      <c r="AEC55" s="275"/>
      <c r="AED55" s="275"/>
      <c r="AEE55" s="275"/>
      <c r="AEF55" s="275"/>
      <c r="AEG55" s="275"/>
      <c r="AEH55" s="275"/>
      <c r="AEI55" s="137"/>
      <c r="AEJ55" s="137"/>
      <c r="AEK55" s="135"/>
      <c r="AEL55" s="137"/>
      <c r="AEN55" s="250"/>
      <c r="AEO55" s="250"/>
      <c r="AEP55" s="243"/>
      <c r="AEQ55" s="276"/>
      <c r="AER55" s="276"/>
      <c r="AES55" s="276"/>
      <c r="AET55" s="244"/>
      <c r="AEU55" s="244"/>
      <c r="AEV55" s="244"/>
      <c r="AEW55" s="245"/>
      <c r="AEX55" s="245"/>
      <c r="AEY55" s="244"/>
      <c r="AEZ55" s="246"/>
      <c r="AFA55" s="247"/>
      <c r="AFB55" s="275"/>
      <c r="AFC55" s="275"/>
      <c r="AFD55" s="275"/>
      <c r="AFE55" s="275"/>
      <c r="AFF55" s="275"/>
      <c r="AFG55" s="275"/>
      <c r="AFH55" s="137"/>
      <c r="AFI55" s="137"/>
      <c r="AFJ55" s="135"/>
      <c r="AFK55" s="137"/>
      <c r="AFM55" s="250"/>
      <c r="AFN55" s="250"/>
      <c r="AFO55" s="243"/>
      <c r="AFP55" s="276"/>
      <c r="AFQ55" s="276"/>
      <c r="AFR55" s="276"/>
      <c r="AFS55" s="244"/>
      <c r="AFT55" s="244"/>
      <c r="AFU55" s="244"/>
      <c r="AFV55" s="245"/>
      <c r="AFW55" s="245"/>
      <c r="AFX55" s="244"/>
      <c r="AFY55" s="246"/>
      <c r="AFZ55" s="247"/>
      <c r="AGA55" s="275"/>
      <c r="AGB55" s="275"/>
      <c r="AGC55" s="275"/>
      <c r="AGD55" s="275"/>
      <c r="AGE55" s="275"/>
      <c r="AGF55" s="275"/>
      <c r="AGG55" s="137"/>
      <c r="AGH55" s="137"/>
      <c r="AGI55" s="135"/>
      <c r="AGJ55" s="137"/>
      <c r="AGL55" s="250"/>
      <c r="AGM55" s="250"/>
      <c r="AGN55" s="243"/>
      <c r="AGO55" s="276"/>
      <c r="AGP55" s="276"/>
      <c r="AGQ55" s="276"/>
      <c r="AGR55" s="244"/>
      <c r="AGS55" s="244"/>
      <c r="AGT55" s="244"/>
      <c r="AGU55" s="245"/>
      <c r="AGV55" s="245"/>
      <c r="AGW55" s="244"/>
      <c r="AGX55" s="246"/>
      <c r="AGY55" s="247"/>
      <c r="AGZ55" s="275"/>
      <c r="AHA55" s="275"/>
      <c r="AHB55" s="275"/>
      <c r="AHC55" s="275"/>
      <c r="AHD55" s="275"/>
      <c r="AHE55" s="275"/>
      <c r="AHF55" s="137"/>
      <c r="AHG55" s="137"/>
      <c r="AHH55" s="135"/>
      <c r="AHI55" s="137"/>
      <c r="AHK55" s="250"/>
      <c r="AHL55" s="250"/>
      <c r="AHM55" s="243"/>
      <c r="AHN55" s="276"/>
      <c r="AHO55" s="276"/>
      <c r="AHP55" s="276"/>
      <c r="AHQ55" s="244"/>
      <c r="AHR55" s="244"/>
      <c r="AHS55" s="244"/>
      <c r="AHT55" s="245"/>
      <c r="AHU55" s="245"/>
      <c r="AHV55" s="244"/>
      <c r="AHW55" s="246"/>
      <c r="AHX55" s="247"/>
      <c r="AHY55" s="275"/>
      <c r="AHZ55" s="275"/>
      <c r="AIA55" s="275"/>
      <c r="AIB55" s="275"/>
      <c r="AIC55" s="275"/>
      <c r="AID55" s="275"/>
      <c r="AIE55" s="137"/>
      <c r="AIF55" s="137"/>
      <c r="AIG55" s="135"/>
      <c r="AIH55" s="137"/>
      <c r="AIJ55" s="250"/>
      <c r="AIK55" s="250"/>
      <c r="AIL55" s="243"/>
      <c r="AIM55" s="276"/>
      <c r="AIN55" s="276"/>
      <c r="AIO55" s="276"/>
      <c r="AIP55" s="244"/>
      <c r="AIQ55" s="244"/>
      <c r="AIR55" s="244"/>
      <c r="AIS55" s="245"/>
      <c r="AIT55" s="245"/>
      <c r="AIU55" s="244"/>
      <c r="AIV55" s="246"/>
      <c r="AIW55" s="247"/>
      <c r="AIX55" s="275"/>
      <c r="AIY55" s="275"/>
      <c r="AIZ55" s="275"/>
      <c r="AJA55" s="275"/>
      <c r="AJB55" s="275"/>
      <c r="AJC55" s="275"/>
      <c r="AJD55" s="137"/>
      <c r="AJE55" s="137"/>
      <c r="AJF55" s="135"/>
      <c r="AJG55" s="137"/>
      <c r="AJI55" s="250"/>
      <c r="AJJ55" s="250"/>
      <c r="AJK55" s="243"/>
      <c r="AJL55" s="276"/>
      <c r="AJM55" s="276"/>
      <c r="AJN55" s="276"/>
      <c r="AJO55" s="244"/>
      <c r="AJP55" s="244"/>
      <c r="AJQ55" s="244"/>
      <c r="AJR55" s="245"/>
      <c r="AJS55" s="245"/>
      <c r="AJT55" s="244"/>
      <c r="AJU55" s="246"/>
      <c r="AJV55" s="247"/>
      <c r="AJW55" s="275"/>
      <c r="AJX55" s="275"/>
      <c r="AJY55" s="275"/>
      <c r="AJZ55" s="275"/>
      <c r="AKA55" s="275"/>
      <c r="AKB55" s="275"/>
      <c r="AKC55" s="137"/>
      <c r="AKD55" s="137"/>
      <c r="AKE55" s="135"/>
      <c r="AKF55" s="137"/>
      <c r="AKH55" s="250"/>
      <c r="AKI55" s="250"/>
      <c r="AKJ55" s="243"/>
      <c r="AKK55" s="276"/>
      <c r="AKL55" s="276"/>
      <c r="AKM55" s="276"/>
      <c r="AKN55" s="244"/>
      <c r="AKO55" s="244"/>
      <c r="AKP55" s="244"/>
      <c r="AKQ55" s="245"/>
      <c r="AKR55" s="245"/>
      <c r="AKS55" s="244"/>
      <c r="AKT55" s="246"/>
      <c r="AKU55" s="247"/>
      <c r="AKV55" s="275"/>
      <c r="AKW55" s="275"/>
      <c r="AKX55" s="275"/>
      <c r="AKY55" s="275"/>
      <c r="AKZ55" s="275"/>
      <c r="ALA55" s="275"/>
      <c r="ALB55" s="137"/>
      <c r="ALC55" s="137"/>
      <c r="ALD55" s="135"/>
      <c r="ALE55" s="137"/>
      <c r="ALG55" s="250"/>
      <c r="ALH55" s="250"/>
      <c r="ALI55" s="243"/>
      <c r="ALJ55" s="276"/>
      <c r="ALK55" s="276"/>
      <c r="ALL55" s="276"/>
      <c r="ALM55" s="244"/>
      <c r="ALN55" s="244"/>
      <c r="ALO55" s="244"/>
      <c r="ALP55" s="245"/>
      <c r="ALQ55" s="245"/>
      <c r="ALR55" s="244"/>
      <c r="ALS55" s="246"/>
      <c r="ALT55" s="247"/>
      <c r="ALU55" s="275"/>
      <c r="ALV55" s="275"/>
      <c r="ALW55" s="275"/>
      <c r="ALX55" s="275"/>
      <c r="ALY55" s="275"/>
      <c r="ALZ55" s="275"/>
      <c r="AMA55" s="137"/>
      <c r="AMB55" s="137"/>
      <c r="AMC55" s="135"/>
      <c r="AMD55" s="137"/>
      <c r="AMF55" s="250"/>
      <c r="AMG55" s="250"/>
      <c r="AMH55" s="243"/>
      <c r="AMI55" s="276"/>
      <c r="AMJ55" s="276"/>
      <c r="AMK55" s="276"/>
      <c r="AML55" s="244"/>
      <c r="AMM55" s="244"/>
      <c r="AMN55" s="244"/>
      <c r="AMO55" s="245"/>
      <c r="AMP55" s="245"/>
      <c r="AMQ55" s="244"/>
      <c r="AMR55" s="246"/>
      <c r="AMS55" s="247"/>
      <c r="AMT55" s="275"/>
      <c r="AMU55" s="275"/>
      <c r="AMV55" s="275"/>
      <c r="AMW55" s="275"/>
      <c r="AMX55" s="275"/>
      <c r="AMY55" s="275"/>
      <c r="AMZ55" s="137"/>
      <c r="ANA55" s="137"/>
      <c r="ANB55" s="135"/>
      <c r="ANC55" s="137"/>
      <c r="ANE55" s="250"/>
      <c r="ANF55" s="250"/>
      <c r="ANG55" s="243"/>
      <c r="ANH55" s="276"/>
      <c r="ANI55" s="276"/>
      <c r="ANJ55" s="276"/>
      <c r="ANK55" s="244"/>
      <c r="ANL55" s="244"/>
      <c r="ANM55" s="244"/>
      <c r="ANN55" s="245"/>
      <c r="ANO55" s="245"/>
      <c r="ANP55" s="244"/>
      <c r="ANQ55" s="246"/>
      <c r="ANR55" s="247"/>
      <c r="ANS55" s="275"/>
      <c r="ANT55" s="275"/>
      <c r="ANU55" s="275"/>
      <c r="ANV55" s="275"/>
      <c r="ANW55" s="275"/>
      <c r="ANX55" s="275"/>
      <c r="ANY55" s="137"/>
      <c r="ANZ55" s="137"/>
      <c r="AOA55" s="135"/>
      <c r="AOB55" s="137"/>
      <c r="AOD55" s="250"/>
      <c r="AOE55" s="250"/>
      <c r="AOF55" s="243"/>
      <c r="AOG55" s="276"/>
      <c r="AOH55" s="276"/>
      <c r="AOI55" s="276"/>
      <c r="AOJ55" s="244"/>
      <c r="AOK55" s="244"/>
      <c r="AOL55" s="244"/>
      <c r="AOM55" s="245"/>
      <c r="AON55" s="245"/>
      <c r="AOO55" s="244"/>
      <c r="AOP55" s="246"/>
      <c r="AOQ55" s="247"/>
      <c r="AOR55" s="275"/>
      <c r="AOS55" s="275"/>
      <c r="AOT55" s="275"/>
      <c r="AOU55" s="275"/>
      <c r="AOV55" s="275"/>
      <c r="AOW55" s="275"/>
      <c r="AOX55" s="137"/>
      <c r="AOY55" s="137"/>
      <c r="AOZ55" s="135"/>
      <c r="APA55" s="137"/>
      <c r="APC55" s="250"/>
      <c r="APD55" s="250"/>
      <c r="APE55" s="243"/>
      <c r="APF55" s="276"/>
      <c r="APG55" s="276"/>
      <c r="APH55" s="276"/>
      <c r="API55" s="244"/>
      <c r="APJ55" s="244"/>
      <c r="APK55" s="244"/>
      <c r="APL55" s="245"/>
      <c r="APM55" s="245"/>
      <c r="APN55" s="244"/>
      <c r="APO55" s="246"/>
      <c r="APP55" s="247"/>
      <c r="APQ55" s="275"/>
      <c r="APR55" s="275"/>
      <c r="APS55" s="275"/>
      <c r="APT55" s="275"/>
      <c r="APU55" s="275"/>
      <c r="APV55" s="275"/>
      <c r="APW55" s="137"/>
      <c r="APX55" s="137"/>
      <c r="APY55" s="135"/>
      <c r="APZ55" s="137"/>
      <c r="AQB55" s="250"/>
      <c r="AQC55" s="250"/>
      <c r="AQD55" s="243"/>
      <c r="AQE55" s="276"/>
      <c r="AQF55" s="276"/>
      <c r="AQG55" s="276"/>
      <c r="AQH55" s="244"/>
      <c r="AQI55" s="244"/>
      <c r="AQJ55" s="244"/>
      <c r="AQK55" s="245"/>
      <c r="AQL55" s="245"/>
      <c r="AQM55" s="244"/>
      <c r="AQN55" s="246"/>
      <c r="AQO55" s="247"/>
      <c r="AQP55" s="275"/>
      <c r="AQQ55" s="275"/>
      <c r="AQR55" s="275"/>
      <c r="AQS55" s="275"/>
      <c r="AQT55" s="275"/>
      <c r="AQU55" s="275"/>
      <c r="AQV55" s="137"/>
      <c r="AQW55" s="137"/>
      <c r="AQX55" s="135"/>
      <c r="AQY55" s="137"/>
      <c r="ARA55" s="250"/>
      <c r="ARB55" s="250"/>
      <c r="ARC55" s="243"/>
      <c r="ARD55" s="276"/>
      <c r="ARE55" s="276"/>
      <c r="ARF55" s="276"/>
      <c r="ARG55" s="244"/>
      <c r="ARH55" s="244"/>
      <c r="ARI55" s="244"/>
      <c r="ARJ55" s="245"/>
      <c r="ARK55" s="245"/>
      <c r="ARL55" s="244"/>
      <c r="ARM55" s="246"/>
      <c r="ARN55" s="247"/>
      <c r="ARO55" s="275"/>
      <c r="ARP55" s="275"/>
      <c r="ARQ55" s="275"/>
      <c r="ARR55" s="275"/>
      <c r="ARS55" s="275"/>
      <c r="ART55" s="275"/>
      <c r="ARU55" s="137"/>
      <c r="ARV55" s="137"/>
      <c r="ARW55" s="135"/>
      <c r="ARX55" s="137"/>
      <c r="ARZ55" s="250"/>
      <c r="ASA55" s="250"/>
      <c r="ASB55" s="243"/>
      <c r="ASC55" s="276"/>
      <c r="ASD55" s="276"/>
      <c r="ASE55" s="276"/>
      <c r="ASF55" s="244"/>
      <c r="ASG55" s="244"/>
      <c r="ASH55" s="244"/>
      <c r="ASI55" s="245"/>
      <c r="ASJ55" s="245"/>
      <c r="ASK55" s="244"/>
      <c r="ASL55" s="246"/>
      <c r="ASM55" s="247"/>
      <c r="ASN55" s="275"/>
      <c r="ASO55" s="275"/>
      <c r="ASP55" s="275"/>
      <c r="ASQ55" s="275"/>
      <c r="ASR55" s="275"/>
      <c r="ASS55" s="275"/>
      <c r="AST55" s="137"/>
      <c r="ASU55" s="137"/>
      <c r="ASV55" s="135"/>
      <c r="ASW55" s="137"/>
      <c r="ASY55" s="250"/>
      <c r="ASZ55" s="250"/>
      <c r="ATA55" s="243"/>
      <c r="ATB55" s="276"/>
      <c r="ATC55" s="276"/>
      <c r="ATD55" s="276"/>
      <c r="ATE55" s="244"/>
      <c r="ATF55" s="244"/>
      <c r="ATG55" s="244"/>
      <c r="ATH55" s="245"/>
      <c r="ATI55" s="245"/>
      <c r="ATJ55" s="244"/>
      <c r="ATK55" s="246"/>
      <c r="ATL55" s="247"/>
      <c r="ATM55" s="275"/>
      <c r="ATN55" s="275"/>
      <c r="ATO55" s="275"/>
      <c r="ATP55" s="275"/>
      <c r="ATQ55" s="275"/>
      <c r="ATR55" s="275"/>
      <c r="ATS55" s="137"/>
      <c r="ATT55" s="137"/>
      <c r="ATU55" s="135"/>
      <c r="ATV55" s="137"/>
      <c r="ATX55" s="250"/>
      <c r="ATY55" s="250"/>
      <c r="ATZ55" s="243"/>
      <c r="AUA55" s="276"/>
      <c r="AUB55" s="276"/>
      <c r="AUC55" s="276"/>
      <c r="AUD55" s="244"/>
      <c r="AUE55" s="244"/>
      <c r="AUF55" s="244"/>
      <c r="AUG55" s="245"/>
      <c r="AUH55" s="245"/>
      <c r="AUI55" s="244"/>
      <c r="AUJ55" s="246"/>
      <c r="AUK55" s="247"/>
      <c r="AUL55" s="275"/>
      <c r="AUM55" s="275"/>
      <c r="AUN55" s="275"/>
      <c r="AUO55" s="275"/>
      <c r="AUP55" s="275"/>
      <c r="AUQ55" s="275"/>
      <c r="AUR55" s="137"/>
      <c r="AUS55" s="137"/>
      <c r="AUT55" s="135"/>
      <c r="AUU55" s="137"/>
      <c r="AUW55" s="250"/>
      <c r="AUX55" s="250"/>
      <c r="AUY55" s="243"/>
      <c r="AUZ55" s="276"/>
      <c r="AVA55" s="276"/>
      <c r="AVB55" s="276"/>
      <c r="AVC55" s="244"/>
      <c r="AVD55" s="244"/>
      <c r="AVE55" s="244"/>
      <c r="AVF55" s="245"/>
      <c r="AVG55" s="245"/>
      <c r="AVH55" s="244"/>
      <c r="AVI55" s="246"/>
      <c r="AVJ55" s="247"/>
      <c r="AVK55" s="275"/>
      <c r="AVL55" s="275"/>
      <c r="AVM55" s="275"/>
      <c r="AVN55" s="275"/>
      <c r="AVO55" s="275"/>
      <c r="AVP55" s="275"/>
      <c r="AVQ55" s="137"/>
      <c r="AVR55" s="137"/>
      <c r="AVS55" s="135"/>
      <c r="AVT55" s="137"/>
      <c r="AVV55" s="250"/>
      <c r="AVW55" s="250"/>
      <c r="AVX55" s="243"/>
      <c r="AVY55" s="276"/>
      <c r="AVZ55" s="276"/>
      <c r="AWA55" s="276"/>
      <c r="AWB55" s="244"/>
      <c r="AWC55" s="244"/>
      <c r="AWD55" s="244"/>
      <c r="AWE55" s="245"/>
      <c r="AWF55" s="245"/>
      <c r="AWG55" s="244"/>
      <c r="AWH55" s="246"/>
      <c r="AWI55" s="247"/>
      <c r="AWJ55" s="275"/>
      <c r="AWK55" s="275"/>
      <c r="AWL55" s="275"/>
      <c r="AWM55" s="275"/>
      <c r="AWN55" s="275"/>
      <c r="AWO55" s="275"/>
      <c r="AWP55" s="137"/>
      <c r="AWQ55" s="137"/>
      <c r="AWR55" s="135"/>
      <c r="AWS55" s="137"/>
      <c r="AWU55" s="250"/>
      <c r="AWV55" s="250"/>
      <c r="AWW55" s="243"/>
      <c r="AWX55" s="276"/>
      <c r="AWY55" s="276"/>
      <c r="AWZ55" s="276"/>
      <c r="AXA55" s="244"/>
      <c r="AXB55" s="244"/>
      <c r="AXC55" s="244"/>
      <c r="AXD55" s="245"/>
      <c r="AXE55" s="245"/>
      <c r="AXF55" s="244"/>
      <c r="AXG55" s="246"/>
      <c r="AXH55" s="247"/>
      <c r="AXI55" s="275"/>
      <c r="AXJ55" s="275"/>
      <c r="AXK55" s="275"/>
      <c r="AXL55" s="275"/>
      <c r="AXM55" s="275"/>
      <c r="AXN55" s="275"/>
      <c r="AXO55" s="137"/>
      <c r="AXP55" s="137"/>
      <c r="AXQ55" s="135"/>
      <c r="AXR55" s="137"/>
      <c r="AXT55" s="250"/>
      <c r="AXU55" s="250"/>
      <c r="AXV55" s="243"/>
      <c r="AXW55" s="276"/>
      <c r="AXX55" s="276"/>
      <c r="AXY55" s="276"/>
      <c r="AXZ55" s="244"/>
      <c r="AYA55" s="244"/>
      <c r="AYB55" s="244"/>
      <c r="AYC55" s="245"/>
      <c r="AYD55" s="245"/>
      <c r="AYE55" s="244"/>
      <c r="AYF55" s="246"/>
      <c r="AYG55" s="247"/>
      <c r="AYH55" s="275"/>
      <c r="AYI55" s="275"/>
      <c r="AYJ55" s="275"/>
      <c r="AYK55" s="275"/>
      <c r="AYL55" s="275"/>
      <c r="AYM55" s="275"/>
      <c r="AYN55" s="137"/>
      <c r="AYO55" s="137"/>
      <c r="AYP55" s="135"/>
      <c r="AYQ55" s="137"/>
      <c r="AYS55" s="250"/>
      <c r="AYT55" s="250"/>
      <c r="AYU55" s="243"/>
      <c r="AYV55" s="276"/>
      <c r="AYW55" s="276"/>
      <c r="AYX55" s="276"/>
      <c r="AYY55" s="244"/>
      <c r="AYZ55" s="244"/>
      <c r="AZA55" s="244"/>
      <c r="AZB55" s="245"/>
      <c r="AZC55" s="245"/>
      <c r="AZD55" s="244"/>
      <c r="AZE55" s="246"/>
      <c r="AZF55" s="247"/>
      <c r="AZG55" s="275"/>
      <c r="AZH55" s="275"/>
      <c r="AZI55" s="275"/>
      <c r="AZJ55" s="275"/>
      <c r="AZK55" s="275"/>
      <c r="AZL55" s="275"/>
      <c r="AZM55" s="137"/>
      <c r="AZN55" s="137"/>
      <c r="AZO55" s="135"/>
      <c r="AZP55" s="137"/>
      <c r="AZR55" s="250"/>
      <c r="AZS55" s="250"/>
      <c r="AZT55" s="243"/>
      <c r="AZU55" s="276"/>
      <c r="AZV55" s="276"/>
      <c r="AZW55" s="276"/>
      <c r="AZX55" s="244"/>
      <c r="AZY55" s="244"/>
      <c r="AZZ55" s="244"/>
      <c r="BAA55" s="245"/>
      <c r="BAB55" s="245"/>
      <c r="BAC55" s="244"/>
      <c r="BAD55" s="246"/>
      <c r="BAE55" s="247"/>
      <c r="BAF55" s="275"/>
      <c r="BAG55" s="275"/>
      <c r="BAH55" s="275"/>
      <c r="BAI55" s="275"/>
      <c r="BAJ55" s="275"/>
      <c r="BAK55" s="275"/>
      <c r="BAL55" s="137"/>
      <c r="BAM55" s="137"/>
      <c r="BAN55" s="135"/>
      <c r="BAO55" s="137"/>
      <c r="BAQ55" s="250"/>
      <c r="BAR55" s="250"/>
      <c r="BAS55" s="243"/>
      <c r="BAT55" s="276"/>
      <c r="BAU55" s="276"/>
      <c r="BAV55" s="276"/>
      <c r="BAW55" s="244"/>
      <c r="BAX55" s="244"/>
      <c r="BAY55" s="244"/>
      <c r="BAZ55" s="245"/>
      <c r="BBA55" s="245"/>
      <c r="BBB55" s="244"/>
      <c r="BBC55" s="246"/>
      <c r="BBD55" s="247"/>
      <c r="BBE55" s="275"/>
      <c r="BBF55" s="275"/>
      <c r="BBG55" s="275"/>
      <c r="BBH55" s="275"/>
      <c r="BBI55" s="275"/>
      <c r="BBJ55" s="275"/>
      <c r="BBK55" s="137"/>
      <c r="BBL55" s="137"/>
      <c r="BBM55" s="135"/>
      <c r="BBN55" s="137"/>
      <c r="BBP55" s="250"/>
      <c r="BBQ55" s="250"/>
      <c r="BBR55" s="243"/>
      <c r="BBS55" s="276"/>
      <c r="BBT55" s="276"/>
      <c r="BBU55" s="276"/>
      <c r="BBV55" s="244"/>
      <c r="BBW55" s="244"/>
      <c r="BBX55" s="244"/>
      <c r="BBY55" s="245"/>
      <c r="BBZ55" s="245"/>
      <c r="BCA55" s="244"/>
      <c r="BCB55" s="246"/>
      <c r="BCC55" s="247"/>
      <c r="BCD55" s="275"/>
      <c r="BCE55" s="275"/>
      <c r="BCF55" s="275"/>
      <c r="BCG55" s="275"/>
      <c r="BCH55" s="275"/>
      <c r="BCI55" s="275"/>
      <c r="BCJ55" s="137"/>
      <c r="BCK55" s="137"/>
      <c r="BCL55" s="135"/>
      <c r="BCM55" s="137"/>
      <c r="BCO55" s="250"/>
      <c r="BCP55" s="250"/>
      <c r="BCQ55" s="243"/>
      <c r="BCR55" s="276"/>
      <c r="BCS55" s="276"/>
      <c r="BCT55" s="276"/>
      <c r="BCU55" s="244"/>
      <c r="BCV55" s="244"/>
      <c r="BCW55" s="244"/>
      <c r="BCX55" s="245"/>
      <c r="BCY55" s="245"/>
      <c r="BCZ55" s="244"/>
      <c r="BDA55" s="246"/>
      <c r="BDB55" s="247"/>
      <c r="BDC55" s="275"/>
      <c r="BDD55" s="275"/>
      <c r="BDE55" s="275"/>
      <c r="BDF55" s="275"/>
      <c r="BDG55" s="275"/>
      <c r="BDH55" s="275"/>
      <c r="BDI55" s="137"/>
      <c r="BDJ55" s="137"/>
      <c r="BDK55" s="135"/>
      <c r="BDL55" s="137"/>
      <c r="BDN55" s="250"/>
      <c r="BDO55" s="250"/>
      <c r="BDP55" s="243"/>
      <c r="BDQ55" s="276"/>
      <c r="BDR55" s="276"/>
      <c r="BDS55" s="276"/>
      <c r="BDT55" s="244"/>
      <c r="BDU55" s="244"/>
      <c r="BDV55" s="244"/>
      <c r="BDW55" s="245"/>
      <c r="BDX55" s="245"/>
      <c r="BDY55" s="244"/>
      <c r="BDZ55" s="246"/>
      <c r="BEA55" s="247"/>
      <c r="BEB55" s="275"/>
      <c r="BEC55" s="275"/>
      <c r="BED55" s="275"/>
      <c r="BEE55" s="275"/>
      <c r="BEF55" s="275"/>
      <c r="BEG55" s="275"/>
      <c r="BEH55" s="137"/>
      <c r="BEI55" s="137"/>
      <c r="BEJ55" s="135"/>
      <c r="BEK55" s="137"/>
      <c r="BEM55" s="250"/>
      <c r="BEN55" s="250"/>
      <c r="BEO55" s="243"/>
      <c r="BEP55" s="276"/>
      <c r="BEQ55" s="276"/>
      <c r="BER55" s="276"/>
      <c r="BES55" s="244"/>
      <c r="BET55" s="244"/>
      <c r="BEU55" s="244"/>
      <c r="BEV55" s="245"/>
      <c r="BEW55" s="245"/>
      <c r="BEX55" s="244"/>
      <c r="BEY55" s="246"/>
      <c r="BEZ55" s="247"/>
      <c r="BFA55" s="275"/>
      <c r="BFB55" s="275"/>
      <c r="BFC55" s="275"/>
      <c r="BFD55" s="275"/>
      <c r="BFE55" s="275"/>
      <c r="BFF55" s="275"/>
      <c r="BFG55" s="137"/>
      <c r="BFH55" s="137"/>
      <c r="BFI55" s="135"/>
      <c r="BFJ55" s="137"/>
      <c r="BFL55" s="250"/>
      <c r="BFM55" s="250"/>
      <c r="BFN55" s="243"/>
      <c r="BFO55" s="276"/>
      <c r="BFP55" s="276"/>
      <c r="BFQ55" s="276"/>
      <c r="BFR55" s="244"/>
      <c r="BFS55" s="244"/>
      <c r="BFT55" s="244"/>
      <c r="BFU55" s="245"/>
      <c r="BFV55" s="245"/>
      <c r="BFW55" s="244"/>
      <c r="BFX55" s="246"/>
      <c r="BFY55" s="247"/>
      <c r="BFZ55" s="275"/>
      <c r="BGA55" s="275"/>
      <c r="BGB55" s="275"/>
      <c r="BGC55" s="275"/>
      <c r="BGD55" s="275"/>
      <c r="BGE55" s="275"/>
      <c r="BGF55" s="137"/>
      <c r="BGG55" s="137"/>
      <c r="BGH55" s="135"/>
      <c r="BGI55" s="137"/>
      <c r="BGK55" s="250"/>
      <c r="BGL55" s="250"/>
      <c r="BGM55" s="243"/>
      <c r="BGN55" s="276"/>
      <c r="BGO55" s="276"/>
      <c r="BGP55" s="276"/>
      <c r="BGQ55" s="244"/>
      <c r="BGR55" s="244"/>
      <c r="BGS55" s="244"/>
      <c r="BGT55" s="245"/>
      <c r="BGU55" s="245"/>
      <c r="BGV55" s="244"/>
      <c r="BGW55" s="246"/>
      <c r="BGX55" s="247"/>
      <c r="BGY55" s="275"/>
      <c r="BGZ55" s="275"/>
      <c r="BHA55" s="275"/>
      <c r="BHB55" s="275"/>
      <c r="BHC55" s="275"/>
      <c r="BHD55" s="275"/>
      <c r="BHE55" s="137"/>
      <c r="BHF55" s="137"/>
      <c r="BHG55" s="135"/>
      <c r="BHH55" s="137"/>
      <c r="BHJ55" s="250"/>
      <c r="BHK55" s="250"/>
      <c r="BHL55" s="243"/>
      <c r="BHM55" s="276"/>
      <c r="BHN55" s="276"/>
      <c r="BHO55" s="276"/>
      <c r="BHP55" s="244"/>
      <c r="BHQ55" s="244"/>
      <c r="BHR55" s="244"/>
      <c r="BHS55" s="245"/>
      <c r="BHT55" s="245"/>
      <c r="BHU55" s="244"/>
      <c r="BHV55" s="246"/>
      <c r="BHW55" s="247"/>
      <c r="BHX55" s="275"/>
      <c r="BHY55" s="275"/>
      <c r="BHZ55" s="275"/>
      <c r="BIA55" s="275"/>
      <c r="BIB55" s="275"/>
      <c r="BIC55" s="275"/>
      <c r="BID55" s="137"/>
      <c r="BIE55" s="137"/>
      <c r="BIF55" s="135"/>
      <c r="BIG55" s="137"/>
      <c r="BII55" s="250"/>
      <c r="BIJ55" s="250"/>
      <c r="BIK55" s="243"/>
      <c r="BIL55" s="276"/>
      <c r="BIM55" s="276"/>
      <c r="BIN55" s="276"/>
      <c r="BIO55" s="244"/>
      <c r="BIP55" s="244"/>
      <c r="BIQ55" s="244"/>
      <c r="BIR55" s="245"/>
      <c r="BIS55" s="245"/>
      <c r="BIT55" s="244"/>
      <c r="BIU55" s="246"/>
      <c r="BIV55" s="247"/>
      <c r="BIW55" s="275"/>
      <c r="BIX55" s="275"/>
      <c r="BIY55" s="275"/>
      <c r="BIZ55" s="275"/>
      <c r="BJA55" s="275"/>
      <c r="BJB55" s="275"/>
      <c r="BJC55" s="137"/>
      <c r="BJD55" s="137"/>
      <c r="BJE55" s="135"/>
      <c r="BJF55" s="137"/>
      <c r="BJH55" s="250"/>
      <c r="BJI55" s="250"/>
      <c r="BJJ55" s="243"/>
      <c r="BJK55" s="276"/>
      <c r="BJL55" s="276"/>
      <c r="BJM55" s="276"/>
      <c r="BJN55" s="244"/>
      <c r="BJO55" s="244"/>
      <c r="BJP55" s="244"/>
      <c r="BJQ55" s="245"/>
      <c r="BJR55" s="245"/>
      <c r="BJS55" s="244"/>
      <c r="BJT55" s="246"/>
      <c r="BJU55" s="247"/>
      <c r="BJV55" s="275"/>
      <c r="BJW55" s="275"/>
      <c r="BJX55" s="275"/>
      <c r="BJY55" s="275"/>
      <c r="BJZ55" s="275"/>
      <c r="BKA55" s="275"/>
      <c r="BKB55" s="137"/>
      <c r="BKC55" s="137"/>
      <c r="BKD55" s="135"/>
      <c r="BKE55" s="137"/>
      <c r="BKG55" s="250"/>
      <c r="BKH55" s="250"/>
      <c r="BKI55" s="243"/>
      <c r="BKJ55" s="276"/>
      <c r="BKK55" s="276"/>
      <c r="BKL55" s="276"/>
      <c r="BKM55" s="244"/>
      <c r="BKN55" s="244"/>
      <c r="BKO55" s="244"/>
      <c r="BKP55" s="245"/>
      <c r="BKQ55" s="245"/>
      <c r="BKR55" s="244"/>
      <c r="BKS55" s="246"/>
      <c r="BKT55" s="247"/>
      <c r="BKU55" s="275"/>
      <c r="BKV55" s="275"/>
      <c r="BKW55" s="275"/>
      <c r="BKX55" s="275"/>
      <c r="BKY55" s="275"/>
      <c r="BKZ55" s="275"/>
      <c r="BLA55" s="137"/>
      <c r="BLB55" s="137"/>
      <c r="BLC55" s="135"/>
      <c r="BLD55" s="137"/>
      <c r="BLF55" s="250"/>
      <c r="BLG55" s="250"/>
      <c r="BLH55" s="243"/>
      <c r="BLI55" s="276"/>
      <c r="BLJ55" s="276"/>
      <c r="BLK55" s="276"/>
      <c r="BLL55" s="244"/>
      <c r="BLM55" s="244"/>
      <c r="BLN55" s="244"/>
      <c r="BLO55" s="245"/>
      <c r="BLP55" s="245"/>
      <c r="BLQ55" s="244"/>
      <c r="BLR55" s="246"/>
      <c r="BLS55" s="247"/>
      <c r="BLT55" s="275"/>
      <c r="BLU55" s="275"/>
      <c r="BLV55" s="275"/>
      <c r="BLW55" s="275"/>
      <c r="BLX55" s="275"/>
      <c r="BLY55" s="275"/>
      <c r="BLZ55" s="137"/>
      <c r="BMA55" s="137"/>
      <c r="BMB55" s="135"/>
      <c r="BMC55" s="137"/>
      <c r="BME55" s="250"/>
      <c r="BMF55" s="250"/>
      <c r="BMG55" s="243"/>
      <c r="BMH55" s="276"/>
      <c r="BMI55" s="276"/>
      <c r="BMJ55" s="276"/>
      <c r="BMK55" s="244"/>
      <c r="BML55" s="244"/>
      <c r="BMM55" s="244"/>
      <c r="BMN55" s="245"/>
      <c r="BMO55" s="245"/>
      <c r="BMP55" s="244"/>
      <c r="BMQ55" s="246"/>
      <c r="BMR55" s="247"/>
      <c r="BMS55" s="275"/>
      <c r="BMT55" s="275"/>
      <c r="BMU55" s="275"/>
      <c r="BMV55" s="275"/>
      <c r="BMW55" s="275"/>
      <c r="BMX55" s="275"/>
      <c r="BMY55" s="137"/>
      <c r="BMZ55" s="137"/>
      <c r="BNA55" s="135"/>
      <c r="BNB55" s="137"/>
      <c r="BND55" s="250"/>
      <c r="BNE55" s="250"/>
      <c r="BNF55" s="243"/>
      <c r="BNG55" s="276"/>
      <c r="BNH55" s="276"/>
      <c r="BNI55" s="276"/>
      <c r="BNJ55" s="244"/>
      <c r="BNK55" s="244"/>
      <c r="BNL55" s="244"/>
      <c r="BNM55" s="245"/>
      <c r="BNN55" s="245"/>
      <c r="BNO55" s="244"/>
      <c r="BNP55" s="246"/>
      <c r="BNQ55" s="247"/>
      <c r="BNR55" s="275"/>
      <c r="BNS55" s="275"/>
      <c r="BNT55" s="275"/>
      <c r="BNU55" s="275"/>
      <c r="BNV55" s="275"/>
      <c r="BNW55" s="275"/>
      <c r="BNX55" s="137"/>
      <c r="BNY55" s="137"/>
      <c r="BNZ55" s="135"/>
      <c r="BOA55" s="137"/>
      <c r="BOC55" s="250"/>
      <c r="BOD55" s="250"/>
      <c r="BOE55" s="243"/>
      <c r="BOF55" s="276"/>
      <c r="BOG55" s="276"/>
      <c r="BOH55" s="276"/>
      <c r="BOI55" s="244"/>
      <c r="BOJ55" s="244"/>
      <c r="BOK55" s="244"/>
      <c r="BOL55" s="245"/>
      <c r="BOM55" s="245"/>
      <c r="BON55" s="244"/>
      <c r="BOO55" s="246"/>
      <c r="BOP55" s="247"/>
      <c r="BOQ55" s="275"/>
      <c r="BOR55" s="275"/>
      <c r="BOS55" s="275"/>
      <c r="BOT55" s="275"/>
      <c r="BOU55" s="275"/>
      <c r="BOV55" s="275"/>
      <c r="BOW55" s="137"/>
      <c r="BOX55" s="137"/>
      <c r="BOY55" s="135"/>
      <c r="BOZ55" s="137"/>
      <c r="BPB55" s="250"/>
      <c r="BPC55" s="250"/>
      <c r="BPD55" s="243"/>
      <c r="BPE55" s="276"/>
      <c r="BPF55" s="276"/>
      <c r="BPG55" s="276"/>
      <c r="BPH55" s="244"/>
      <c r="BPI55" s="244"/>
      <c r="BPJ55" s="244"/>
      <c r="BPK55" s="245"/>
      <c r="BPL55" s="245"/>
      <c r="BPM55" s="244"/>
      <c r="BPN55" s="246"/>
      <c r="BPO55" s="247"/>
      <c r="BPP55" s="275"/>
      <c r="BPQ55" s="275"/>
      <c r="BPR55" s="275"/>
      <c r="BPS55" s="275"/>
      <c r="BPT55" s="275"/>
      <c r="BPU55" s="275"/>
      <c r="BPV55" s="137"/>
      <c r="BPW55" s="137"/>
      <c r="BPX55" s="135"/>
      <c r="BPY55" s="137"/>
      <c r="BQA55" s="250"/>
      <c r="BQB55" s="250"/>
      <c r="BQC55" s="243"/>
      <c r="BQD55" s="276"/>
      <c r="BQE55" s="276"/>
      <c r="BQF55" s="276"/>
      <c r="BQG55" s="244"/>
      <c r="BQH55" s="244"/>
      <c r="BQI55" s="244"/>
      <c r="BQJ55" s="245"/>
      <c r="BQK55" s="245"/>
      <c r="BQL55" s="244"/>
      <c r="BQM55" s="246"/>
      <c r="BQN55" s="247"/>
      <c r="BQO55" s="275"/>
      <c r="BQP55" s="275"/>
      <c r="BQQ55" s="275"/>
      <c r="BQR55" s="275"/>
      <c r="BQS55" s="275"/>
      <c r="BQT55" s="275"/>
      <c r="BQU55" s="137"/>
      <c r="BQV55" s="137"/>
      <c r="BQW55" s="135"/>
      <c r="BQX55" s="137"/>
      <c r="BQZ55" s="250"/>
      <c r="BRA55" s="250"/>
      <c r="BRB55" s="243"/>
      <c r="BRC55" s="276"/>
      <c r="BRD55" s="276"/>
      <c r="BRE55" s="276"/>
      <c r="BRF55" s="244"/>
      <c r="BRG55" s="244"/>
      <c r="BRH55" s="244"/>
      <c r="BRI55" s="245"/>
      <c r="BRJ55" s="245"/>
      <c r="BRK55" s="244"/>
      <c r="BRL55" s="246"/>
      <c r="BRM55" s="247"/>
      <c r="BRN55" s="275"/>
      <c r="BRO55" s="275"/>
      <c r="BRP55" s="275"/>
      <c r="BRQ55" s="275"/>
      <c r="BRR55" s="275"/>
      <c r="BRS55" s="275"/>
      <c r="BRT55" s="137"/>
      <c r="BRU55" s="137"/>
      <c r="BRV55" s="135"/>
      <c r="BRW55" s="137"/>
      <c r="BRY55" s="250"/>
      <c r="BRZ55" s="250"/>
      <c r="BSA55" s="243"/>
      <c r="BSB55" s="276"/>
      <c r="BSC55" s="276"/>
      <c r="BSD55" s="276"/>
      <c r="BSE55" s="244"/>
      <c r="BSF55" s="244"/>
      <c r="BSG55" s="244"/>
      <c r="BSH55" s="245"/>
      <c r="BSI55" s="245"/>
      <c r="BSJ55" s="244"/>
      <c r="BSK55" s="246"/>
      <c r="BSL55" s="247"/>
      <c r="BSM55" s="275"/>
      <c r="BSN55" s="275"/>
      <c r="BSO55" s="275"/>
      <c r="BSP55" s="275"/>
      <c r="BSQ55" s="275"/>
      <c r="BSR55" s="275"/>
      <c r="BSS55" s="137"/>
      <c r="BST55" s="137"/>
      <c r="BSU55" s="135"/>
      <c r="BSV55" s="137"/>
      <c r="BSX55" s="250"/>
      <c r="BSY55" s="250"/>
      <c r="BSZ55" s="243"/>
      <c r="BTA55" s="276"/>
      <c r="BTB55" s="276"/>
      <c r="BTC55" s="276"/>
      <c r="BTD55" s="244"/>
      <c r="BTE55" s="244"/>
      <c r="BTF55" s="244"/>
      <c r="BTG55" s="245"/>
      <c r="BTH55" s="245"/>
      <c r="BTI55" s="244"/>
      <c r="BTJ55" s="246"/>
      <c r="BTK55" s="247"/>
      <c r="BTL55" s="275"/>
      <c r="BTM55" s="275"/>
      <c r="BTN55" s="275"/>
      <c r="BTO55" s="275"/>
      <c r="BTP55" s="275"/>
      <c r="BTQ55" s="275"/>
      <c r="BTR55" s="137"/>
      <c r="BTS55" s="137"/>
      <c r="BTT55" s="135"/>
      <c r="BTU55" s="137"/>
      <c r="BTW55" s="250"/>
      <c r="BTX55" s="250"/>
      <c r="BTY55" s="243"/>
      <c r="BTZ55" s="276"/>
      <c r="BUA55" s="276"/>
      <c r="BUB55" s="276"/>
      <c r="BUC55" s="244"/>
      <c r="BUD55" s="244"/>
      <c r="BUE55" s="244"/>
      <c r="BUF55" s="245"/>
      <c r="BUG55" s="245"/>
      <c r="BUH55" s="244"/>
      <c r="BUI55" s="246"/>
      <c r="BUJ55" s="247"/>
      <c r="BUK55" s="275"/>
      <c r="BUL55" s="275"/>
      <c r="BUM55" s="275"/>
      <c r="BUN55" s="275"/>
      <c r="BUO55" s="275"/>
      <c r="BUP55" s="275"/>
      <c r="BUQ55" s="137"/>
      <c r="BUR55" s="137"/>
      <c r="BUS55" s="135"/>
      <c r="BUT55" s="137"/>
      <c r="BUV55" s="250"/>
      <c r="BUW55" s="250"/>
      <c r="BUX55" s="243"/>
      <c r="BUY55" s="276"/>
      <c r="BUZ55" s="276"/>
      <c r="BVA55" s="276"/>
      <c r="BVB55" s="244"/>
      <c r="BVC55" s="244"/>
      <c r="BVD55" s="244"/>
      <c r="BVE55" s="245"/>
      <c r="BVF55" s="245"/>
      <c r="BVG55" s="244"/>
      <c r="BVH55" s="246"/>
      <c r="BVI55" s="247"/>
      <c r="BVJ55" s="275"/>
      <c r="BVK55" s="275"/>
      <c r="BVL55" s="275"/>
      <c r="BVM55" s="275"/>
      <c r="BVN55" s="275"/>
      <c r="BVO55" s="275"/>
      <c r="BVP55" s="137"/>
      <c r="BVQ55" s="137"/>
      <c r="BVR55" s="135"/>
      <c r="BVS55" s="137"/>
      <c r="BVU55" s="250"/>
      <c r="BVV55" s="250"/>
      <c r="BVW55" s="243"/>
      <c r="BVX55" s="276"/>
      <c r="BVY55" s="276"/>
      <c r="BVZ55" s="276"/>
      <c r="BWA55" s="244"/>
      <c r="BWB55" s="244"/>
      <c r="BWC55" s="244"/>
      <c r="BWD55" s="245"/>
      <c r="BWE55" s="245"/>
      <c r="BWF55" s="244"/>
      <c r="BWG55" s="246"/>
      <c r="BWH55" s="247"/>
      <c r="BWI55" s="275"/>
      <c r="BWJ55" s="275"/>
      <c r="BWK55" s="275"/>
      <c r="BWL55" s="275"/>
      <c r="BWM55" s="275"/>
      <c r="BWN55" s="275"/>
      <c r="BWO55" s="137"/>
      <c r="BWP55" s="137"/>
      <c r="BWQ55" s="135"/>
      <c r="BWR55" s="137"/>
      <c r="BWT55" s="250"/>
      <c r="BWU55" s="250"/>
      <c r="BWV55" s="243"/>
      <c r="BWW55" s="276"/>
      <c r="BWX55" s="276"/>
      <c r="BWY55" s="276"/>
      <c r="BWZ55" s="244"/>
      <c r="BXA55" s="244"/>
      <c r="BXB55" s="244"/>
      <c r="BXC55" s="245"/>
      <c r="BXD55" s="245"/>
      <c r="BXE55" s="244"/>
      <c r="BXF55" s="246"/>
      <c r="BXG55" s="247"/>
      <c r="BXH55" s="275"/>
      <c r="BXI55" s="275"/>
      <c r="BXJ55" s="275"/>
      <c r="BXK55" s="275"/>
      <c r="BXL55" s="275"/>
      <c r="BXM55" s="275"/>
      <c r="BXN55" s="137"/>
      <c r="BXO55" s="137"/>
      <c r="BXP55" s="135"/>
      <c r="BXQ55" s="137"/>
      <c r="BXS55" s="250"/>
      <c r="BXT55" s="250"/>
      <c r="BXU55" s="243"/>
      <c r="BXV55" s="276"/>
      <c r="BXW55" s="276"/>
      <c r="BXX55" s="276"/>
      <c r="BXY55" s="244"/>
      <c r="BXZ55" s="244"/>
      <c r="BYA55" s="244"/>
      <c r="BYB55" s="245"/>
      <c r="BYC55" s="245"/>
      <c r="BYD55" s="244"/>
      <c r="BYE55" s="246"/>
      <c r="BYF55" s="247"/>
      <c r="BYG55" s="275"/>
      <c r="BYH55" s="275"/>
      <c r="BYI55" s="275"/>
      <c r="BYJ55" s="275"/>
      <c r="BYK55" s="275"/>
      <c r="BYL55" s="275"/>
      <c r="BYM55" s="137"/>
      <c r="BYN55" s="137"/>
      <c r="BYO55" s="135"/>
      <c r="BYP55" s="137"/>
      <c r="BYR55" s="250"/>
      <c r="BYS55" s="250"/>
      <c r="BYT55" s="243"/>
      <c r="BYU55" s="276"/>
      <c r="BYV55" s="276"/>
      <c r="BYW55" s="276"/>
      <c r="BYX55" s="244"/>
      <c r="BYY55" s="244"/>
      <c r="BYZ55" s="244"/>
      <c r="BZA55" s="245"/>
      <c r="BZB55" s="245"/>
      <c r="BZC55" s="244"/>
      <c r="BZD55" s="246"/>
      <c r="BZE55" s="247"/>
      <c r="BZF55" s="275"/>
      <c r="BZG55" s="275"/>
      <c r="BZH55" s="275"/>
      <c r="BZI55" s="275"/>
      <c r="BZJ55" s="275"/>
      <c r="BZK55" s="275"/>
      <c r="BZL55" s="137"/>
      <c r="BZM55" s="137"/>
      <c r="BZN55" s="135"/>
      <c r="BZO55" s="137"/>
      <c r="BZQ55" s="250"/>
      <c r="BZR55" s="250"/>
      <c r="BZS55" s="243"/>
      <c r="BZT55" s="276"/>
      <c r="BZU55" s="276"/>
      <c r="BZV55" s="276"/>
      <c r="BZW55" s="244"/>
      <c r="BZX55" s="244"/>
      <c r="BZY55" s="244"/>
      <c r="BZZ55" s="245"/>
      <c r="CAA55" s="245"/>
      <c r="CAB55" s="244"/>
      <c r="CAC55" s="246"/>
      <c r="CAD55" s="247"/>
      <c r="CAE55" s="275"/>
      <c r="CAF55" s="275"/>
      <c r="CAG55" s="275"/>
      <c r="CAH55" s="275"/>
      <c r="CAI55" s="275"/>
      <c r="CAJ55" s="275"/>
      <c r="CAK55" s="137"/>
      <c r="CAL55" s="137"/>
      <c r="CAM55" s="135"/>
      <c r="CAN55" s="137"/>
      <c r="CAP55" s="250"/>
      <c r="CAQ55" s="250"/>
      <c r="CAR55" s="243"/>
      <c r="CAS55" s="276"/>
      <c r="CAT55" s="276"/>
      <c r="CAU55" s="276"/>
      <c r="CAV55" s="244"/>
      <c r="CAW55" s="244"/>
      <c r="CAX55" s="244"/>
      <c r="CAY55" s="245"/>
      <c r="CAZ55" s="245"/>
      <c r="CBA55" s="244"/>
      <c r="CBB55" s="246"/>
      <c r="CBC55" s="247"/>
      <c r="CBD55" s="275"/>
      <c r="CBE55" s="275"/>
      <c r="CBF55" s="275"/>
      <c r="CBG55" s="275"/>
      <c r="CBH55" s="275"/>
      <c r="CBI55" s="275"/>
      <c r="CBJ55" s="137"/>
      <c r="CBK55" s="137"/>
      <c r="CBL55" s="135"/>
      <c r="CBM55" s="137"/>
      <c r="CBO55" s="250"/>
      <c r="CBP55" s="250"/>
      <c r="CBQ55" s="243"/>
      <c r="CBR55" s="276"/>
      <c r="CBS55" s="276"/>
      <c r="CBT55" s="276"/>
      <c r="CBU55" s="244"/>
      <c r="CBV55" s="244"/>
      <c r="CBW55" s="244"/>
      <c r="CBX55" s="245"/>
      <c r="CBY55" s="245"/>
      <c r="CBZ55" s="244"/>
      <c r="CCA55" s="246"/>
      <c r="CCB55" s="247"/>
      <c r="CCC55" s="275"/>
      <c r="CCD55" s="275"/>
      <c r="CCE55" s="275"/>
      <c r="CCF55" s="275"/>
      <c r="CCG55" s="275"/>
      <c r="CCH55" s="275"/>
      <c r="CCI55" s="137"/>
      <c r="CCJ55" s="137"/>
      <c r="CCK55" s="135"/>
      <c r="CCL55" s="137"/>
      <c r="CCN55" s="250"/>
      <c r="CCO55" s="250"/>
      <c r="CCP55" s="243"/>
      <c r="CCQ55" s="276"/>
      <c r="CCR55" s="276"/>
      <c r="CCS55" s="276"/>
      <c r="CCT55" s="244"/>
      <c r="CCU55" s="244"/>
      <c r="CCV55" s="244"/>
      <c r="CCW55" s="245"/>
      <c r="CCX55" s="245"/>
      <c r="CCY55" s="244"/>
      <c r="CCZ55" s="246"/>
      <c r="CDA55" s="247"/>
      <c r="CDB55" s="275"/>
      <c r="CDC55" s="275"/>
      <c r="CDD55" s="275"/>
      <c r="CDE55" s="275"/>
      <c r="CDF55" s="275"/>
      <c r="CDG55" s="275"/>
      <c r="CDH55" s="137"/>
      <c r="CDI55" s="137"/>
      <c r="CDJ55" s="135"/>
      <c r="CDK55" s="137"/>
      <c r="CDM55" s="250"/>
      <c r="CDN55" s="250"/>
      <c r="CDO55" s="243"/>
      <c r="CDP55" s="276"/>
      <c r="CDQ55" s="276"/>
      <c r="CDR55" s="276"/>
      <c r="CDS55" s="244"/>
      <c r="CDT55" s="244"/>
      <c r="CDU55" s="244"/>
      <c r="CDV55" s="245"/>
      <c r="CDW55" s="245"/>
      <c r="CDX55" s="244"/>
      <c r="CDY55" s="246"/>
      <c r="CDZ55" s="247"/>
      <c r="CEA55" s="275"/>
      <c r="CEB55" s="275"/>
      <c r="CEC55" s="275"/>
      <c r="CED55" s="275"/>
      <c r="CEE55" s="275"/>
      <c r="CEF55" s="275"/>
      <c r="CEG55" s="137"/>
      <c r="CEH55" s="137"/>
      <c r="CEI55" s="135"/>
      <c r="CEJ55" s="137"/>
      <c r="CEL55" s="250"/>
      <c r="CEM55" s="250"/>
      <c r="CEN55" s="243"/>
      <c r="CEO55" s="276"/>
      <c r="CEP55" s="276"/>
      <c r="CEQ55" s="276"/>
      <c r="CER55" s="244"/>
      <c r="CES55" s="244"/>
      <c r="CET55" s="244"/>
      <c r="CEU55" s="245"/>
      <c r="CEV55" s="245"/>
      <c r="CEW55" s="244"/>
      <c r="CEX55" s="246"/>
      <c r="CEY55" s="247"/>
      <c r="CEZ55" s="275"/>
      <c r="CFA55" s="275"/>
      <c r="CFB55" s="275"/>
      <c r="CFC55" s="275"/>
      <c r="CFD55" s="275"/>
      <c r="CFE55" s="275"/>
      <c r="CFF55" s="137"/>
      <c r="CFG55" s="137"/>
      <c r="CFH55" s="135"/>
      <c r="CFI55" s="137"/>
      <c r="CFK55" s="250"/>
      <c r="CFL55" s="250"/>
      <c r="CFM55" s="243"/>
      <c r="CFN55" s="276"/>
      <c r="CFO55" s="276"/>
      <c r="CFP55" s="276"/>
      <c r="CFQ55" s="244"/>
      <c r="CFR55" s="244"/>
      <c r="CFS55" s="244"/>
      <c r="CFT55" s="245"/>
      <c r="CFU55" s="245"/>
      <c r="CFV55" s="244"/>
      <c r="CFW55" s="246"/>
      <c r="CFX55" s="247"/>
      <c r="CFY55" s="275"/>
      <c r="CFZ55" s="275"/>
      <c r="CGA55" s="275"/>
      <c r="CGB55" s="275"/>
      <c r="CGC55" s="275"/>
      <c r="CGD55" s="275"/>
      <c r="CGE55" s="137"/>
      <c r="CGF55" s="137"/>
      <c r="CGG55" s="135"/>
      <c r="CGH55" s="137"/>
      <c r="CGJ55" s="250"/>
      <c r="CGK55" s="250"/>
      <c r="CGL55" s="243"/>
      <c r="CGM55" s="276"/>
      <c r="CGN55" s="276"/>
      <c r="CGO55" s="276"/>
      <c r="CGP55" s="244"/>
      <c r="CGQ55" s="244"/>
      <c r="CGR55" s="244"/>
      <c r="CGS55" s="245"/>
      <c r="CGT55" s="245"/>
      <c r="CGU55" s="244"/>
      <c r="CGV55" s="246"/>
      <c r="CGW55" s="247"/>
      <c r="CGX55" s="275"/>
      <c r="CGY55" s="275"/>
      <c r="CGZ55" s="275"/>
      <c r="CHA55" s="275"/>
      <c r="CHB55" s="275"/>
      <c r="CHC55" s="275"/>
      <c r="CHD55" s="137"/>
      <c r="CHE55" s="137"/>
      <c r="CHF55" s="135"/>
      <c r="CHG55" s="137"/>
      <c r="CHI55" s="250"/>
      <c r="CHJ55" s="250"/>
      <c r="CHK55" s="243"/>
      <c r="CHL55" s="276"/>
      <c r="CHM55" s="276"/>
      <c r="CHN55" s="276"/>
      <c r="CHO55" s="244"/>
      <c r="CHP55" s="244"/>
      <c r="CHQ55" s="244"/>
      <c r="CHR55" s="245"/>
      <c r="CHS55" s="245"/>
      <c r="CHT55" s="244"/>
      <c r="CHU55" s="246"/>
      <c r="CHV55" s="247"/>
      <c r="CHW55" s="275"/>
      <c r="CHX55" s="275"/>
      <c r="CHY55" s="275"/>
      <c r="CHZ55" s="275"/>
      <c r="CIA55" s="275"/>
      <c r="CIB55" s="275"/>
      <c r="CIC55" s="137"/>
      <c r="CID55" s="137"/>
      <c r="CIE55" s="135"/>
      <c r="CIF55" s="137"/>
      <c r="CIH55" s="250"/>
      <c r="CII55" s="250"/>
      <c r="CIJ55" s="243"/>
      <c r="CIK55" s="276"/>
      <c r="CIL55" s="276"/>
      <c r="CIM55" s="276"/>
      <c r="CIN55" s="244"/>
      <c r="CIO55" s="244"/>
      <c r="CIP55" s="244"/>
      <c r="CIQ55" s="245"/>
      <c r="CIR55" s="245"/>
      <c r="CIS55" s="244"/>
      <c r="CIT55" s="246"/>
      <c r="CIU55" s="247"/>
      <c r="CIV55" s="275"/>
      <c r="CIW55" s="275"/>
      <c r="CIX55" s="275"/>
      <c r="CIY55" s="275"/>
      <c r="CIZ55" s="275"/>
      <c r="CJA55" s="275"/>
      <c r="CJB55" s="137"/>
      <c r="CJC55" s="137"/>
      <c r="CJD55" s="135"/>
      <c r="CJE55" s="137"/>
      <c r="CJG55" s="250"/>
      <c r="CJH55" s="250"/>
      <c r="CJI55" s="243"/>
      <c r="CJJ55" s="276"/>
      <c r="CJK55" s="276"/>
      <c r="CJL55" s="276"/>
      <c r="CJM55" s="244"/>
      <c r="CJN55" s="244"/>
      <c r="CJO55" s="244"/>
      <c r="CJP55" s="245"/>
      <c r="CJQ55" s="245"/>
      <c r="CJR55" s="244"/>
      <c r="CJS55" s="246"/>
      <c r="CJT55" s="247"/>
      <c r="CJU55" s="275"/>
      <c r="CJV55" s="275"/>
      <c r="CJW55" s="275"/>
      <c r="CJX55" s="275"/>
      <c r="CJY55" s="275"/>
      <c r="CJZ55" s="275"/>
      <c r="CKA55" s="137"/>
      <c r="CKB55" s="137"/>
      <c r="CKC55" s="135"/>
      <c r="CKD55" s="137"/>
      <c r="CKF55" s="250"/>
      <c r="CKG55" s="250"/>
      <c r="CKH55" s="243"/>
      <c r="CKI55" s="276"/>
      <c r="CKJ55" s="276"/>
      <c r="CKK55" s="276"/>
      <c r="CKL55" s="244"/>
      <c r="CKM55" s="244"/>
      <c r="CKN55" s="244"/>
      <c r="CKO55" s="245"/>
      <c r="CKP55" s="245"/>
      <c r="CKQ55" s="244"/>
      <c r="CKR55" s="246"/>
      <c r="CKS55" s="247"/>
      <c r="CKT55" s="275"/>
      <c r="CKU55" s="275"/>
      <c r="CKV55" s="275"/>
      <c r="CKW55" s="275"/>
      <c r="CKX55" s="275"/>
      <c r="CKY55" s="275"/>
      <c r="CKZ55" s="137"/>
      <c r="CLA55" s="137"/>
      <c r="CLB55" s="135"/>
      <c r="CLC55" s="137"/>
      <c r="CLE55" s="250"/>
      <c r="CLF55" s="250"/>
      <c r="CLG55" s="243"/>
      <c r="CLH55" s="276"/>
      <c r="CLI55" s="276"/>
      <c r="CLJ55" s="276"/>
      <c r="CLK55" s="244"/>
      <c r="CLL55" s="244"/>
      <c r="CLM55" s="244"/>
      <c r="CLN55" s="245"/>
      <c r="CLO55" s="245"/>
      <c r="CLP55" s="244"/>
      <c r="CLQ55" s="246"/>
      <c r="CLR55" s="247"/>
      <c r="CLS55" s="275"/>
      <c r="CLT55" s="275"/>
      <c r="CLU55" s="275"/>
      <c r="CLV55" s="275"/>
      <c r="CLW55" s="275"/>
      <c r="CLX55" s="275"/>
      <c r="CLY55" s="137"/>
      <c r="CLZ55" s="137"/>
      <c r="CMA55" s="135"/>
      <c r="CMB55" s="137"/>
      <c r="CMD55" s="250"/>
      <c r="CME55" s="250"/>
      <c r="CMF55" s="243"/>
      <c r="CMG55" s="276"/>
      <c r="CMH55" s="276"/>
      <c r="CMI55" s="276"/>
      <c r="CMJ55" s="244"/>
      <c r="CMK55" s="244"/>
      <c r="CML55" s="244"/>
      <c r="CMM55" s="245"/>
      <c r="CMN55" s="245"/>
      <c r="CMO55" s="244"/>
      <c r="CMP55" s="246"/>
      <c r="CMQ55" s="247"/>
      <c r="CMR55" s="275"/>
      <c r="CMS55" s="275"/>
      <c r="CMT55" s="275"/>
      <c r="CMU55" s="275"/>
      <c r="CMV55" s="275"/>
      <c r="CMW55" s="275"/>
      <c r="CMX55" s="137"/>
      <c r="CMY55" s="137"/>
      <c r="CMZ55" s="135"/>
      <c r="CNA55" s="137"/>
      <c r="CNC55" s="250"/>
      <c r="CND55" s="250"/>
      <c r="CNE55" s="243"/>
      <c r="CNF55" s="276"/>
      <c r="CNG55" s="276"/>
      <c r="CNH55" s="276"/>
      <c r="CNI55" s="244"/>
      <c r="CNJ55" s="244"/>
      <c r="CNK55" s="244"/>
      <c r="CNL55" s="245"/>
      <c r="CNM55" s="245"/>
      <c r="CNN55" s="244"/>
      <c r="CNO55" s="246"/>
      <c r="CNP55" s="247"/>
      <c r="CNQ55" s="275"/>
      <c r="CNR55" s="275"/>
      <c r="CNS55" s="275"/>
      <c r="CNT55" s="275"/>
      <c r="CNU55" s="275"/>
      <c r="CNV55" s="275"/>
      <c r="CNW55" s="137"/>
      <c r="CNX55" s="137"/>
      <c r="CNY55" s="135"/>
      <c r="CNZ55" s="137"/>
      <c r="COB55" s="250"/>
      <c r="COC55" s="250"/>
      <c r="COD55" s="243"/>
      <c r="COE55" s="276"/>
      <c r="COF55" s="276"/>
      <c r="COG55" s="276"/>
      <c r="COH55" s="244"/>
      <c r="COI55" s="244"/>
      <c r="COJ55" s="244"/>
      <c r="COK55" s="245"/>
      <c r="COL55" s="245"/>
      <c r="COM55" s="244"/>
      <c r="CON55" s="246"/>
      <c r="COO55" s="247"/>
      <c r="COP55" s="275"/>
      <c r="COQ55" s="275"/>
      <c r="COR55" s="275"/>
      <c r="COS55" s="275"/>
      <c r="COT55" s="275"/>
      <c r="COU55" s="275"/>
      <c r="COV55" s="137"/>
      <c r="COW55" s="137"/>
      <c r="COX55" s="135"/>
      <c r="COY55" s="137"/>
      <c r="CPA55" s="250"/>
      <c r="CPB55" s="250"/>
      <c r="CPC55" s="243"/>
      <c r="CPD55" s="276"/>
      <c r="CPE55" s="276"/>
      <c r="CPF55" s="276"/>
      <c r="CPG55" s="244"/>
      <c r="CPH55" s="244"/>
      <c r="CPI55" s="244"/>
      <c r="CPJ55" s="245"/>
      <c r="CPK55" s="245"/>
      <c r="CPL55" s="244"/>
      <c r="CPM55" s="246"/>
      <c r="CPN55" s="247"/>
      <c r="CPO55" s="275"/>
      <c r="CPP55" s="275"/>
      <c r="CPQ55" s="275"/>
      <c r="CPR55" s="275"/>
      <c r="CPS55" s="275"/>
      <c r="CPT55" s="275"/>
      <c r="CPU55" s="137"/>
      <c r="CPV55" s="137"/>
      <c r="CPW55" s="135"/>
      <c r="CPX55" s="137"/>
      <c r="CPZ55" s="250"/>
      <c r="CQA55" s="250"/>
      <c r="CQB55" s="243"/>
      <c r="CQC55" s="276"/>
      <c r="CQD55" s="276"/>
      <c r="CQE55" s="276"/>
      <c r="CQF55" s="244"/>
      <c r="CQG55" s="244"/>
      <c r="CQH55" s="244"/>
      <c r="CQI55" s="245"/>
      <c r="CQJ55" s="245"/>
      <c r="CQK55" s="244"/>
      <c r="CQL55" s="246"/>
      <c r="CQM55" s="247"/>
      <c r="CQN55" s="275"/>
      <c r="CQO55" s="275"/>
      <c r="CQP55" s="275"/>
      <c r="CQQ55" s="275"/>
      <c r="CQR55" s="275"/>
      <c r="CQS55" s="275"/>
      <c r="CQT55" s="137"/>
      <c r="CQU55" s="137"/>
      <c r="CQV55" s="135"/>
      <c r="CQW55" s="137"/>
      <c r="CQY55" s="250"/>
      <c r="CQZ55" s="250"/>
      <c r="CRA55" s="243"/>
      <c r="CRB55" s="276"/>
      <c r="CRC55" s="276"/>
      <c r="CRD55" s="276"/>
      <c r="CRE55" s="244"/>
      <c r="CRF55" s="244"/>
      <c r="CRG55" s="244"/>
      <c r="CRH55" s="245"/>
      <c r="CRI55" s="245"/>
      <c r="CRJ55" s="244"/>
      <c r="CRK55" s="246"/>
      <c r="CRL55" s="247"/>
      <c r="CRM55" s="275"/>
      <c r="CRN55" s="275"/>
      <c r="CRO55" s="275"/>
      <c r="CRP55" s="275"/>
      <c r="CRQ55" s="275"/>
      <c r="CRR55" s="275"/>
      <c r="CRS55" s="137"/>
      <c r="CRT55" s="137"/>
      <c r="CRU55" s="135"/>
      <c r="CRV55" s="137"/>
      <c r="CRX55" s="250"/>
      <c r="CRY55" s="250"/>
      <c r="CRZ55" s="243"/>
      <c r="CSA55" s="276"/>
      <c r="CSB55" s="276"/>
      <c r="CSC55" s="276"/>
      <c r="CSD55" s="244"/>
      <c r="CSE55" s="244"/>
      <c r="CSF55" s="244"/>
      <c r="CSG55" s="245"/>
      <c r="CSH55" s="245"/>
      <c r="CSI55" s="244"/>
      <c r="CSJ55" s="246"/>
      <c r="CSK55" s="247"/>
      <c r="CSL55" s="275"/>
      <c r="CSM55" s="275"/>
      <c r="CSN55" s="275"/>
      <c r="CSO55" s="275"/>
      <c r="CSP55" s="275"/>
      <c r="CSQ55" s="275"/>
      <c r="CSR55" s="137"/>
      <c r="CSS55" s="137"/>
      <c r="CST55" s="135"/>
      <c r="CSU55" s="137"/>
      <c r="CSW55" s="250"/>
      <c r="CSX55" s="250"/>
      <c r="CSY55" s="243"/>
      <c r="CSZ55" s="276"/>
      <c r="CTA55" s="276"/>
      <c r="CTB55" s="276"/>
      <c r="CTC55" s="244"/>
      <c r="CTD55" s="244"/>
      <c r="CTE55" s="244"/>
      <c r="CTF55" s="245"/>
      <c r="CTG55" s="245"/>
      <c r="CTH55" s="244"/>
      <c r="CTI55" s="246"/>
      <c r="CTJ55" s="247"/>
      <c r="CTK55" s="275"/>
      <c r="CTL55" s="275"/>
      <c r="CTM55" s="275"/>
      <c r="CTN55" s="275"/>
      <c r="CTO55" s="275"/>
      <c r="CTP55" s="275"/>
      <c r="CTQ55" s="137"/>
      <c r="CTR55" s="137"/>
      <c r="CTS55" s="135"/>
      <c r="CTT55" s="137"/>
      <c r="CTV55" s="250"/>
      <c r="CTW55" s="250"/>
      <c r="CTX55" s="243"/>
      <c r="CTY55" s="276"/>
      <c r="CTZ55" s="276"/>
      <c r="CUA55" s="276"/>
      <c r="CUB55" s="244"/>
      <c r="CUC55" s="244"/>
      <c r="CUD55" s="244"/>
      <c r="CUE55" s="245"/>
      <c r="CUF55" s="245"/>
      <c r="CUG55" s="244"/>
      <c r="CUH55" s="246"/>
      <c r="CUI55" s="247"/>
      <c r="CUJ55" s="275"/>
      <c r="CUK55" s="275"/>
      <c r="CUL55" s="275"/>
      <c r="CUM55" s="275"/>
      <c r="CUN55" s="275"/>
      <c r="CUO55" s="275"/>
      <c r="CUP55" s="137"/>
      <c r="CUQ55" s="137"/>
      <c r="CUR55" s="135"/>
      <c r="CUS55" s="137"/>
      <c r="CUU55" s="250"/>
      <c r="CUV55" s="250"/>
      <c r="CUW55" s="243"/>
      <c r="CUX55" s="276"/>
      <c r="CUY55" s="276"/>
      <c r="CUZ55" s="276"/>
      <c r="CVA55" s="244"/>
      <c r="CVB55" s="244"/>
      <c r="CVC55" s="244"/>
      <c r="CVD55" s="245"/>
      <c r="CVE55" s="245"/>
      <c r="CVF55" s="244"/>
      <c r="CVG55" s="246"/>
      <c r="CVH55" s="247"/>
      <c r="CVI55" s="275"/>
      <c r="CVJ55" s="275"/>
      <c r="CVK55" s="275"/>
      <c r="CVL55" s="275"/>
      <c r="CVM55" s="275"/>
      <c r="CVN55" s="275"/>
      <c r="CVO55" s="137"/>
      <c r="CVP55" s="137"/>
      <c r="CVQ55" s="135"/>
      <c r="CVR55" s="137"/>
      <c r="CVT55" s="250"/>
      <c r="CVU55" s="250"/>
      <c r="CVV55" s="243"/>
      <c r="CVW55" s="276"/>
      <c r="CVX55" s="276"/>
      <c r="CVY55" s="276"/>
      <c r="CVZ55" s="244"/>
      <c r="CWA55" s="244"/>
      <c r="CWB55" s="244"/>
      <c r="CWC55" s="245"/>
      <c r="CWD55" s="245"/>
      <c r="CWE55" s="244"/>
      <c r="CWF55" s="246"/>
      <c r="CWG55" s="247"/>
      <c r="CWH55" s="275"/>
      <c r="CWI55" s="275"/>
      <c r="CWJ55" s="275"/>
      <c r="CWK55" s="275"/>
      <c r="CWL55" s="275"/>
      <c r="CWM55" s="275"/>
      <c r="CWN55" s="137"/>
      <c r="CWO55" s="137"/>
      <c r="CWP55" s="135"/>
      <c r="CWQ55" s="137"/>
      <c r="CWS55" s="250"/>
      <c r="CWT55" s="250"/>
      <c r="CWU55" s="243"/>
      <c r="CWV55" s="276"/>
      <c r="CWW55" s="276"/>
      <c r="CWX55" s="276"/>
      <c r="CWY55" s="244"/>
      <c r="CWZ55" s="244"/>
      <c r="CXA55" s="244"/>
      <c r="CXB55" s="245"/>
      <c r="CXC55" s="245"/>
      <c r="CXD55" s="244"/>
      <c r="CXE55" s="246"/>
      <c r="CXF55" s="247"/>
      <c r="CXG55" s="275"/>
      <c r="CXH55" s="275"/>
      <c r="CXI55" s="275"/>
      <c r="CXJ55" s="275"/>
      <c r="CXK55" s="275"/>
      <c r="CXL55" s="275"/>
      <c r="CXM55" s="137"/>
      <c r="CXN55" s="137"/>
      <c r="CXO55" s="135"/>
      <c r="CXP55" s="137"/>
      <c r="CXR55" s="250"/>
      <c r="CXS55" s="250"/>
      <c r="CXT55" s="243"/>
      <c r="CXU55" s="276"/>
      <c r="CXV55" s="276"/>
      <c r="CXW55" s="276"/>
      <c r="CXX55" s="244"/>
      <c r="CXY55" s="244"/>
      <c r="CXZ55" s="244"/>
      <c r="CYA55" s="245"/>
      <c r="CYB55" s="245"/>
      <c r="CYC55" s="244"/>
      <c r="CYD55" s="246"/>
      <c r="CYE55" s="247"/>
      <c r="CYF55" s="275"/>
      <c r="CYG55" s="275"/>
      <c r="CYH55" s="275"/>
      <c r="CYI55" s="275"/>
      <c r="CYJ55" s="275"/>
      <c r="CYK55" s="275"/>
      <c r="CYL55" s="137"/>
      <c r="CYM55" s="137"/>
      <c r="CYN55" s="135"/>
      <c r="CYO55" s="137"/>
      <c r="CYQ55" s="250"/>
      <c r="CYR55" s="250"/>
      <c r="CYS55" s="243"/>
      <c r="CYT55" s="276"/>
      <c r="CYU55" s="276"/>
      <c r="CYV55" s="276"/>
      <c r="CYW55" s="244"/>
      <c r="CYX55" s="244"/>
      <c r="CYY55" s="244"/>
      <c r="CYZ55" s="245"/>
      <c r="CZA55" s="245"/>
      <c r="CZB55" s="244"/>
      <c r="CZC55" s="246"/>
      <c r="CZD55" s="247"/>
      <c r="CZE55" s="275"/>
      <c r="CZF55" s="275"/>
      <c r="CZG55" s="275"/>
      <c r="CZH55" s="275"/>
      <c r="CZI55" s="275"/>
      <c r="CZJ55" s="275"/>
      <c r="CZK55" s="137"/>
      <c r="CZL55" s="137"/>
      <c r="CZM55" s="135"/>
      <c r="CZN55" s="137"/>
      <c r="CZP55" s="250"/>
      <c r="CZQ55" s="250"/>
      <c r="CZR55" s="243"/>
      <c r="CZS55" s="276"/>
      <c r="CZT55" s="276"/>
      <c r="CZU55" s="276"/>
      <c r="CZV55" s="244"/>
      <c r="CZW55" s="244"/>
      <c r="CZX55" s="244"/>
      <c r="CZY55" s="245"/>
      <c r="CZZ55" s="245"/>
      <c r="DAA55" s="244"/>
      <c r="DAB55" s="246"/>
      <c r="DAC55" s="247"/>
      <c r="DAD55" s="275"/>
      <c r="DAE55" s="275"/>
      <c r="DAF55" s="275"/>
      <c r="DAG55" s="275"/>
      <c r="DAH55" s="275"/>
      <c r="DAI55" s="275"/>
      <c r="DAJ55" s="137"/>
      <c r="DAK55" s="137"/>
      <c r="DAL55" s="135"/>
      <c r="DAM55" s="137"/>
      <c r="DAO55" s="250"/>
      <c r="DAP55" s="250"/>
      <c r="DAQ55" s="243"/>
      <c r="DAR55" s="276"/>
      <c r="DAS55" s="276"/>
      <c r="DAT55" s="276"/>
      <c r="DAU55" s="244"/>
      <c r="DAV55" s="244"/>
      <c r="DAW55" s="244"/>
      <c r="DAX55" s="245"/>
      <c r="DAY55" s="245"/>
      <c r="DAZ55" s="244"/>
      <c r="DBA55" s="246"/>
      <c r="DBB55" s="247"/>
      <c r="DBC55" s="275"/>
      <c r="DBD55" s="275"/>
      <c r="DBE55" s="275"/>
      <c r="DBF55" s="275"/>
      <c r="DBG55" s="275"/>
      <c r="DBH55" s="275"/>
      <c r="DBI55" s="137"/>
      <c r="DBJ55" s="137"/>
      <c r="DBK55" s="135"/>
      <c r="DBL55" s="137"/>
      <c r="DBN55" s="250"/>
      <c r="DBO55" s="250"/>
      <c r="DBP55" s="243"/>
      <c r="DBQ55" s="276"/>
      <c r="DBR55" s="276"/>
      <c r="DBS55" s="276"/>
      <c r="DBT55" s="244"/>
      <c r="DBU55" s="244"/>
      <c r="DBV55" s="244"/>
      <c r="DBW55" s="245"/>
      <c r="DBX55" s="245"/>
      <c r="DBY55" s="244"/>
      <c r="DBZ55" s="246"/>
      <c r="DCA55" s="247"/>
      <c r="DCB55" s="275"/>
      <c r="DCC55" s="275"/>
      <c r="DCD55" s="275"/>
      <c r="DCE55" s="275"/>
      <c r="DCF55" s="275"/>
      <c r="DCG55" s="275"/>
      <c r="DCH55" s="137"/>
      <c r="DCI55" s="137"/>
      <c r="DCJ55" s="135"/>
      <c r="DCK55" s="137"/>
      <c r="DCM55" s="250"/>
      <c r="DCN55" s="250"/>
      <c r="DCO55" s="243"/>
      <c r="DCP55" s="276"/>
      <c r="DCQ55" s="276"/>
      <c r="DCR55" s="276"/>
      <c r="DCS55" s="244"/>
      <c r="DCT55" s="244"/>
      <c r="DCU55" s="244"/>
      <c r="DCV55" s="245"/>
      <c r="DCW55" s="245"/>
      <c r="DCX55" s="244"/>
      <c r="DCY55" s="246"/>
      <c r="DCZ55" s="247"/>
      <c r="DDA55" s="275"/>
      <c r="DDB55" s="275"/>
      <c r="DDC55" s="275"/>
      <c r="DDD55" s="275"/>
      <c r="DDE55" s="275"/>
      <c r="DDF55" s="275"/>
      <c r="DDG55" s="137"/>
      <c r="DDH55" s="137"/>
      <c r="DDI55" s="135"/>
      <c r="DDJ55" s="137"/>
      <c r="DDL55" s="250"/>
      <c r="DDM55" s="250"/>
      <c r="DDN55" s="243"/>
      <c r="DDO55" s="276"/>
      <c r="DDP55" s="276"/>
      <c r="DDQ55" s="276"/>
      <c r="DDR55" s="244"/>
      <c r="DDS55" s="244"/>
      <c r="DDT55" s="244"/>
      <c r="DDU55" s="245"/>
      <c r="DDV55" s="245"/>
      <c r="DDW55" s="244"/>
      <c r="DDX55" s="246"/>
      <c r="DDY55" s="247"/>
      <c r="DDZ55" s="275"/>
      <c r="DEA55" s="275"/>
      <c r="DEB55" s="275"/>
      <c r="DEC55" s="275"/>
      <c r="DED55" s="275"/>
      <c r="DEE55" s="275"/>
      <c r="DEF55" s="137"/>
      <c r="DEG55" s="137"/>
      <c r="DEH55" s="135"/>
      <c r="DEI55" s="137"/>
      <c r="DEK55" s="250"/>
      <c r="DEL55" s="250"/>
      <c r="DEM55" s="243"/>
      <c r="DEN55" s="276"/>
      <c r="DEO55" s="276"/>
      <c r="DEP55" s="276"/>
      <c r="DEQ55" s="244"/>
      <c r="DER55" s="244"/>
      <c r="DES55" s="244"/>
      <c r="DET55" s="245"/>
      <c r="DEU55" s="245"/>
      <c r="DEV55" s="244"/>
      <c r="DEW55" s="246"/>
      <c r="DEX55" s="247"/>
      <c r="DEY55" s="275"/>
      <c r="DEZ55" s="275"/>
      <c r="DFA55" s="275"/>
      <c r="DFB55" s="275"/>
      <c r="DFC55" s="275"/>
      <c r="DFD55" s="275"/>
      <c r="DFE55" s="137"/>
      <c r="DFF55" s="137"/>
      <c r="DFG55" s="135"/>
      <c r="DFH55" s="137"/>
      <c r="DFJ55" s="250"/>
      <c r="DFK55" s="250"/>
      <c r="DFL55" s="243"/>
      <c r="DFM55" s="276"/>
      <c r="DFN55" s="276"/>
      <c r="DFO55" s="276"/>
      <c r="DFP55" s="244"/>
      <c r="DFQ55" s="244"/>
      <c r="DFR55" s="244"/>
      <c r="DFS55" s="245"/>
      <c r="DFT55" s="245"/>
      <c r="DFU55" s="244"/>
      <c r="DFV55" s="246"/>
      <c r="DFW55" s="247"/>
      <c r="DFX55" s="275"/>
      <c r="DFY55" s="275"/>
      <c r="DFZ55" s="275"/>
      <c r="DGA55" s="275"/>
      <c r="DGB55" s="275"/>
      <c r="DGC55" s="275"/>
      <c r="DGD55" s="137"/>
      <c r="DGE55" s="137"/>
      <c r="DGF55" s="135"/>
      <c r="DGG55" s="137"/>
      <c r="DGI55" s="250"/>
      <c r="DGJ55" s="250"/>
      <c r="DGK55" s="243"/>
      <c r="DGL55" s="276"/>
      <c r="DGM55" s="276"/>
      <c r="DGN55" s="276"/>
      <c r="DGO55" s="244"/>
      <c r="DGP55" s="244"/>
      <c r="DGQ55" s="244"/>
      <c r="DGR55" s="245"/>
      <c r="DGS55" s="245"/>
      <c r="DGT55" s="244"/>
      <c r="DGU55" s="246"/>
      <c r="DGV55" s="247"/>
      <c r="DGW55" s="275"/>
      <c r="DGX55" s="275"/>
      <c r="DGY55" s="275"/>
      <c r="DGZ55" s="275"/>
      <c r="DHA55" s="275"/>
      <c r="DHB55" s="275"/>
      <c r="DHC55" s="137"/>
      <c r="DHD55" s="137"/>
      <c r="DHE55" s="135"/>
      <c r="DHF55" s="137"/>
      <c r="DHH55" s="250"/>
      <c r="DHI55" s="250"/>
      <c r="DHJ55" s="243"/>
      <c r="DHK55" s="276"/>
      <c r="DHL55" s="276"/>
      <c r="DHM55" s="276"/>
      <c r="DHN55" s="244"/>
      <c r="DHO55" s="244"/>
      <c r="DHP55" s="244"/>
      <c r="DHQ55" s="245"/>
      <c r="DHR55" s="245"/>
      <c r="DHS55" s="244"/>
      <c r="DHT55" s="246"/>
      <c r="DHU55" s="247"/>
      <c r="DHV55" s="275"/>
      <c r="DHW55" s="275"/>
      <c r="DHX55" s="275"/>
      <c r="DHY55" s="275"/>
      <c r="DHZ55" s="275"/>
      <c r="DIA55" s="275"/>
      <c r="DIB55" s="137"/>
      <c r="DIC55" s="137"/>
      <c r="DID55" s="135"/>
      <c r="DIE55" s="137"/>
      <c r="DIG55" s="250"/>
      <c r="DIH55" s="250"/>
      <c r="DII55" s="243"/>
      <c r="DIJ55" s="276"/>
      <c r="DIK55" s="276"/>
      <c r="DIL55" s="276"/>
      <c r="DIM55" s="244"/>
      <c r="DIN55" s="244"/>
      <c r="DIO55" s="244"/>
      <c r="DIP55" s="245"/>
      <c r="DIQ55" s="245"/>
      <c r="DIR55" s="244"/>
      <c r="DIS55" s="246"/>
      <c r="DIT55" s="247"/>
      <c r="DIU55" s="275"/>
      <c r="DIV55" s="275"/>
      <c r="DIW55" s="275"/>
      <c r="DIX55" s="275"/>
      <c r="DIY55" s="275"/>
      <c r="DIZ55" s="275"/>
      <c r="DJA55" s="137"/>
      <c r="DJB55" s="137"/>
      <c r="DJC55" s="135"/>
      <c r="DJD55" s="137"/>
      <c r="DJF55" s="250"/>
      <c r="DJG55" s="250"/>
      <c r="DJH55" s="243"/>
      <c r="DJI55" s="276"/>
      <c r="DJJ55" s="276"/>
      <c r="DJK55" s="276"/>
      <c r="DJL55" s="244"/>
      <c r="DJM55" s="244"/>
      <c r="DJN55" s="244"/>
      <c r="DJO55" s="245"/>
      <c r="DJP55" s="245"/>
      <c r="DJQ55" s="244"/>
      <c r="DJR55" s="246"/>
      <c r="DJS55" s="247"/>
      <c r="DJT55" s="275"/>
      <c r="DJU55" s="275"/>
      <c r="DJV55" s="275"/>
      <c r="DJW55" s="275"/>
      <c r="DJX55" s="275"/>
      <c r="DJY55" s="275"/>
      <c r="DJZ55" s="137"/>
      <c r="DKA55" s="137"/>
      <c r="DKB55" s="135"/>
      <c r="DKC55" s="137"/>
      <c r="DKE55" s="250"/>
      <c r="DKF55" s="250"/>
      <c r="DKG55" s="243"/>
      <c r="DKH55" s="276"/>
      <c r="DKI55" s="276"/>
      <c r="DKJ55" s="276"/>
      <c r="DKK55" s="244"/>
      <c r="DKL55" s="244"/>
      <c r="DKM55" s="244"/>
      <c r="DKN55" s="245"/>
      <c r="DKO55" s="245"/>
      <c r="DKP55" s="244"/>
      <c r="DKQ55" s="246"/>
      <c r="DKR55" s="247"/>
      <c r="DKS55" s="275"/>
      <c r="DKT55" s="275"/>
      <c r="DKU55" s="275"/>
      <c r="DKV55" s="275"/>
      <c r="DKW55" s="275"/>
      <c r="DKX55" s="275"/>
      <c r="DKY55" s="137"/>
      <c r="DKZ55" s="137"/>
      <c r="DLA55" s="135"/>
      <c r="DLB55" s="137"/>
      <c r="DLD55" s="250"/>
      <c r="DLE55" s="250"/>
      <c r="DLF55" s="243"/>
      <c r="DLG55" s="276"/>
      <c r="DLH55" s="276"/>
      <c r="DLI55" s="276"/>
      <c r="DLJ55" s="244"/>
      <c r="DLK55" s="244"/>
      <c r="DLL55" s="244"/>
      <c r="DLM55" s="245"/>
      <c r="DLN55" s="245"/>
      <c r="DLO55" s="244"/>
      <c r="DLP55" s="246"/>
      <c r="DLQ55" s="247"/>
      <c r="DLR55" s="275"/>
      <c r="DLS55" s="275"/>
      <c r="DLT55" s="275"/>
      <c r="DLU55" s="275"/>
      <c r="DLV55" s="275"/>
      <c r="DLW55" s="275"/>
      <c r="DLX55" s="137"/>
      <c r="DLY55" s="137"/>
      <c r="DLZ55" s="135"/>
      <c r="DMA55" s="137"/>
      <c r="DMC55" s="250"/>
      <c r="DMD55" s="250"/>
      <c r="DME55" s="243"/>
      <c r="DMF55" s="276"/>
      <c r="DMG55" s="276"/>
      <c r="DMH55" s="276"/>
      <c r="DMI55" s="244"/>
      <c r="DMJ55" s="244"/>
      <c r="DMK55" s="244"/>
      <c r="DML55" s="245"/>
      <c r="DMM55" s="245"/>
      <c r="DMN55" s="244"/>
      <c r="DMO55" s="246"/>
      <c r="DMP55" s="247"/>
      <c r="DMQ55" s="275"/>
      <c r="DMR55" s="275"/>
      <c r="DMS55" s="275"/>
      <c r="DMT55" s="275"/>
      <c r="DMU55" s="275"/>
      <c r="DMV55" s="275"/>
      <c r="DMW55" s="137"/>
      <c r="DMX55" s="137"/>
      <c r="DMY55" s="135"/>
      <c r="DMZ55" s="137"/>
      <c r="DNB55" s="250"/>
      <c r="DNC55" s="250"/>
      <c r="DND55" s="243"/>
      <c r="DNE55" s="276"/>
      <c r="DNF55" s="276"/>
      <c r="DNG55" s="276"/>
      <c r="DNH55" s="244"/>
      <c r="DNI55" s="244"/>
      <c r="DNJ55" s="244"/>
      <c r="DNK55" s="245"/>
      <c r="DNL55" s="245"/>
      <c r="DNM55" s="244"/>
      <c r="DNN55" s="246"/>
      <c r="DNO55" s="247"/>
      <c r="DNP55" s="275"/>
      <c r="DNQ55" s="275"/>
      <c r="DNR55" s="275"/>
      <c r="DNS55" s="275"/>
      <c r="DNT55" s="275"/>
      <c r="DNU55" s="275"/>
      <c r="DNV55" s="137"/>
      <c r="DNW55" s="137"/>
      <c r="DNX55" s="135"/>
      <c r="DNY55" s="137"/>
      <c r="DOA55" s="250"/>
      <c r="DOB55" s="250"/>
      <c r="DOC55" s="243"/>
      <c r="DOD55" s="276"/>
      <c r="DOE55" s="276"/>
      <c r="DOF55" s="276"/>
      <c r="DOG55" s="244"/>
      <c r="DOH55" s="244"/>
      <c r="DOI55" s="244"/>
      <c r="DOJ55" s="245"/>
      <c r="DOK55" s="245"/>
      <c r="DOL55" s="244"/>
      <c r="DOM55" s="246"/>
      <c r="DON55" s="247"/>
      <c r="DOO55" s="275"/>
      <c r="DOP55" s="275"/>
      <c r="DOQ55" s="275"/>
      <c r="DOR55" s="275"/>
      <c r="DOS55" s="275"/>
      <c r="DOT55" s="275"/>
      <c r="DOU55" s="137"/>
      <c r="DOV55" s="137"/>
      <c r="DOW55" s="135"/>
      <c r="DOX55" s="137"/>
      <c r="DOZ55" s="250"/>
      <c r="DPA55" s="250"/>
      <c r="DPB55" s="243"/>
      <c r="DPC55" s="276"/>
      <c r="DPD55" s="276"/>
      <c r="DPE55" s="276"/>
      <c r="DPF55" s="244"/>
      <c r="DPG55" s="244"/>
      <c r="DPH55" s="244"/>
      <c r="DPI55" s="245"/>
      <c r="DPJ55" s="245"/>
      <c r="DPK55" s="244"/>
      <c r="DPL55" s="246"/>
      <c r="DPM55" s="247"/>
      <c r="DPN55" s="275"/>
      <c r="DPO55" s="275"/>
      <c r="DPP55" s="275"/>
      <c r="DPQ55" s="275"/>
      <c r="DPR55" s="275"/>
      <c r="DPS55" s="275"/>
      <c r="DPT55" s="137"/>
      <c r="DPU55" s="137"/>
      <c r="DPV55" s="135"/>
      <c r="DPW55" s="137"/>
      <c r="DPY55" s="250"/>
      <c r="DPZ55" s="250"/>
      <c r="DQA55" s="243"/>
      <c r="DQB55" s="276"/>
      <c r="DQC55" s="276"/>
      <c r="DQD55" s="276"/>
      <c r="DQE55" s="244"/>
      <c r="DQF55" s="244"/>
      <c r="DQG55" s="244"/>
      <c r="DQH55" s="245"/>
      <c r="DQI55" s="245"/>
      <c r="DQJ55" s="244"/>
      <c r="DQK55" s="246"/>
      <c r="DQL55" s="247"/>
      <c r="DQM55" s="275"/>
      <c r="DQN55" s="275"/>
      <c r="DQO55" s="275"/>
      <c r="DQP55" s="275"/>
      <c r="DQQ55" s="275"/>
      <c r="DQR55" s="275"/>
      <c r="DQS55" s="137"/>
      <c r="DQT55" s="137"/>
      <c r="DQU55" s="135"/>
      <c r="DQV55" s="137"/>
      <c r="DQX55" s="250"/>
      <c r="DQY55" s="250"/>
      <c r="DQZ55" s="243"/>
      <c r="DRA55" s="276"/>
      <c r="DRB55" s="276"/>
      <c r="DRC55" s="276"/>
      <c r="DRD55" s="244"/>
      <c r="DRE55" s="244"/>
      <c r="DRF55" s="244"/>
      <c r="DRG55" s="245"/>
      <c r="DRH55" s="245"/>
      <c r="DRI55" s="244"/>
      <c r="DRJ55" s="246"/>
      <c r="DRK55" s="247"/>
      <c r="DRL55" s="275"/>
      <c r="DRM55" s="275"/>
      <c r="DRN55" s="275"/>
      <c r="DRO55" s="275"/>
      <c r="DRP55" s="275"/>
      <c r="DRQ55" s="275"/>
      <c r="DRR55" s="137"/>
      <c r="DRS55" s="137"/>
      <c r="DRT55" s="135"/>
      <c r="DRU55" s="137"/>
      <c r="DRW55" s="250"/>
      <c r="DRX55" s="250"/>
      <c r="DRY55" s="243"/>
      <c r="DRZ55" s="276"/>
      <c r="DSA55" s="276"/>
      <c r="DSB55" s="276"/>
      <c r="DSC55" s="244"/>
      <c r="DSD55" s="244"/>
      <c r="DSE55" s="244"/>
      <c r="DSF55" s="245"/>
      <c r="DSG55" s="245"/>
      <c r="DSH55" s="244"/>
      <c r="DSI55" s="246"/>
      <c r="DSJ55" s="247"/>
      <c r="DSK55" s="275"/>
      <c r="DSL55" s="275"/>
      <c r="DSM55" s="275"/>
      <c r="DSN55" s="275"/>
      <c r="DSO55" s="275"/>
      <c r="DSP55" s="275"/>
      <c r="DSQ55" s="137"/>
      <c r="DSR55" s="137"/>
      <c r="DSS55" s="135"/>
      <c r="DST55" s="137"/>
      <c r="DSV55" s="250"/>
      <c r="DSW55" s="250"/>
      <c r="DSX55" s="243"/>
      <c r="DSY55" s="276"/>
      <c r="DSZ55" s="276"/>
      <c r="DTA55" s="276"/>
      <c r="DTB55" s="244"/>
      <c r="DTC55" s="244"/>
      <c r="DTD55" s="244"/>
      <c r="DTE55" s="245"/>
      <c r="DTF55" s="245"/>
      <c r="DTG55" s="244"/>
      <c r="DTH55" s="246"/>
      <c r="DTI55" s="247"/>
      <c r="DTJ55" s="275"/>
      <c r="DTK55" s="275"/>
      <c r="DTL55" s="275"/>
      <c r="DTM55" s="275"/>
      <c r="DTN55" s="275"/>
      <c r="DTO55" s="275"/>
      <c r="DTP55" s="137"/>
      <c r="DTQ55" s="137"/>
      <c r="DTR55" s="135"/>
      <c r="DTS55" s="137"/>
      <c r="DTU55" s="250"/>
      <c r="DTV55" s="250"/>
      <c r="DTW55" s="243"/>
      <c r="DTX55" s="276"/>
      <c r="DTY55" s="276"/>
      <c r="DTZ55" s="276"/>
      <c r="DUA55" s="244"/>
      <c r="DUB55" s="244"/>
      <c r="DUC55" s="244"/>
      <c r="DUD55" s="245"/>
      <c r="DUE55" s="245"/>
      <c r="DUF55" s="244"/>
      <c r="DUG55" s="246"/>
      <c r="DUH55" s="247"/>
      <c r="DUI55" s="275"/>
      <c r="DUJ55" s="275"/>
      <c r="DUK55" s="275"/>
      <c r="DUL55" s="275"/>
      <c r="DUM55" s="275"/>
      <c r="DUN55" s="275"/>
      <c r="DUO55" s="137"/>
      <c r="DUP55" s="137"/>
      <c r="DUQ55" s="135"/>
      <c r="DUR55" s="137"/>
      <c r="DUT55" s="250"/>
      <c r="DUU55" s="250"/>
      <c r="DUV55" s="243"/>
      <c r="DUW55" s="276"/>
      <c r="DUX55" s="276"/>
      <c r="DUY55" s="276"/>
      <c r="DUZ55" s="244"/>
      <c r="DVA55" s="244"/>
      <c r="DVB55" s="244"/>
      <c r="DVC55" s="245"/>
      <c r="DVD55" s="245"/>
      <c r="DVE55" s="244"/>
      <c r="DVF55" s="246"/>
      <c r="DVG55" s="247"/>
      <c r="DVH55" s="275"/>
      <c r="DVI55" s="275"/>
      <c r="DVJ55" s="275"/>
      <c r="DVK55" s="275"/>
      <c r="DVL55" s="275"/>
      <c r="DVM55" s="275"/>
      <c r="DVN55" s="137"/>
      <c r="DVO55" s="137"/>
      <c r="DVP55" s="135"/>
      <c r="DVQ55" s="137"/>
      <c r="DVS55" s="250"/>
      <c r="DVT55" s="250"/>
      <c r="DVU55" s="243"/>
      <c r="DVV55" s="276"/>
      <c r="DVW55" s="276"/>
      <c r="DVX55" s="276"/>
      <c r="DVY55" s="244"/>
      <c r="DVZ55" s="244"/>
      <c r="DWA55" s="244"/>
      <c r="DWB55" s="245"/>
      <c r="DWC55" s="245"/>
      <c r="DWD55" s="244"/>
      <c r="DWE55" s="246"/>
      <c r="DWF55" s="247"/>
      <c r="DWG55" s="275"/>
      <c r="DWH55" s="275"/>
      <c r="DWI55" s="275"/>
      <c r="DWJ55" s="275"/>
      <c r="DWK55" s="275"/>
      <c r="DWL55" s="275"/>
      <c r="DWM55" s="137"/>
      <c r="DWN55" s="137"/>
      <c r="DWO55" s="135"/>
      <c r="DWP55" s="137"/>
      <c r="DWR55" s="250"/>
      <c r="DWS55" s="250"/>
      <c r="DWT55" s="243"/>
      <c r="DWU55" s="276"/>
      <c r="DWV55" s="276"/>
      <c r="DWW55" s="276"/>
      <c r="DWX55" s="244"/>
      <c r="DWY55" s="244"/>
      <c r="DWZ55" s="244"/>
      <c r="DXA55" s="245"/>
      <c r="DXB55" s="245"/>
      <c r="DXC55" s="244"/>
      <c r="DXD55" s="246"/>
      <c r="DXE55" s="247"/>
      <c r="DXF55" s="275"/>
      <c r="DXG55" s="275"/>
      <c r="DXH55" s="275"/>
      <c r="DXI55" s="275"/>
      <c r="DXJ55" s="275"/>
      <c r="DXK55" s="275"/>
      <c r="DXL55" s="137"/>
      <c r="DXM55" s="137"/>
      <c r="DXN55" s="135"/>
      <c r="DXO55" s="137"/>
      <c r="DXQ55" s="250"/>
      <c r="DXR55" s="250"/>
      <c r="DXS55" s="243"/>
      <c r="DXT55" s="276"/>
      <c r="DXU55" s="276"/>
      <c r="DXV55" s="276"/>
      <c r="DXW55" s="244"/>
      <c r="DXX55" s="244"/>
      <c r="DXY55" s="244"/>
      <c r="DXZ55" s="245"/>
      <c r="DYA55" s="245"/>
      <c r="DYB55" s="244"/>
      <c r="DYC55" s="246"/>
      <c r="DYD55" s="247"/>
      <c r="DYE55" s="275"/>
      <c r="DYF55" s="275"/>
      <c r="DYG55" s="275"/>
      <c r="DYH55" s="275"/>
      <c r="DYI55" s="275"/>
      <c r="DYJ55" s="275"/>
      <c r="DYK55" s="137"/>
      <c r="DYL55" s="137"/>
      <c r="DYM55" s="135"/>
      <c r="DYN55" s="137"/>
      <c r="DYP55" s="250"/>
      <c r="DYQ55" s="250"/>
      <c r="DYR55" s="243"/>
      <c r="DYS55" s="276"/>
      <c r="DYT55" s="276"/>
      <c r="DYU55" s="276"/>
      <c r="DYV55" s="244"/>
      <c r="DYW55" s="244"/>
      <c r="DYX55" s="244"/>
      <c r="DYY55" s="245"/>
      <c r="DYZ55" s="245"/>
      <c r="DZA55" s="244"/>
      <c r="DZB55" s="246"/>
      <c r="DZC55" s="247"/>
      <c r="DZD55" s="275"/>
      <c r="DZE55" s="275"/>
      <c r="DZF55" s="275"/>
      <c r="DZG55" s="275"/>
      <c r="DZH55" s="275"/>
      <c r="DZI55" s="275"/>
      <c r="DZJ55" s="137"/>
      <c r="DZK55" s="137"/>
      <c r="DZL55" s="135"/>
      <c r="DZM55" s="137"/>
      <c r="DZO55" s="250"/>
      <c r="DZP55" s="250"/>
      <c r="DZQ55" s="243"/>
      <c r="DZR55" s="276"/>
      <c r="DZS55" s="276"/>
      <c r="DZT55" s="276"/>
      <c r="DZU55" s="244"/>
      <c r="DZV55" s="244"/>
      <c r="DZW55" s="244"/>
      <c r="DZX55" s="245"/>
      <c r="DZY55" s="245"/>
      <c r="DZZ55" s="244"/>
      <c r="EAA55" s="246"/>
      <c r="EAB55" s="247"/>
      <c r="EAC55" s="275"/>
      <c r="EAD55" s="275"/>
      <c r="EAE55" s="275"/>
      <c r="EAF55" s="275"/>
      <c r="EAG55" s="275"/>
      <c r="EAH55" s="275"/>
      <c r="EAI55" s="137"/>
      <c r="EAJ55" s="137"/>
      <c r="EAK55" s="135"/>
      <c r="EAL55" s="137"/>
      <c r="EAN55" s="250"/>
      <c r="EAO55" s="250"/>
      <c r="EAP55" s="243"/>
      <c r="EAQ55" s="276"/>
      <c r="EAR55" s="276"/>
      <c r="EAS55" s="276"/>
      <c r="EAT55" s="244"/>
      <c r="EAU55" s="244"/>
      <c r="EAV55" s="244"/>
      <c r="EAW55" s="245"/>
      <c r="EAX55" s="245"/>
      <c r="EAY55" s="244"/>
      <c r="EAZ55" s="246"/>
      <c r="EBA55" s="247"/>
      <c r="EBB55" s="275"/>
      <c r="EBC55" s="275"/>
      <c r="EBD55" s="275"/>
      <c r="EBE55" s="275"/>
      <c r="EBF55" s="275"/>
      <c r="EBG55" s="275"/>
      <c r="EBH55" s="137"/>
      <c r="EBI55" s="137"/>
      <c r="EBJ55" s="135"/>
      <c r="EBK55" s="137"/>
      <c r="EBM55" s="250"/>
      <c r="EBN55" s="250"/>
      <c r="EBO55" s="243"/>
      <c r="EBP55" s="276"/>
      <c r="EBQ55" s="276"/>
      <c r="EBR55" s="276"/>
      <c r="EBS55" s="244"/>
      <c r="EBT55" s="244"/>
      <c r="EBU55" s="244"/>
      <c r="EBV55" s="245"/>
      <c r="EBW55" s="245"/>
      <c r="EBX55" s="244"/>
      <c r="EBY55" s="246"/>
      <c r="EBZ55" s="247"/>
      <c r="ECA55" s="275"/>
      <c r="ECB55" s="275"/>
      <c r="ECC55" s="275"/>
      <c r="ECD55" s="275"/>
      <c r="ECE55" s="275"/>
      <c r="ECF55" s="275"/>
      <c r="ECG55" s="137"/>
      <c r="ECH55" s="137"/>
      <c r="ECI55" s="135"/>
      <c r="ECJ55" s="137"/>
      <c r="ECL55" s="250"/>
      <c r="ECM55" s="250"/>
      <c r="ECN55" s="243"/>
      <c r="ECO55" s="276"/>
      <c r="ECP55" s="276"/>
      <c r="ECQ55" s="276"/>
      <c r="ECR55" s="244"/>
      <c r="ECS55" s="244"/>
      <c r="ECT55" s="244"/>
      <c r="ECU55" s="245"/>
      <c r="ECV55" s="245"/>
      <c r="ECW55" s="244"/>
      <c r="ECX55" s="246"/>
      <c r="ECY55" s="247"/>
      <c r="ECZ55" s="275"/>
      <c r="EDA55" s="275"/>
      <c r="EDB55" s="275"/>
      <c r="EDC55" s="275"/>
      <c r="EDD55" s="275"/>
      <c r="EDE55" s="275"/>
      <c r="EDF55" s="137"/>
      <c r="EDG55" s="137"/>
      <c r="EDH55" s="135"/>
      <c r="EDI55" s="137"/>
      <c r="EDK55" s="250"/>
      <c r="EDL55" s="250"/>
      <c r="EDM55" s="243"/>
      <c r="EDN55" s="276"/>
      <c r="EDO55" s="276"/>
      <c r="EDP55" s="276"/>
      <c r="EDQ55" s="244"/>
      <c r="EDR55" s="244"/>
      <c r="EDS55" s="244"/>
      <c r="EDT55" s="245"/>
      <c r="EDU55" s="245"/>
      <c r="EDV55" s="244"/>
      <c r="EDW55" s="246"/>
      <c r="EDX55" s="247"/>
      <c r="EDY55" s="275"/>
      <c r="EDZ55" s="275"/>
      <c r="EEA55" s="275"/>
      <c r="EEB55" s="275"/>
      <c r="EEC55" s="275"/>
      <c r="EED55" s="275"/>
      <c r="EEE55" s="137"/>
      <c r="EEF55" s="137"/>
      <c r="EEG55" s="135"/>
      <c r="EEH55" s="137"/>
      <c r="EEJ55" s="250"/>
      <c r="EEK55" s="250"/>
      <c r="EEL55" s="243"/>
      <c r="EEM55" s="276"/>
      <c r="EEN55" s="276"/>
      <c r="EEO55" s="276"/>
      <c r="EEP55" s="244"/>
      <c r="EEQ55" s="244"/>
      <c r="EER55" s="244"/>
      <c r="EES55" s="245"/>
      <c r="EET55" s="245"/>
      <c r="EEU55" s="244"/>
      <c r="EEV55" s="246"/>
      <c r="EEW55" s="247"/>
      <c r="EEX55" s="275"/>
      <c r="EEY55" s="275"/>
      <c r="EEZ55" s="275"/>
      <c r="EFA55" s="275"/>
      <c r="EFB55" s="275"/>
      <c r="EFC55" s="275"/>
      <c r="EFD55" s="137"/>
      <c r="EFE55" s="137"/>
      <c r="EFF55" s="135"/>
      <c r="EFG55" s="137"/>
      <c r="EFI55" s="250"/>
      <c r="EFJ55" s="250"/>
      <c r="EFK55" s="243"/>
      <c r="EFL55" s="276"/>
      <c r="EFM55" s="276"/>
      <c r="EFN55" s="276"/>
      <c r="EFO55" s="244"/>
      <c r="EFP55" s="244"/>
      <c r="EFQ55" s="244"/>
      <c r="EFR55" s="245"/>
      <c r="EFS55" s="245"/>
      <c r="EFT55" s="244"/>
      <c r="EFU55" s="246"/>
      <c r="EFV55" s="247"/>
      <c r="EFW55" s="275"/>
      <c r="EFX55" s="275"/>
      <c r="EFY55" s="275"/>
      <c r="EFZ55" s="275"/>
      <c r="EGA55" s="275"/>
      <c r="EGB55" s="275"/>
      <c r="EGC55" s="137"/>
      <c r="EGD55" s="137"/>
      <c r="EGE55" s="135"/>
      <c r="EGF55" s="137"/>
      <c r="EGH55" s="250"/>
      <c r="EGI55" s="250"/>
      <c r="EGJ55" s="243"/>
      <c r="EGK55" s="276"/>
      <c r="EGL55" s="276"/>
      <c r="EGM55" s="276"/>
      <c r="EGN55" s="244"/>
      <c r="EGO55" s="244"/>
      <c r="EGP55" s="244"/>
      <c r="EGQ55" s="245"/>
      <c r="EGR55" s="245"/>
      <c r="EGS55" s="244"/>
      <c r="EGT55" s="246"/>
      <c r="EGU55" s="247"/>
      <c r="EGV55" s="275"/>
      <c r="EGW55" s="275"/>
      <c r="EGX55" s="275"/>
      <c r="EGY55" s="275"/>
      <c r="EGZ55" s="275"/>
      <c r="EHA55" s="275"/>
      <c r="EHB55" s="137"/>
      <c r="EHC55" s="137"/>
      <c r="EHD55" s="135"/>
      <c r="EHE55" s="137"/>
      <c r="EHG55" s="250"/>
      <c r="EHH55" s="250"/>
      <c r="EHI55" s="243"/>
      <c r="EHJ55" s="276"/>
      <c r="EHK55" s="276"/>
      <c r="EHL55" s="276"/>
      <c r="EHM55" s="244"/>
      <c r="EHN55" s="244"/>
      <c r="EHO55" s="244"/>
      <c r="EHP55" s="245"/>
      <c r="EHQ55" s="245"/>
      <c r="EHR55" s="244"/>
      <c r="EHS55" s="246"/>
      <c r="EHT55" s="247"/>
      <c r="EHU55" s="275"/>
      <c r="EHV55" s="275"/>
      <c r="EHW55" s="275"/>
      <c r="EHX55" s="275"/>
      <c r="EHY55" s="275"/>
      <c r="EHZ55" s="275"/>
      <c r="EIA55" s="137"/>
      <c r="EIB55" s="137"/>
      <c r="EIC55" s="135"/>
      <c r="EID55" s="137"/>
      <c r="EIF55" s="250"/>
      <c r="EIG55" s="250"/>
      <c r="EIH55" s="243"/>
      <c r="EII55" s="276"/>
      <c r="EIJ55" s="276"/>
      <c r="EIK55" s="276"/>
      <c r="EIL55" s="244"/>
      <c r="EIM55" s="244"/>
      <c r="EIN55" s="244"/>
      <c r="EIO55" s="245"/>
      <c r="EIP55" s="245"/>
      <c r="EIQ55" s="244"/>
      <c r="EIR55" s="246"/>
      <c r="EIS55" s="247"/>
      <c r="EIT55" s="275"/>
      <c r="EIU55" s="275"/>
      <c r="EIV55" s="275"/>
      <c r="EIW55" s="275"/>
      <c r="EIX55" s="275"/>
      <c r="EIY55" s="275"/>
      <c r="EIZ55" s="137"/>
      <c r="EJA55" s="137"/>
      <c r="EJB55" s="135"/>
      <c r="EJC55" s="137"/>
      <c r="EJE55" s="250"/>
      <c r="EJF55" s="250"/>
      <c r="EJG55" s="243"/>
      <c r="EJH55" s="276"/>
      <c r="EJI55" s="276"/>
      <c r="EJJ55" s="276"/>
      <c r="EJK55" s="244"/>
      <c r="EJL55" s="244"/>
      <c r="EJM55" s="244"/>
      <c r="EJN55" s="245"/>
      <c r="EJO55" s="245"/>
      <c r="EJP55" s="244"/>
      <c r="EJQ55" s="246"/>
      <c r="EJR55" s="247"/>
      <c r="EJS55" s="275"/>
      <c r="EJT55" s="275"/>
      <c r="EJU55" s="275"/>
      <c r="EJV55" s="275"/>
      <c r="EJW55" s="275"/>
      <c r="EJX55" s="275"/>
      <c r="EJY55" s="137"/>
      <c r="EJZ55" s="137"/>
      <c r="EKA55" s="135"/>
      <c r="EKB55" s="137"/>
      <c r="EKD55" s="250"/>
      <c r="EKE55" s="250"/>
      <c r="EKF55" s="243"/>
      <c r="EKG55" s="276"/>
      <c r="EKH55" s="276"/>
      <c r="EKI55" s="276"/>
      <c r="EKJ55" s="244"/>
      <c r="EKK55" s="244"/>
      <c r="EKL55" s="244"/>
      <c r="EKM55" s="245"/>
      <c r="EKN55" s="245"/>
      <c r="EKO55" s="244"/>
      <c r="EKP55" s="246"/>
      <c r="EKQ55" s="247"/>
      <c r="EKR55" s="275"/>
      <c r="EKS55" s="275"/>
      <c r="EKT55" s="275"/>
      <c r="EKU55" s="275"/>
      <c r="EKV55" s="275"/>
      <c r="EKW55" s="275"/>
      <c r="EKX55" s="137"/>
      <c r="EKY55" s="137"/>
      <c r="EKZ55" s="135"/>
      <c r="ELA55" s="137"/>
      <c r="ELC55" s="250"/>
      <c r="ELD55" s="250"/>
      <c r="ELE55" s="243"/>
      <c r="ELF55" s="276"/>
      <c r="ELG55" s="276"/>
      <c r="ELH55" s="276"/>
      <c r="ELI55" s="244"/>
      <c r="ELJ55" s="244"/>
      <c r="ELK55" s="244"/>
      <c r="ELL55" s="245"/>
      <c r="ELM55" s="245"/>
      <c r="ELN55" s="244"/>
      <c r="ELO55" s="246"/>
      <c r="ELP55" s="247"/>
      <c r="ELQ55" s="275"/>
      <c r="ELR55" s="275"/>
      <c r="ELS55" s="275"/>
      <c r="ELT55" s="275"/>
      <c r="ELU55" s="275"/>
      <c r="ELV55" s="275"/>
      <c r="ELW55" s="137"/>
      <c r="ELX55" s="137"/>
      <c r="ELY55" s="135"/>
      <c r="ELZ55" s="137"/>
      <c r="EMB55" s="250"/>
      <c r="EMC55" s="250"/>
      <c r="EMD55" s="243"/>
      <c r="EME55" s="276"/>
      <c r="EMF55" s="276"/>
      <c r="EMG55" s="276"/>
      <c r="EMH55" s="244"/>
      <c r="EMI55" s="244"/>
      <c r="EMJ55" s="244"/>
      <c r="EMK55" s="245"/>
      <c r="EML55" s="245"/>
      <c r="EMM55" s="244"/>
      <c r="EMN55" s="246"/>
      <c r="EMO55" s="247"/>
      <c r="EMP55" s="275"/>
      <c r="EMQ55" s="275"/>
      <c r="EMR55" s="275"/>
      <c r="EMS55" s="275"/>
      <c r="EMT55" s="275"/>
      <c r="EMU55" s="275"/>
      <c r="EMV55" s="137"/>
      <c r="EMW55" s="137"/>
      <c r="EMX55" s="135"/>
      <c r="EMY55" s="137"/>
      <c r="ENA55" s="250"/>
      <c r="ENB55" s="250"/>
      <c r="ENC55" s="243"/>
      <c r="END55" s="276"/>
      <c r="ENE55" s="276"/>
      <c r="ENF55" s="276"/>
      <c r="ENG55" s="244"/>
      <c r="ENH55" s="244"/>
      <c r="ENI55" s="244"/>
      <c r="ENJ55" s="245"/>
      <c r="ENK55" s="245"/>
      <c r="ENL55" s="244"/>
      <c r="ENM55" s="246"/>
      <c r="ENN55" s="247"/>
      <c r="ENO55" s="275"/>
      <c r="ENP55" s="275"/>
      <c r="ENQ55" s="275"/>
      <c r="ENR55" s="275"/>
      <c r="ENS55" s="275"/>
      <c r="ENT55" s="275"/>
      <c r="ENU55" s="137"/>
      <c r="ENV55" s="137"/>
      <c r="ENW55" s="135"/>
      <c r="ENX55" s="137"/>
      <c r="ENZ55" s="250"/>
      <c r="EOA55" s="250"/>
      <c r="EOB55" s="243"/>
      <c r="EOC55" s="276"/>
      <c r="EOD55" s="276"/>
      <c r="EOE55" s="276"/>
      <c r="EOF55" s="244"/>
      <c r="EOG55" s="244"/>
      <c r="EOH55" s="244"/>
      <c r="EOI55" s="245"/>
      <c r="EOJ55" s="245"/>
      <c r="EOK55" s="244"/>
      <c r="EOL55" s="246"/>
      <c r="EOM55" s="247"/>
      <c r="EON55" s="275"/>
      <c r="EOO55" s="275"/>
      <c r="EOP55" s="275"/>
      <c r="EOQ55" s="275"/>
      <c r="EOR55" s="275"/>
      <c r="EOS55" s="275"/>
      <c r="EOT55" s="137"/>
      <c r="EOU55" s="137"/>
      <c r="EOV55" s="135"/>
      <c r="EOW55" s="137"/>
      <c r="EOY55" s="250"/>
      <c r="EOZ55" s="250"/>
      <c r="EPA55" s="243"/>
      <c r="EPB55" s="276"/>
      <c r="EPC55" s="276"/>
      <c r="EPD55" s="276"/>
      <c r="EPE55" s="244"/>
      <c r="EPF55" s="244"/>
      <c r="EPG55" s="244"/>
      <c r="EPH55" s="245"/>
      <c r="EPI55" s="245"/>
      <c r="EPJ55" s="244"/>
      <c r="EPK55" s="246"/>
      <c r="EPL55" s="247"/>
      <c r="EPM55" s="275"/>
      <c r="EPN55" s="275"/>
      <c r="EPO55" s="275"/>
      <c r="EPP55" s="275"/>
      <c r="EPQ55" s="275"/>
      <c r="EPR55" s="275"/>
      <c r="EPS55" s="137"/>
      <c r="EPT55" s="137"/>
      <c r="EPU55" s="135"/>
      <c r="EPV55" s="137"/>
      <c r="EPX55" s="250"/>
      <c r="EPY55" s="250"/>
      <c r="EPZ55" s="243"/>
      <c r="EQA55" s="276"/>
      <c r="EQB55" s="276"/>
      <c r="EQC55" s="276"/>
      <c r="EQD55" s="244"/>
      <c r="EQE55" s="244"/>
      <c r="EQF55" s="244"/>
      <c r="EQG55" s="245"/>
      <c r="EQH55" s="245"/>
      <c r="EQI55" s="244"/>
      <c r="EQJ55" s="246"/>
      <c r="EQK55" s="247"/>
      <c r="EQL55" s="275"/>
      <c r="EQM55" s="275"/>
      <c r="EQN55" s="275"/>
      <c r="EQO55" s="275"/>
      <c r="EQP55" s="275"/>
      <c r="EQQ55" s="275"/>
      <c r="EQR55" s="137"/>
      <c r="EQS55" s="137"/>
      <c r="EQT55" s="135"/>
      <c r="EQU55" s="137"/>
      <c r="EQW55" s="250"/>
      <c r="EQX55" s="250"/>
      <c r="EQY55" s="243"/>
      <c r="EQZ55" s="276"/>
      <c r="ERA55" s="276"/>
      <c r="ERB55" s="276"/>
      <c r="ERC55" s="244"/>
      <c r="ERD55" s="244"/>
      <c r="ERE55" s="244"/>
      <c r="ERF55" s="245"/>
      <c r="ERG55" s="245"/>
      <c r="ERH55" s="244"/>
      <c r="ERI55" s="246"/>
      <c r="ERJ55" s="247"/>
      <c r="ERK55" s="275"/>
      <c r="ERL55" s="275"/>
      <c r="ERM55" s="275"/>
      <c r="ERN55" s="275"/>
      <c r="ERO55" s="275"/>
      <c r="ERP55" s="275"/>
      <c r="ERQ55" s="137"/>
      <c r="ERR55" s="137"/>
      <c r="ERS55" s="135"/>
      <c r="ERT55" s="137"/>
      <c r="ERV55" s="250"/>
      <c r="ERW55" s="250"/>
      <c r="ERX55" s="243"/>
      <c r="ERY55" s="276"/>
      <c r="ERZ55" s="276"/>
      <c r="ESA55" s="276"/>
      <c r="ESB55" s="244"/>
      <c r="ESC55" s="244"/>
      <c r="ESD55" s="244"/>
      <c r="ESE55" s="245"/>
      <c r="ESF55" s="245"/>
      <c r="ESG55" s="244"/>
      <c r="ESH55" s="246"/>
      <c r="ESI55" s="247"/>
      <c r="ESJ55" s="275"/>
      <c r="ESK55" s="275"/>
      <c r="ESL55" s="275"/>
      <c r="ESM55" s="275"/>
      <c r="ESN55" s="275"/>
      <c r="ESO55" s="275"/>
      <c r="ESP55" s="137"/>
      <c r="ESQ55" s="137"/>
      <c r="ESR55" s="135"/>
      <c r="ESS55" s="137"/>
      <c r="ESU55" s="250"/>
      <c r="ESV55" s="250"/>
      <c r="ESW55" s="243"/>
      <c r="ESX55" s="276"/>
      <c r="ESY55" s="276"/>
      <c r="ESZ55" s="276"/>
      <c r="ETA55" s="244"/>
      <c r="ETB55" s="244"/>
      <c r="ETC55" s="244"/>
      <c r="ETD55" s="245"/>
      <c r="ETE55" s="245"/>
      <c r="ETF55" s="244"/>
      <c r="ETG55" s="246"/>
      <c r="ETH55" s="247"/>
      <c r="ETI55" s="275"/>
      <c r="ETJ55" s="275"/>
      <c r="ETK55" s="275"/>
      <c r="ETL55" s="275"/>
      <c r="ETM55" s="275"/>
      <c r="ETN55" s="275"/>
      <c r="ETO55" s="137"/>
      <c r="ETP55" s="137"/>
      <c r="ETQ55" s="135"/>
      <c r="ETR55" s="137"/>
      <c r="ETT55" s="250"/>
      <c r="ETU55" s="250"/>
      <c r="ETV55" s="243"/>
      <c r="ETW55" s="276"/>
      <c r="ETX55" s="276"/>
      <c r="ETY55" s="276"/>
      <c r="ETZ55" s="244"/>
      <c r="EUA55" s="244"/>
      <c r="EUB55" s="244"/>
      <c r="EUC55" s="245"/>
      <c r="EUD55" s="245"/>
      <c r="EUE55" s="244"/>
      <c r="EUF55" s="246"/>
      <c r="EUG55" s="247"/>
      <c r="EUH55" s="275"/>
      <c r="EUI55" s="275"/>
      <c r="EUJ55" s="275"/>
      <c r="EUK55" s="275"/>
      <c r="EUL55" s="275"/>
      <c r="EUM55" s="275"/>
      <c r="EUN55" s="137"/>
      <c r="EUO55" s="137"/>
      <c r="EUP55" s="135"/>
      <c r="EUQ55" s="137"/>
      <c r="EUS55" s="250"/>
      <c r="EUT55" s="250"/>
      <c r="EUU55" s="243"/>
      <c r="EUV55" s="276"/>
      <c r="EUW55" s="276"/>
      <c r="EUX55" s="276"/>
      <c r="EUY55" s="244"/>
      <c r="EUZ55" s="244"/>
      <c r="EVA55" s="244"/>
      <c r="EVB55" s="245"/>
      <c r="EVC55" s="245"/>
      <c r="EVD55" s="244"/>
      <c r="EVE55" s="246"/>
      <c r="EVF55" s="247"/>
      <c r="EVG55" s="275"/>
      <c r="EVH55" s="275"/>
      <c r="EVI55" s="275"/>
      <c r="EVJ55" s="275"/>
      <c r="EVK55" s="275"/>
      <c r="EVL55" s="275"/>
      <c r="EVM55" s="137"/>
      <c r="EVN55" s="137"/>
      <c r="EVO55" s="135"/>
      <c r="EVP55" s="137"/>
      <c r="EVR55" s="250"/>
      <c r="EVS55" s="250"/>
      <c r="EVT55" s="243"/>
      <c r="EVU55" s="276"/>
      <c r="EVV55" s="276"/>
      <c r="EVW55" s="276"/>
      <c r="EVX55" s="244"/>
      <c r="EVY55" s="244"/>
      <c r="EVZ55" s="244"/>
      <c r="EWA55" s="245"/>
      <c r="EWB55" s="245"/>
      <c r="EWC55" s="244"/>
      <c r="EWD55" s="246"/>
      <c r="EWE55" s="247"/>
      <c r="EWF55" s="275"/>
      <c r="EWG55" s="275"/>
      <c r="EWH55" s="275"/>
      <c r="EWI55" s="275"/>
      <c r="EWJ55" s="275"/>
      <c r="EWK55" s="275"/>
      <c r="EWL55" s="137"/>
      <c r="EWM55" s="137"/>
      <c r="EWN55" s="135"/>
      <c r="EWO55" s="137"/>
      <c r="EWQ55" s="250"/>
      <c r="EWR55" s="250"/>
      <c r="EWS55" s="243"/>
      <c r="EWT55" s="276"/>
      <c r="EWU55" s="276"/>
      <c r="EWV55" s="276"/>
      <c r="EWW55" s="244"/>
      <c r="EWX55" s="244"/>
      <c r="EWY55" s="244"/>
      <c r="EWZ55" s="245"/>
      <c r="EXA55" s="245"/>
      <c r="EXB55" s="244"/>
      <c r="EXC55" s="246"/>
      <c r="EXD55" s="247"/>
      <c r="EXE55" s="275"/>
      <c r="EXF55" s="275"/>
      <c r="EXG55" s="275"/>
      <c r="EXH55" s="275"/>
      <c r="EXI55" s="275"/>
      <c r="EXJ55" s="275"/>
      <c r="EXK55" s="137"/>
      <c r="EXL55" s="137"/>
      <c r="EXM55" s="135"/>
      <c r="EXN55" s="137"/>
      <c r="EXP55" s="250"/>
      <c r="EXQ55" s="250"/>
      <c r="EXR55" s="243"/>
      <c r="EXS55" s="276"/>
      <c r="EXT55" s="276"/>
      <c r="EXU55" s="276"/>
      <c r="EXV55" s="244"/>
      <c r="EXW55" s="244"/>
      <c r="EXX55" s="244"/>
      <c r="EXY55" s="245"/>
      <c r="EXZ55" s="245"/>
      <c r="EYA55" s="244"/>
      <c r="EYB55" s="246"/>
      <c r="EYC55" s="247"/>
      <c r="EYD55" s="275"/>
      <c r="EYE55" s="275"/>
      <c r="EYF55" s="275"/>
      <c r="EYG55" s="275"/>
      <c r="EYH55" s="275"/>
      <c r="EYI55" s="275"/>
      <c r="EYJ55" s="137"/>
      <c r="EYK55" s="137"/>
      <c r="EYL55" s="135"/>
      <c r="EYM55" s="137"/>
      <c r="EYO55" s="250"/>
      <c r="EYP55" s="250"/>
      <c r="EYQ55" s="243"/>
      <c r="EYR55" s="276"/>
      <c r="EYS55" s="276"/>
      <c r="EYT55" s="276"/>
      <c r="EYU55" s="244"/>
      <c r="EYV55" s="244"/>
      <c r="EYW55" s="244"/>
      <c r="EYX55" s="245"/>
      <c r="EYY55" s="245"/>
      <c r="EYZ55" s="244"/>
      <c r="EZA55" s="246"/>
      <c r="EZB55" s="247"/>
      <c r="EZC55" s="275"/>
      <c r="EZD55" s="275"/>
      <c r="EZE55" s="275"/>
      <c r="EZF55" s="275"/>
      <c r="EZG55" s="275"/>
      <c r="EZH55" s="275"/>
      <c r="EZI55" s="137"/>
      <c r="EZJ55" s="137"/>
      <c r="EZK55" s="135"/>
      <c r="EZL55" s="137"/>
      <c r="EZN55" s="250"/>
      <c r="EZO55" s="250"/>
      <c r="EZP55" s="243"/>
      <c r="EZQ55" s="276"/>
      <c r="EZR55" s="276"/>
      <c r="EZS55" s="276"/>
      <c r="EZT55" s="244"/>
      <c r="EZU55" s="244"/>
      <c r="EZV55" s="244"/>
      <c r="EZW55" s="245"/>
      <c r="EZX55" s="245"/>
      <c r="EZY55" s="244"/>
      <c r="EZZ55" s="246"/>
      <c r="FAA55" s="247"/>
      <c r="FAB55" s="275"/>
      <c r="FAC55" s="275"/>
      <c r="FAD55" s="275"/>
      <c r="FAE55" s="275"/>
      <c r="FAF55" s="275"/>
      <c r="FAG55" s="275"/>
      <c r="FAH55" s="137"/>
      <c r="FAI55" s="137"/>
      <c r="FAJ55" s="135"/>
      <c r="FAK55" s="137"/>
      <c r="FAM55" s="250"/>
      <c r="FAN55" s="250"/>
      <c r="FAO55" s="243"/>
      <c r="FAP55" s="276"/>
      <c r="FAQ55" s="276"/>
      <c r="FAR55" s="276"/>
      <c r="FAS55" s="244"/>
      <c r="FAT55" s="244"/>
      <c r="FAU55" s="244"/>
      <c r="FAV55" s="245"/>
      <c r="FAW55" s="245"/>
      <c r="FAX55" s="244"/>
      <c r="FAY55" s="246"/>
      <c r="FAZ55" s="247"/>
      <c r="FBA55" s="275"/>
      <c r="FBB55" s="275"/>
      <c r="FBC55" s="275"/>
      <c r="FBD55" s="275"/>
      <c r="FBE55" s="275"/>
      <c r="FBF55" s="275"/>
      <c r="FBG55" s="137"/>
      <c r="FBH55" s="137"/>
      <c r="FBI55" s="135"/>
      <c r="FBJ55" s="137"/>
      <c r="FBL55" s="250"/>
      <c r="FBM55" s="250"/>
      <c r="FBN55" s="243"/>
      <c r="FBO55" s="276"/>
      <c r="FBP55" s="276"/>
      <c r="FBQ55" s="276"/>
      <c r="FBR55" s="244"/>
      <c r="FBS55" s="244"/>
      <c r="FBT55" s="244"/>
      <c r="FBU55" s="245"/>
      <c r="FBV55" s="245"/>
      <c r="FBW55" s="244"/>
      <c r="FBX55" s="246"/>
      <c r="FBY55" s="247"/>
      <c r="FBZ55" s="275"/>
      <c r="FCA55" s="275"/>
      <c r="FCB55" s="275"/>
      <c r="FCC55" s="275"/>
      <c r="FCD55" s="275"/>
      <c r="FCE55" s="275"/>
      <c r="FCF55" s="137"/>
      <c r="FCG55" s="137"/>
      <c r="FCH55" s="135"/>
      <c r="FCI55" s="137"/>
      <c r="FCK55" s="250"/>
      <c r="FCL55" s="250"/>
      <c r="FCM55" s="243"/>
      <c r="FCN55" s="276"/>
      <c r="FCO55" s="276"/>
      <c r="FCP55" s="276"/>
      <c r="FCQ55" s="244"/>
      <c r="FCR55" s="244"/>
      <c r="FCS55" s="244"/>
      <c r="FCT55" s="245"/>
      <c r="FCU55" s="245"/>
      <c r="FCV55" s="244"/>
      <c r="FCW55" s="246"/>
      <c r="FCX55" s="247"/>
      <c r="FCY55" s="275"/>
      <c r="FCZ55" s="275"/>
      <c r="FDA55" s="275"/>
      <c r="FDB55" s="275"/>
      <c r="FDC55" s="275"/>
      <c r="FDD55" s="275"/>
      <c r="FDE55" s="137"/>
      <c r="FDF55" s="137"/>
      <c r="FDG55" s="135"/>
      <c r="FDH55" s="137"/>
      <c r="FDJ55" s="250"/>
      <c r="FDK55" s="250"/>
      <c r="FDL55" s="243"/>
      <c r="FDM55" s="276"/>
      <c r="FDN55" s="276"/>
      <c r="FDO55" s="276"/>
      <c r="FDP55" s="244"/>
      <c r="FDQ55" s="244"/>
      <c r="FDR55" s="244"/>
      <c r="FDS55" s="245"/>
      <c r="FDT55" s="245"/>
      <c r="FDU55" s="244"/>
      <c r="FDV55" s="246"/>
      <c r="FDW55" s="247"/>
      <c r="FDX55" s="275"/>
      <c r="FDY55" s="275"/>
      <c r="FDZ55" s="275"/>
      <c r="FEA55" s="275"/>
      <c r="FEB55" s="275"/>
      <c r="FEC55" s="275"/>
      <c r="FED55" s="137"/>
      <c r="FEE55" s="137"/>
      <c r="FEF55" s="135"/>
      <c r="FEG55" s="137"/>
      <c r="FEI55" s="250"/>
      <c r="FEJ55" s="250"/>
      <c r="FEK55" s="243"/>
      <c r="FEL55" s="276"/>
      <c r="FEM55" s="276"/>
      <c r="FEN55" s="276"/>
      <c r="FEO55" s="244"/>
      <c r="FEP55" s="244"/>
      <c r="FEQ55" s="244"/>
      <c r="FER55" s="245"/>
      <c r="FES55" s="245"/>
      <c r="FET55" s="244"/>
      <c r="FEU55" s="246"/>
      <c r="FEV55" s="247"/>
      <c r="FEW55" s="275"/>
      <c r="FEX55" s="275"/>
      <c r="FEY55" s="275"/>
      <c r="FEZ55" s="275"/>
      <c r="FFA55" s="275"/>
      <c r="FFB55" s="275"/>
      <c r="FFC55" s="137"/>
      <c r="FFD55" s="137"/>
      <c r="FFE55" s="135"/>
      <c r="FFF55" s="137"/>
      <c r="FFH55" s="250"/>
      <c r="FFI55" s="250"/>
      <c r="FFJ55" s="243"/>
      <c r="FFK55" s="276"/>
      <c r="FFL55" s="276"/>
      <c r="FFM55" s="276"/>
      <c r="FFN55" s="244"/>
      <c r="FFO55" s="244"/>
      <c r="FFP55" s="244"/>
      <c r="FFQ55" s="245"/>
      <c r="FFR55" s="245"/>
      <c r="FFS55" s="244"/>
      <c r="FFT55" s="246"/>
      <c r="FFU55" s="247"/>
      <c r="FFV55" s="275"/>
      <c r="FFW55" s="275"/>
      <c r="FFX55" s="275"/>
      <c r="FFY55" s="275"/>
      <c r="FFZ55" s="275"/>
      <c r="FGA55" s="275"/>
      <c r="FGB55" s="137"/>
      <c r="FGC55" s="137"/>
      <c r="FGD55" s="135"/>
      <c r="FGE55" s="137"/>
      <c r="FGG55" s="250"/>
      <c r="FGH55" s="250"/>
      <c r="FGI55" s="243"/>
      <c r="FGJ55" s="276"/>
      <c r="FGK55" s="276"/>
      <c r="FGL55" s="276"/>
      <c r="FGM55" s="244"/>
      <c r="FGN55" s="244"/>
      <c r="FGO55" s="244"/>
      <c r="FGP55" s="245"/>
      <c r="FGQ55" s="245"/>
      <c r="FGR55" s="244"/>
      <c r="FGS55" s="246"/>
      <c r="FGT55" s="247"/>
      <c r="FGU55" s="275"/>
      <c r="FGV55" s="275"/>
      <c r="FGW55" s="275"/>
      <c r="FGX55" s="275"/>
      <c r="FGY55" s="275"/>
      <c r="FGZ55" s="275"/>
      <c r="FHA55" s="137"/>
      <c r="FHB55" s="137"/>
      <c r="FHC55" s="135"/>
      <c r="FHD55" s="137"/>
      <c r="FHF55" s="250"/>
      <c r="FHG55" s="250"/>
      <c r="FHH55" s="243"/>
      <c r="FHI55" s="276"/>
      <c r="FHJ55" s="276"/>
      <c r="FHK55" s="276"/>
      <c r="FHL55" s="244"/>
      <c r="FHM55" s="244"/>
      <c r="FHN55" s="244"/>
      <c r="FHO55" s="245"/>
      <c r="FHP55" s="245"/>
      <c r="FHQ55" s="244"/>
      <c r="FHR55" s="246"/>
      <c r="FHS55" s="247"/>
      <c r="FHT55" s="275"/>
      <c r="FHU55" s="275"/>
      <c r="FHV55" s="275"/>
      <c r="FHW55" s="275"/>
      <c r="FHX55" s="275"/>
      <c r="FHY55" s="275"/>
      <c r="FHZ55" s="137"/>
      <c r="FIA55" s="137"/>
      <c r="FIB55" s="135"/>
      <c r="FIC55" s="137"/>
      <c r="FIE55" s="250"/>
      <c r="FIF55" s="250"/>
      <c r="FIG55" s="243"/>
      <c r="FIH55" s="276"/>
      <c r="FII55" s="276"/>
      <c r="FIJ55" s="276"/>
      <c r="FIK55" s="244"/>
      <c r="FIL55" s="244"/>
      <c r="FIM55" s="244"/>
      <c r="FIN55" s="245"/>
      <c r="FIO55" s="245"/>
      <c r="FIP55" s="244"/>
      <c r="FIQ55" s="246"/>
      <c r="FIR55" s="247"/>
      <c r="FIS55" s="275"/>
      <c r="FIT55" s="275"/>
      <c r="FIU55" s="275"/>
      <c r="FIV55" s="275"/>
      <c r="FIW55" s="275"/>
      <c r="FIX55" s="275"/>
      <c r="FIY55" s="137"/>
      <c r="FIZ55" s="137"/>
      <c r="FJA55" s="135"/>
      <c r="FJB55" s="137"/>
      <c r="FJD55" s="250"/>
      <c r="FJE55" s="250"/>
      <c r="FJF55" s="243"/>
      <c r="FJG55" s="276"/>
      <c r="FJH55" s="276"/>
      <c r="FJI55" s="276"/>
      <c r="FJJ55" s="244"/>
      <c r="FJK55" s="244"/>
      <c r="FJL55" s="244"/>
      <c r="FJM55" s="245"/>
      <c r="FJN55" s="245"/>
      <c r="FJO55" s="244"/>
      <c r="FJP55" s="246"/>
      <c r="FJQ55" s="247"/>
      <c r="FJR55" s="275"/>
      <c r="FJS55" s="275"/>
      <c r="FJT55" s="275"/>
      <c r="FJU55" s="275"/>
      <c r="FJV55" s="275"/>
      <c r="FJW55" s="275"/>
      <c r="FJX55" s="137"/>
      <c r="FJY55" s="137"/>
      <c r="FJZ55" s="135"/>
      <c r="FKA55" s="137"/>
      <c r="FKC55" s="250"/>
      <c r="FKD55" s="250"/>
      <c r="FKE55" s="243"/>
      <c r="FKF55" s="276"/>
      <c r="FKG55" s="276"/>
      <c r="FKH55" s="276"/>
      <c r="FKI55" s="244"/>
      <c r="FKJ55" s="244"/>
      <c r="FKK55" s="244"/>
      <c r="FKL55" s="245"/>
      <c r="FKM55" s="245"/>
      <c r="FKN55" s="244"/>
      <c r="FKO55" s="246"/>
      <c r="FKP55" s="247"/>
      <c r="FKQ55" s="275"/>
      <c r="FKR55" s="275"/>
      <c r="FKS55" s="275"/>
      <c r="FKT55" s="275"/>
      <c r="FKU55" s="275"/>
      <c r="FKV55" s="275"/>
      <c r="FKW55" s="137"/>
      <c r="FKX55" s="137"/>
      <c r="FKY55" s="135"/>
      <c r="FKZ55" s="137"/>
      <c r="FLB55" s="250"/>
      <c r="FLC55" s="250"/>
      <c r="FLD55" s="243"/>
      <c r="FLE55" s="276"/>
      <c r="FLF55" s="276"/>
      <c r="FLG55" s="276"/>
      <c r="FLH55" s="244"/>
      <c r="FLI55" s="244"/>
      <c r="FLJ55" s="244"/>
      <c r="FLK55" s="245"/>
      <c r="FLL55" s="245"/>
      <c r="FLM55" s="244"/>
      <c r="FLN55" s="246"/>
      <c r="FLO55" s="247"/>
      <c r="FLP55" s="275"/>
      <c r="FLQ55" s="275"/>
      <c r="FLR55" s="275"/>
      <c r="FLS55" s="275"/>
      <c r="FLT55" s="275"/>
      <c r="FLU55" s="275"/>
      <c r="FLV55" s="137"/>
      <c r="FLW55" s="137"/>
      <c r="FLX55" s="135"/>
      <c r="FLY55" s="137"/>
      <c r="FMA55" s="250"/>
      <c r="FMB55" s="250"/>
      <c r="FMC55" s="243"/>
      <c r="FMD55" s="276"/>
      <c r="FME55" s="276"/>
      <c r="FMF55" s="276"/>
      <c r="FMG55" s="244"/>
      <c r="FMH55" s="244"/>
      <c r="FMI55" s="244"/>
      <c r="FMJ55" s="245"/>
      <c r="FMK55" s="245"/>
      <c r="FML55" s="244"/>
      <c r="FMM55" s="246"/>
      <c r="FMN55" s="247"/>
      <c r="FMO55" s="275"/>
      <c r="FMP55" s="275"/>
      <c r="FMQ55" s="275"/>
      <c r="FMR55" s="275"/>
      <c r="FMS55" s="275"/>
      <c r="FMT55" s="275"/>
      <c r="FMU55" s="137"/>
      <c r="FMV55" s="137"/>
      <c r="FMW55" s="135"/>
      <c r="FMX55" s="137"/>
      <c r="FMZ55" s="250"/>
      <c r="FNA55" s="250"/>
      <c r="FNB55" s="243"/>
      <c r="FNC55" s="276"/>
      <c r="FND55" s="276"/>
      <c r="FNE55" s="276"/>
      <c r="FNF55" s="244"/>
      <c r="FNG55" s="244"/>
      <c r="FNH55" s="244"/>
      <c r="FNI55" s="245"/>
      <c r="FNJ55" s="245"/>
      <c r="FNK55" s="244"/>
      <c r="FNL55" s="246"/>
      <c r="FNM55" s="247"/>
      <c r="FNN55" s="275"/>
      <c r="FNO55" s="275"/>
      <c r="FNP55" s="275"/>
      <c r="FNQ55" s="275"/>
      <c r="FNR55" s="275"/>
      <c r="FNS55" s="275"/>
      <c r="FNT55" s="137"/>
      <c r="FNU55" s="137"/>
      <c r="FNV55" s="135"/>
      <c r="FNW55" s="137"/>
      <c r="FNY55" s="250"/>
      <c r="FNZ55" s="250"/>
      <c r="FOA55" s="243"/>
      <c r="FOB55" s="276"/>
      <c r="FOC55" s="276"/>
      <c r="FOD55" s="276"/>
      <c r="FOE55" s="244"/>
      <c r="FOF55" s="244"/>
      <c r="FOG55" s="244"/>
      <c r="FOH55" s="245"/>
      <c r="FOI55" s="245"/>
      <c r="FOJ55" s="244"/>
      <c r="FOK55" s="246"/>
      <c r="FOL55" s="247"/>
      <c r="FOM55" s="275"/>
      <c r="FON55" s="275"/>
      <c r="FOO55" s="275"/>
      <c r="FOP55" s="275"/>
      <c r="FOQ55" s="275"/>
      <c r="FOR55" s="275"/>
      <c r="FOS55" s="137"/>
      <c r="FOT55" s="137"/>
      <c r="FOU55" s="135"/>
      <c r="FOV55" s="137"/>
      <c r="FOX55" s="250"/>
      <c r="FOY55" s="250"/>
      <c r="FOZ55" s="243"/>
      <c r="FPA55" s="276"/>
      <c r="FPB55" s="276"/>
      <c r="FPC55" s="276"/>
      <c r="FPD55" s="244"/>
      <c r="FPE55" s="244"/>
      <c r="FPF55" s="244"/>
      <c r="FPG55" s="245"/>
      <c r="FPH55" s="245"/>
      <c r="FPI55" s="244"/>
      <c r="FPJ55" s="246"/>
      <c r="FPK55" s="247"/>
      <c r="FPL55" s="275"/>
      <c r="FPM55" s="275"/>
      <c r="FPN55" s="275"/>
      <c r="FPO55" s="275"/>
      <c r="FPP55" s="275"/>
      <c r="FPQ55" s="275"/>
      <c r="FPR55" s="137"/>
      <c r="FPS55" s="137"/>
      <c r="FPT55" s="135"/>
      <c r="FPU55" s="137"/>
      <c r="FPW55" s="250"/>
      <c r="FPX55" s="250"/>
      <c r="FPY55" s="243"/>
      <c r="FPZ55" s="276"/>
      <c r="FQA55" s="276"/>
      <c r="FQB55" s="276"/>
      <c r="FQC55" s="244"/>
      <c r="FQD55" s="244"/>
      <c r="FQE55" s="244"/>
      <c r="FQF55" s="245"/>
      <c r="FQG55" s="245"/>
      <c r="FQH55" s="244"/>
      <c r="FQI55" s="246"/>
      <c r="FQJ55" s="247"/>
      <c r="FQK55" s="275"/>
      <c r="FQL55" s="275"/>
      <c r="FQM55" s="275"/>
      <c r="FQN55" s="275"/>
      <c r="FQO55" s="275"/>
      <c r="FQP55" s="275"/>
      <c r="FQQ55" s="137"/>
      <c r="FQR55" s="137"/>
      <c r="FQS55" s="135"/>
      <c r="FQT55" s="137"/>
      <c r="FQV55" s="250"/>
      <c r="FQW55" s="250"/>
      <c r="FQX55" s="243"/>
      <c r="FQY55" s="276"/>
      <c r="FQZ55" s="276"/>
      <c r="FRA55" s="276"/>
      <c r="FRB55" s="244"/>
      <c r="FRC55" s="244"/>
      <c r="FRD55" s="244"/>
      <c r="FRE55" s="245"/>
      <c r="FRF55" s="245"/>
      <c r="FRG55" s="244"/>
      <c r="FRH55" s="246"/>
      <c r="FRI55" s="247"/>
      <c r="FRJ55" s="275"/>
      <c r="FRK55" s="275"/>
      <c r="FRL55" s="275"/>
      <c r="FRM55" s="275"/>
      <c r="FRN55" s="275"/>
      <c r="FRO55" s="275"/>
      <c r="FRP55" s="137"/>
      <c r="FRQ55" s="137"/>
      <c r="FRR55" s="135"/>
      <c r="FRS55" s="137"/>
      <c r="FRU55" s="250"/>
      <c r="FRV55" s="250"/>
      <c r="FRW55" s="243"/>
      <c r="FRX55" s="276"/>
      <c r="FRY55" s="276"/>
      <c r="FRZ55" s="276"/>
      <c r="FSA55" s="244"/>
      <c r="FSB55" s="244"/>
      <c r="FSC55" s="244"/>
      <c r="FSD55" s="245"/>
      <c r="FSE55" s="245"/>
      <c r="FSF55" s="244"/>
      <c r="FSG55" s="246"/>
      <c r="FSH55" s="247"/>
      <c r="FSI55" s="275"/>
      <c r="FSJ55" s="275"/>
      <c r="FSK55" s="275"/>
      <c r="FSL55" s="275"/>
      <c r="FSM55" s="275"/>
      <c r="FSN55" s="275"/>
      <c r="FSO55" s="137"/>
      <c r="FSP55" s="137"/>
      <c r="FSQ55" s="135"/>
      <c r="FSR55" s="137"/>
      <c r="FST55" s="250"/>
      <c r="FSU55" s="250"/>
      <c r="FSV55" s="243"/>
      <c r="FSW55" s="276"/>
      <c r="FSX55" s="276"/>
      <c r="FSY55" s="276"/>
      <c r="FSZ55" s="244"/>
      <c r="FTA55" s="244"/>
      <c r="FTB55" s="244"/>
      <c r="FTC55" s="245"/>
      <c r="FTD55" s="245"/>
      <c r="FTE55" s="244"/>
      <c r="FTF55" s="246"/>
      <c r="FTG55" s="247"/>
      <c r="FTH55" s="275"/>
      <c r="FTI55" s="275"/>
      <c r="FTJ55" s="275"/>
      <c r="FTK55" s="275"/>
      <c r="FTL55" s="275"/>
      <c r="FTM55" s="275"/>
      <c r="FTN55" s="137"/>
      <c r="FTO55" s="137"/>
      <c r="FTP55" s="135"/>
      <c r="FTQ55" s="137"/>
      <c r="FTS55" s="250"/>
      <c r="FTT55" s="250"/>
      <c r="FTU55" s="243"/>
      <c r="FTV55" s="276"/>
      <c r="FTW55" s="276"/>
      <c r="FTX55" s="276"/>
      <c r="FTY55" s="244"/>
      <c r="FTZ55" s="244"/>
      <c r="FUA55" s="244"/>
      <c r="FUB55" s="245"/>
      <c r="FUC55" s="245"/>
      <c r="FUD55" s="244"/>
      <c r="FUE55" s="246"/>
      <c r="FUF55" s="247"/>
      <c r="FUG55" s="275"/>
      <c r="FUH55" s="275"/>
      <c r="FUI55" s="275"/>
      <c r="FUJ55" s="275"/>
      <c r="FUK55" s="275"/>
      <c r="FUL55" s="275"/>
      <c r="FUM55" s="137"/>
      <c r="FUN55" s="137"/>
      <c r="FUO55" s="135"/>
      <c r="FUP55" s="137"/>
      <c r="FUR55" s="250"/>
      <c r="FUS55" s="250"/>
      <c r="FUT55" s="243"/>
      <c r="FUU55" s="276"/>
      <c r="FUV55" s="276"/>
      <c r="FUW55" s="276"/>
      <c r="FUX55" s="244"/>
      <c r="FUY55" s="244"/>
      <c r="FUZ55" s="244"/>
      <c r="FVA55" s="245"/>
      <c r="FVB55" s="245"/>
      <c r="FVC55" s="244"/>
      <c r="FVD55" s="246"/>
      <c r="FVE55" s="247"/>
      <c r="FVF55" s="275"/>
      <c r="FVG55" s="275"/>
      <c r="FVH55" s="275"/>
      <c r="FVI55" s="275"/>
      <c r="FVJ55" s="275"/>
      <c r="FVK55" s="275"/>
      <c r="FVL55" s="137"/>
      <c r="FVM55" s="137"/>
      <c r="FVN55" s="135"/>
      <c r="FVO55" s="137"/>
      <c r="FVQ55" s="250"/>
      <c r="FVR55" s="250"/>
      <c r="FVS55" s="243"/>
      <c r="FVT55" s="276"/>
      <c r="FVU55" s="276"/>
      <c r="FVV55" s="276"/>
      <c r="FVW55" s="244"/>
      <c r="FVX55" s="244"/>
      <c r="FVY55" s="244"/>
      <c r="FVZ55" s="245"/>
      <c r="FWA55" s="245"/>
      <c r="FWB55" s="244"/>
      <c r="FWC55" s="246"/>
      <c r="FWD55" s="247"/>
      <c r="FWE55" s="275"/>
      <c r="FWF55" s="275"/>
      <c r="FWG55" s="275"/>
      <c r="FWH55" s="275"/>
      <c r="FWI55" s="275"/>
      <c r="FWJ55" s="275"/>
      <c r="FWK55" s="137"/>
      <c r="FWL55" s="137"/>
      <c r="FWM55" s="135"/>
      <c r="FWN55" s="137"/>
      <c r="FWP55" s="250"/>
      <c r="FWQ55" s="250"/>
      <c r="FWR55" s="243"/>
      <c r="FWS55" s="276"/>
      <c r="FWT55" s="276"/>
      <c r="FWU55" s="276"/>
      <c r="FWV55" s="244"/>
      <c r="FWW55" s="244"/>
      <c r="FWX55" s="244"/>
      <c r="FWY55" s="245"/>
      <c r="FWZ55" s="245"/>
      <c r="FXA55" s="244"/>
      <c r="FXB55" s="246"/>
      <c r="FXC55" s="247"/>
      <c r="FXD55" s="275"/>
      <c r="FXE55" s="275"/>
      <c r="FXF55" s="275"/>
      <c r="FXG55" s="275"/>
      <c r="FXH55" s="275"/>
      <c r="FXI55" s="275"/>
      <c r="FXJ55" s="137"/>
      <c r="FXK55" s="137"/>
      <c r="FXL55" s="135"/>
      <c r="FXM55" s="137"/>
      <c r="FXO55" s="250"/>
      <c r="FXP55" s="250"/>
      <c r="FXQ55" s="243"/>
      <c r="FXR55" s="276"/>
      <c r="FXS55" s="276"/>
      <c r="FXT55" s="276"/>
      <c r="FXU55" s="244"/>
      <c r="FXV55" s="244"/>
      <c r="FXW55" s="244"/>
      <c r="FXX55" s="245"/>
      <c r="FXY55" s="245"/>
      <c r="FXZ55" s="244"/>
      <c r="FYA55" s="246"/>
      <c r="FYB55" s="247"/>
      <c r="FYC55" s="275"/>
      <c r="FYD55" s="275"/>
      <c r="FYE55" s="275"/>
      <c r="FYF55" s="275"/>
      <c r="FYG55" s="275"/>
      <c r="FYH55" s="275"/>
      <c r="FYI55" s="137"/>
      <c r="FYJ55" s="137"/>
      <c r="FYK55" s="135"/>
      <c r="FYL55" s="137"/>
      <c r="FYN55" s="250"/>
      <c r="FYO55" s="250"/>
      <c r="FYP55" s="243"/>
      <c r="FYQ55" s="276"/>
      <c r="FYR55" s="276"/>
      <c r="FYS55" s="276"/>
      <c r="FYT55" s="244"/>
      <c r="FYU55" s="244"/>
      <c r="FYV55" s="244"/>
      <c r="FYW55" s="245"/>
      <c r="FYX55" s="245"/>
      <c r="FYY55" s="244"/>
      <c r="FYZ55" s="246"/>
      <c r="FZA55" s="247"/>
      <c r="FZB55" s="275"/>
      <c r="FZC55" s="275"/>
      <c r="FZD55" s="275"/>
      <c r="FZE55" s="275"/>
      <c r="FZF55" s="275"/>
      <c r="FZG55" s="275"/>
      <c r="FZH55" s="137"/>
      <c r="FZI55" s="137"/>
      <c r="FZJ55" s="135"/>
      <c r="FZK55" s="137"/>
      <c r="FZM55" s="250"/>
      <c r="FZN55" s="250"/>
      <c r="FZO55" s="243"/>
      <c r="FZP55" s="276"/>
      <c r="FZQ55" s="276"/>
      <c r="FZR55" s="276"/>
      <c r="FZS55" s="244"/>
      <c r="FZT55" s="244"/>
      <c r="FZU55" s="244"/>
      <c r="FZV55" s="245"/>
      <c r="FZW55" s="245"/>
      <c r="FZX55" s="244"/>
      <c r="FZY55" s="246"/>
      <c r="FZZ55" s="247"/>
      <c r="GAA55" s="275"/>
      <c r="GAB55" s="275"/>
      <c r="GAC55" s="275"/>
      <c r="GAD55" s="275"/>
      <c r="GAE55" s="275"/>
      <c r="GAF55" s="275"/>
      <c r="GAG55" s="137"/>
      <c r="GAH55" s="137"/>
      <c r="GAI55" s="135"/>
      <c r="GAJ55" s="137"/>
      <c r="GAL55" s="250"/>
      <c r="GAM55" s="250"/>
      <c r="GAN55" s="243"/>
      <c r="GAO55" s="276"/>
      <c r="GAP55" s="276"/>
      <c r="GAQ55" s="276"/>
      <c r="GAR55" s="244"/>
      <c r="GAS55" s="244"/>
      <c r="GAT55" s="244"/>
      <c r="GAU55" s="245"/>
      <c r="GAV55" s="245"/>
      <c r="GAW55" s="244"/>
      <c r="GAX55" s="246"/>
      <c r="GAY55" s="247"/>
      <c r="GAZ55" s="275"/>
      <c r="GBA55" s="275"/>
      <c r="GBB55" s="275"/>
      <c r="GBC55" s="275"/>
      <c r="GBD55" s="275"/>
      <c r="GBE55" s="275"/>
      <c r="GBF55" s="137"/>
      <c r="GBG55" s="137"/>
      <c r="GBH55" s="135"/>
      <c r="GBI55" s="137"/>
      <c r="GBK55" s="250"/>
      <c r="GBL55" s="250"/>
      <c r="GBM55" s="243"/>
      <c r="GBN55" s="276"/>
      <c r="GBO55" s="276"/>
      <c r="GBP55" s="276"/>
      <c r="GBQ55" s="244"/>
      <c r="GBR55" s="244"/>
      <c r="GBS55" s="244"/>
      <c r="GBT55" s="245"/>
      <c r="GBU55" s="245"/>
      <c r="GBV55" s="244"/>
      <c r="GBW55" s="246"/>
      <c r="GBX55" s="247"/>
      <c r="GBY55" s="275"/>
      <c r="GBZ55" s="275"/>
      <c r="GCA55" s="275"/>
      <c r="GCB55" s="275"/>
      <c r="GCC55" s="275"/>
      <c r="GCD55" s="275"/>
      <c r="GCE55" s="137"/>
      <c r="GCF55" s="137"/>
      <c r="GCG55" s="135"/>
      <c r="GCH55" s="137"/>
      <c r="GCJ55" s="250"/>
      <c r="GCK55" s="250"/>
      <c r="GCL55" s="243"/>
      <c r="GCM55" s="276"/>
      <c r="GCN55" s="276"/>
      <c r="GCO55" s="276"/>
      <c r="GCP55" s="244"/>
      <c r="GCQ55" s="244"/>
      <c r="GCR55" s="244"/>
      <c r="GCS55" s="245"/>
      <c r="GCT55" s="245"/>
      <c r="GCU55" s="244"/>
      <c r="GCV55" s="246"/>
      <c r="GCW55" s="247"/>
      <c r="GCX55" s="275"/>
      <c r="GCY55" s="275"/>
      <c r="GCZ55" s="275"/>
      <c r="GDA55" s="275"/>
      <c r="GDB55" s="275"/>
      <c r="GDC55" s="275"/>
      <c r="GDD55" s="137"/>
      <c r="GDE55" s="137"/>
      <c r="GDF55" s="135"/>
      <c r="GDG55" s="137"/>
      <c r="GDI55" s="250"/>
      <c r="GDJ55" s="250"/>
      <c r="GDK55" s="243"/>
      <c r="GDL55" s="276"/>
      <c r="GDM55" s="276"/>
      <c r="GDN55" s="276"/>
      <c r="GDO55" s="244"/>
      <c r="GDP55" s="244"/>
      <c r="GDQ55" s="244"/>
      <c r="GDR55" s="245"/>
      <c r="GDS55" s="245"/>
      <c r="GDT55" s="244"/>
      <c r="GDU55" s="246"/>
      <c r="GDV55" s="247"/>
      <c r="GDW55" s="275"/>
      <c r="GDX55" s="275"/>
      <c r="GDY55" s="275"/>
      <c r="GDZ55" s="275"/>
      <c r="GEA55" s="275"/>
      <c r="GEB55" s="275"/>
      <c r="GEC55" s="137"/>
      <c r="GED55" s="137"/>
      <c r="GEE55" s="135"/>
      <c r="GEF55" s="137"/>
      <c r="GEH55" s="250"/>
      <c r="GEI55" s="250"/>
      <c r="GEJ55" s="243"/>
      <c r="GEK55" s="276"/>
      <c r="GEL55" s="276"/>
      <c r="GEM55" s="276"/>
      <c r="GEN55" s="244"/>
      <c r="GEO55" s="244"/>
      <c r="GEP55" s="244"/>
      <c r="GEQ55" s="245"/>
      <c r="GER55" s="245"/>
      <c r="GES55" s="244"/>
      <c r="GET55" s="246"/>
      <c r="GEU55" s="247"/>
      <c r="GEV55" s="275"/>
      <c r="GEW55" s="275"/>
      <c r="GEX55" s="275"/>
      <c r="GEY55" s="275"/>
      <c r="GEZ55" s="275"/>
      <c r="GFA55" s="275"/>
      <c r="GFB55" s="137"/>
      <c r="GFC55" s="137"/>
      <c r="GFD55" s="135"/>
      <c r="GFE55" s="137"/>
      <c r="GFG55" s="250"/>
      <c r="GFH55" s="250"/>
      <c r="GFI55" s="243"/>
      <c r="GFJ55" s="276"/>
      <c r="GFK55" s="276"/>
      <c r="GFL55" s="276"/>
      <c r="GFM55" s="244"/>
      <c r="GFN55" s="244"/>
      <c r="GFO55" s="244"/>
      <c r="GFP55" s="245"/>
      <c r="GFQ55" s="245"/>
      <c r="GFR55" s="244"/>
      <c r="GFS55" s="246"/>
      <c r="GFT55" s="247"/>
      <c r="GFU55" s="275"/>
      <c r="GFV55" s="275"/>
      <c r="GFW55" s="275"/>
      <c r="GFX55" s="275"/>
      <c r="GFY55" s="275"/>
      <c r="GFZ55" s="275"/>
      <c r="GGA55" s="137"/>
      <c r="GGB55" s="137"/>
      <c r="GGC55" s="135"/>
      <c r="GGD55" s="137"/>
      <c r="GGF55" s="250"/>
      <c r="GGG55" s="250"/>
      <c r="GGH55" s="243"/>
      <c r="GGI55" s="276"/>
      <c r="GGJ55" s="276"/>
      <c r="GGK55" s="276"/>
      <c r="GGL55" s="244"/>
      <c r="GGM55" s="244"/>
      <c r="GGN55" s="244"/>
      <c r="GGO55" s="245"/>
      <c r="GGP55" s="245"/>
      <c r="GGQ55" s="244"/>
      <c r="GGR55" s="246"/>
      <c r="GGS55" s="247"/>
      <c r="GGT55" s="275"/>
      <c r="GGU55" s="275"/>
      <c r="GGV55" s="275"/>
      <c r="GGW55" s="275"/>
      <c r="GGX55" s="275"/>
      <c r="GGY55" s="275"/>
      <c r="GGZ55" s="137"/>
      <c r="GHA55" s="137"/>
      <c r="GHB55" s="135"/>
      <c r="GHC55" s="137"/>
      <c r="GHE55" s="250"/>
      <c r="GHF55" s="250"/>
      <c r="GHG55" s="243"/>
      <c r="GHH55" s="276"/>
      <c r="GHI55" s="276"/>
      <c r="GHJ55" s="276"/>
      <c r="GHK55" s="244"/>
      <c r="GHL55" s="244"/>
      <c r="GHM55" s="244"/>
      <c r="GHN55" s="245"/>
      <c r="GHO55" s="245"/>
      <c r="GHP55" s="244"/>
      <c r="GHQ55" s="246"/>
      <c r="GHR55" s="247"/>
      <c r="GHS55" s="275"/>
      <c r="GHT55" s="275"/>
      <c r="GHU55" s="275"/>
      <c r="GHV55" s="275"/>
      <c r="GHW55" s="275"/>
      <c r="GHX55" s="275"/>
      <c r="GHY55" s="137"/>
      <c r="GHZ55" s="137"/>
      <c r="GIA55" s="135"/>
      <c r="GIB55" s="137"/>
      <c r="GID55" s="250"/>
      <c r="GIE55" s="250"/>
      <c r="GIF55" s="243"/>
      <c r="GIG55" s="276"/>
      <c r="GIH55" s="276"/>
      <c r="GII55" s="276"/>
      <c r="GIJ55" s="244"/>
      <c r="GIK55" s="244"/>
      <c r="GIL55" s="244"/>
      <c r="GIM55" s="245"/>
      <c r="GIN55" s="245"/>
      <c r="GIO55" s="244"/>
      <c r="GIP55" s="246"/>
      <c r="GIQ55" s="247"/>
      <c r="GIR55" s="275"/>
      <c r="GIS55" s="275"/>
      <c r="GIT55" s="275"/>
      <c r="GIU55" s="275"/>
      <c r="GIV55" s="275"/>
      <c r="GIW55" s="275"/>
      <c r="GIX55" s="137"/>
      <c r="GIY55" s="137"/>
      <c r="GIZ55" s="135"/>
      <c r="GJA55" s="137"/>
      <c r="GJC55" s="250"/>
      <c r="GJD55" s="250"/>
      <c r="GJE55" s="243"/>
      <c r="GJF55" s="276"/>
      <c r="GJG55" s="276"/>
      <c r="GJH55" s="276"/>
      <c r="GJI55" s="244"/>
      <c r="GJJ55" s="244"/>
      <c r="GJK55" s="244"/>
      <c r="GJL55" s="245"/>
      <c r="GJM55" s="245"/>
      <c r="GJN55" s="244"/>
      <c r="GJO55" s="246"/>
      <c r="GJP55" s="247"/>
      <c r="GJQ55" s="275"/>
      <c r="GJR55" s="275"/>
      <c r="GJS55" s="275"/>
      <c r="GJT55" s="275"/>
      <c r="GJU55" s="275"/>
      <c r="GJV55" s="275"/>
      <c r="GJW55" s="137"/>
      <c r="GJX55" s="137"/>
      <c r="GJY55" s="135"/>
      <c r="GJZ55" s="137"/>
      <c r="GKB55" s="250"/>
      <c r="GKC55" s="250"/>
      <c r="GKD55" s="243"/>
      <c r="GKE55" s="276"/>
      <c r="GKF55" s="276"/>
      <c r="GKG55" s="276"/>
      <c r="GKH55" s="244"/>
      <c r="GKI55" s="244"/>
      <c r="GKJ55" s="244"/>
      <c r="GKK55" s="245"/>
      <c r="GKL55" s="245"/>
      <c r="GKM55" s="244"/>
      <c r="GKN55" s="246"/>
      <c r="GKO55" s="247"/>
      <c r="GKP55" s="275"/>
      <c r="GKQ55" s="275"/>
      <c r="GKR55" s="275"/>
      <c r="GKS55" s="275"/>
      <c r="GKT55" s="275"/>
      <c r="GKU55" s="275"/>
      <c r="GKV55" s="137"/>
      <c r="GKW55" s="137"/>
      <c r="GKX55" s="135"/>
      <c r="GKY55" s="137"/>
      <c r="GLA55" s="250"/>
      <c r="GLB55" s="250"/>
      <c r="GLC55" s="243"/>
      <c r="GLD55" s="276"/>
      <c r="GLE55" s="276"/>
      <c r="GLF55" s="276"/>
      <c r="GLG55" s="244"/>
      <c r="GLH55" s="244"/>
      <c r="GLI55" s="244"/>
      <c r="GLJ55" s="245"/>
      <c r="GLK55" s="245"/>
      <c r="GLL55" s="244"/>
      <c r="GLM55" s="246"/>
      <c r="GLN55" s="247"/>
      <c r="GLO55" s="275"/>
      <c r="GLP55" s="275"/>
      <c r="GLQ55" s="275"/>
      <c r="GLR55" s="275"/>
      <c r="GLS55" s="275"/>
      <c r="GLT55" s="275"/>
      <c r="GLU55" s="137"/>
      <c r="GLV55" s="137"/>
      <c r="GLW55" s="135"/>
      <c r="GLX55" s="137"/>
      <c r="GLZ55" s="250"/>
      <c r="GMA55" s="250"/>
      <c r="GMB55" s="243"/>
      <c r="GMC55" s="276"/>
      <c r="GMD55" s="276"/>
      <c r="GME55" s="276"/>
      <c r="GMF55" s="244"/>
      <c r="GMG55" s="244"/>
      <c r="GMH55" s="244"/>
      <c r="GMI55" s="245"/>
      <c r="GMJ55" s="245"/>
      <c r="GMK55" s="244"/>
      <c r="GML55" s="246"/>
      <c r="GMM55" s="247"/>
      <c r="GMN55" s="275"/>
      <c r="GMO55" s="275"/>
      <c r="GMP55" s="275"/>
      <c r="GMQ55" s="275"/>
      <c r="GMR55" s="275"/>
      <c r="GMS55" s="275"/>
      <c r="GMT55" s="137"/>
      <c r="GMU55" s="137"/>
      <c r="GMV55" s="135"/>
      <c r="GMW55" s="137"/>
      <c r="GMY55" s="250"/>
      <c r="GMZ55" s="250"/>
      <c r="GNA55" s="243"/>
      <c r="GNB55" s="276"/>
      <c r="GNC55" s="276"/>
      <c r="GND55" s="276"/>
      <c r="GNE55" s="244"/>
      <c r="GNF55" s="244"/>
      <c r="GNG55" s="244"/>
      <c r="GNH55" s="245"/>
      <c r="GNI55" s="245"/>
      <c r="GNJ55" s="244"/>
      <c r="GNK55" s="246"/>
      <c r="GNL55" s="247"/>
      <c r="GNM55" s="275"/>
      <c r="GNN55" s="275"/>
      <c r="GNO55" s="275"/>
      <c r="GNP55" s="275"/>
      <c r="GNQ55" s="275"/>
      <c r="GNR55" s="275"/>
      <c r="GNS55" s="137"/>
      <c r="GNT55" s="137"/>
      <c r="GNU55" s="135"/>
      <c r="GNV55" s="137"/>
      <c r="GNX55" s="250"/>
      <c r="GNY55" s="250"/>
      <c r="GNZ55" s="243"/>
      <c r="GOA55" s="276"/>
      <c r="GOB55" s="276"/>
      <c r="GOC55" s="276"/>
      <c r="GOD55" s="244"/>
      <c r="GOE55" s="244"/>
      <c r="GOF55" s="244"/>
      <c r="GOG55" s="245"/>
      <c r="GOH55" s="245"/>
      <c r="GOI55" s="244"/>
      <c r="GOJ55" s="246"/>
      <c r="GOK55" s="247"/>
      <c r="GOL55" s="275"/>
      <c r="GOM55" s="275"/>
      <c r="GON55" s="275"/>
      <c r="GOO55" s="275"/>
      <c r="GOP55" s="275"/>
      <c r="GOQ55" s="275"/>
      <c r="GOR55" s="137"/>
      <c r="GOS55" s="137"/>
      <c r="GOT55" s="135"/>
      <c r="GOU55" s="137"/>
      <c r="GOW55" s="250"/>
      <c r="GOX55" s="250"/>
      <c r="GOY55" s="243"/>
      <c r="GOZ55" s="276"/>
      <c r="GPA55" s="276"/>
      <c r="GPB55" s="276"/>
      <c r="GPC55" s="244"/>
      <c r="GPD55" s="244"/>
      <c r="GPE55" s="244"/>
      <c r="GPF55" s="245"/>
      <c r="GPG55" s="245"/>
      <c r="GPH55" s="244"/>
      <c r="GPI55" s="246"/>
      <c r="GPJ55" s="247"/>
      <c r="GPK55" s="275"/>
      <c r="GPL55" s="275"/>
      <c r="GPM55" s="275"/>
      <c r="GPN55" s="275"/>
      <c r="GPO55" s="275"/>
      <c r="GPP55" s="275"/>
      <c r="GPQ55" s="137"/>
      <c r="GPR55" s="137"/>
      <c r="GPS55" s="135"/>
      <c r="GPT55" s="137"/>
      <c r="GPV55" s="250"/>
      <c r="GPW55" s="250"/>
      <c r="GPX55" s="243"/>
      <c r="GPY55" s="276"/>
      <c r="GPZ55" s="276"/>
      <c r="GQA55" s="276"/>
      <c r="GQB55" s="244"/>
      <c r="GQC55" s="244"/>
      <c r="GQD55" s="244"/>
      <c r="GQE55" s="245"/>
      <c r="GQF55" s="245"/>
      <c r="GQG55" s="244"/>
      <c r="GQH55" s="246"/>
      <c r="GQI55" s="247"/>
      <c r="GQJ55" s="275"/>
      <c r="GQK55" s="275"/>
      <c r="GQL55" s="275"/>
      <c r="GQM55" s="275"/>
      <c r="GQN55" s="275"/>
      <c r="GQO55" s="275"/>
      <c r="GQP55" s="137"/>
      <c r="GQQ55" s="137"/>
      <c r="GQR55" s="135"/>
      <c r="GQS55" s="137"/>
      <c r="GQU55" s="250"/>
      <c r="GQV55" s="250"/>
      <c r="GQW55" s="243"/>
      <c r="GQX55" s="276"/>
      <c r="GQY55" s="276"/>
      <c r="GQZ55" s="276"/>
      <c r="GRA55" s="244"/>
      <c r="GRB55" s="244"/>
      <c r="GRC55" s="244"/>
      <c r="GRD55" s="245"/>
      <c r="GRE55" s="245"/>
      <c r="GRF55" s="244"/>
      <c r="GRG55" s="246"/>
      <c r="GRH55" s="247"/>
      <c r="GRI55" s="275"/>
      <c r="GRJ55" s="275"/>
      <c r="GRK55" s="275"/>
      <c r="GRL55" s="275"/>
      <c r="GRM55" s="275"/>
      <c r="GRN55" s="275"/>
      <c r="GRO55" s="137"/>
      <c r="GRP55" s="137"/>
      <c r="GRQ55" s="135"/>
      <c r="GRR55" s="137"/>
      <c r="GRT55" s="250"/>
      <c r="GRU55" s="250"/>
      <c r="GRV55" s="243"/>
      <c r="GRW55" s="276"/>
      <c r="GRX55" s="276"/>
      <c r="GRY55" s="276"/>
      <c r="GRZ55" s="244"/>
      <c r="GSA55" s="244"/>
      <c r="GSB55" s="244"/>
      <c r="GSC55" s="245"/>
      <c r="GSD55" s="245"/>
      <c r="GSE55" s="244"/>
      <c r="GSF55" s="246"/>
      <c r="GSG55" s="247"/>
      <c r="GSH55" s="275"/>
      <c r="GSI55" s="275"/>
      <c r="GSJ55" s="275"/>
      <c r="GSK55" s="275"/>
      <c r="GSL55" s="275"/>
      <c r="GSM55" s="275"/>
      <c r="GSN55" s="137"/>
      <c r="GSO55" s="137"/>
      <c r="GSP55" s="135"/>
      <c r="GSQ55" s="137"/>
      <c r="GSS55" s="250"/>
      <c r="GST55" s="250"/>
      <c r="GSU55" s="243"/>
      <c r="GSV55" s="276"/>
      <c r="GSW55" s="276"/>
      <c r="GSX55" s="276"/>
      <c r="GSY55" s="244"/>
      <c r="GSZ55" s="244"/>
      <c r="GTA55" s="244"/>
      <c r="GTB55" s="245"/>
      <c r="GTC55" s="245"/>
      <c r="GTD55" s="244"/>
      <c r="GTE55" s="246"/>
      <c r="GTF55" s="247"/>
      <c r="GTG55" s="275"/>
      <c r="GTH55" s="275"/>
      <c r="GTI55" s="275"/>
      <c r="GTJ55" s="275"/>
      <c r="GTK55" s="275"/>
      <c r="GTL55" s="275"/>
      <c r="GTM55" s="137"/>
      <c r="GTN55" s="137"/>
      <c r="GTO55" s="135"/>
      <c r="GTP55" s="137"/>
      <c r="GTR55" s="250"/>
      <c r="GTS55" s="250"/>
      <c r="GTT55" s="243"/>
      <c r="GTU55" s="276"/>
      <c r="GTV55" s="276"/>
      <c r="GTW55" s="276"/>
      <c r="GTX55" s="244"/>
      <c r="GTY55" s="244"/>
      <c r="GTZ55" s="244"/>
      <c r="GUA55" s="245"/>
      <c r="GUB55" s="245"/>
      <c r="GUC55" s="244"/>
      <c r="GUD55" s="246"/>
      <c r="GUE55" s="247"/>
      <c r="GUF55" s="275"/>
      <c r="GUG55" s="275"/>
      <c r="GUH55" s="275"/>
      <c r="GUI55" s="275"/>
      <c r="GUJ55" s="275"/>
      <c r="GUK55" s="275"/>
      <c r="GUL55" s="137"/>
      <c r="GUM55" s="137"/>
      <c r="GUN55" s="135"/>
      <c r="GUO55" s="137"/>
      <c r="GUQ55" s="250"/>
      <c r="GUR55" s="250"/>
      <c r="GUS55" s="243"/>
      <c r="GUT55" s="276"/>
      <c r="GUU55" s="276"/>
      <c r="GUV55" s="276"/>
      <c r="GUW55" s="244"/>
      <c r="GUX55" s="244"/>
      <c r="GUY55" s="244"/>
      <c r="GUZ55" s="245"/>
      <c r="GVA55" s="245"/>
      <c r="GVB55" s="244"/>
      <c r="GVC55" s="246"/>
      <c r="GVD55" s="247"/>
      <c r="GVE55" s="275"/>
      <c r="GVF55" s="275"/>
      <c r="GVG55" s="275"/>
      <c r="GVH55" s="275"/>
      <c r="GVI55" s="275"/>
      <c r="GVJ55" s="275"/>
      <c r="GVK55" s="137"/>
      <c r="GVL55" s="137"/>
      <c r="GVM55" s="135"/>
      <c r="GVN55" s="137"/>
      <c r="GVP55" s="250"/>
      <c r="GVQ55" s="250"/>
      <c r="GVR55" s="243"/>
      <c r="GVS55" s="276"/>
      <c r="GVT55" s="276"/>
      <c r="GVU55" s="276"/>
      <c r="GVV55" s="244"/>
      <c r="GVW55" s="244"/>
      <c r="GVX55" s="244"/>
      <c r="GVY55" s="245"/>
      <c r="GVZ55" s="245"/>
      <c r="GWA55" s="244"/>
      <c r="GWB55" s="246"/>
      <c r="GWC55" s="247"/>
      <c r="GWD55" s="275"/>
      <c r="GWE55" s="275"/>
      <c r="GWF55" s="275"/>
      <c r="GWG55" s="275"/>
      <c r="GWH55" s="275"/>
      <c r="GWI55" s="275"/>
      <c r="GWJ55" s="137"/>
      <c r="GWK55" s="137"/>
      <c r="GWL55" s="135"/>
      <c r="GWM55" s="137"/>
      <c r="GWO55" s="250"/>
      <c r="GWP55" s="250"/>
      <c r="GWQ55" s="243"/>
      <c r="GWR55" s="276"/>
      <c r="GWS55" s="276"/>
      <c r="GWT55" s="276"/>
      <c r="GWU55" s="244"/>
      <c r="GWV55" s="244"/>
      <c r="GWW55" s="244"/>
      <c r="GWX55" s="245"/>
      <c r="GWY55" s="245"/>
      <c r="GWZ55" s="244"/>
      <c r="GXA55" s="246"/>
      <c r="GXB55" s="247"/>
      <c r="GXC55" s="275"/>
      <c r="GXD55" s="275"/>
      <c r="GXE55" s="275"/>
      <c r="GXF55" s="275"/>
      <c r="GXG55" s="275"/>
      <c r="GXH55" s="275"/>
      <c r="GXI55" s="137"/>
      <c r="GXJ55" s="137"/>
      <c r="GXK55" s="135"/>
      <c r="GXL55" s="137"/>
      <c r="GXN55" s="250"/>
      <c r="GXO55" s="250"/>
      <c r="GXP55" s="243"/>
      <c r="GXQ55" s="276"/>
      <c r="GXR55" s="276"/>
      <c r="GXS55" s="276"/>
      <c r="GXT55" s="244"/>
      <c r="GXU55" s="244"/>
      <c r="GXV55" s="244"/>
      <c r="GXW55" s="245"/>
      <c r="GXX55" s="245"/>
      <c r="GXY55" s="244"/>
      <c r="GXZ55" s="246"/>
      <c r="GYA55" s="247"/>
      <c r="GYB55" s="275"/>
      <c r="GYC55" s="275"/>
      <c r="GYD55" s="275"/>
      <c r="GYE55" s="275"/>
      <c r="GYF55" s="275"/>
      <c r="GYG55" s="275"/>
      <c r="GYH55" s="137"/>
      <c r="GYI55" s="137"/>
      <c r="GYJ55" s="135"/>
      <c r="GYK55" s="137"/>
      <c r="GYM55" s="250"/>
      <c r="GYN55" s="250"/>
      <c r="GYO55" s="243"/>
      <c r="GYP55" s="276"/>
      <c r="GYQ55" s="276"/>
      <c r="GYR55" s="276"/>
      <c r="GYS55" s="244"/>
      <c r="GYT55" s="244"/>
      <c r="GYU55" s="244"/>
      <c r="GYV55" s="245"/>
      <c r="GYW55" s="245"/>
      <c r="GYX55" s="244"/>
      <c r="GYY55" s="246"/>
      <c r="GYZ55" s="247"/>
      <c r="GZA55" s="275"/>
      <c r="GZB55" s="275"/>
      <c r="GZC55" s="275"/>
      <c r="GZD55" s="275"/>
      <c r="GZE55" s="275"/>
      <c r="GZF55" s="275"/>
      <c r="GZG55" s="137"/>
      <c r="GZH55" s="137"/>
      <c r="GZI55" s="135"/>
      <c r="GZJ55" s="137"/>
      <c r="GZL55" s="250"/>
      <c r="GZM55" s="250"/>
      <c r="GZN55" s="243"/>
      <c r="GZO55" s="276"/>
      <c r="GZP55" s="276"/>
      <c r="GZQ55" s="276"/>
      <c r="GZR55" s="244"/>
      <c r="GZS55" s="244"/>
      <c r="GZT55" s="244"/>
      <c r="GZU55" s="245"/>
      <c r="GZV55" s="245"/>
      <c r="GZW55" s="244"/>
      <c r="GZX55" s="246"/>
      <c r="GZY55" s="247"/>
      <c r="GZZ55" s="275"/>
      <c r="HAA55" s="275"/>
      <c r="HAB55" s="275"/>
      <c r="HAC55" s="275"/>
      <c r="HAD55" s="275"/>
      <c r="HAE55" s="275"/>
      <c r="HAF55" s="137"/>
      <c r="HAG55" s="137"/>
      <c r="HAH55" s="135"/>
      <c r="HAI55" s="137"/>
      <c r="HAK55" s="250"/>
      <c r="HAL55" s="250"/>
      <c r="HAM55" s="243"/>
      <c r="HAN55" s="276"/>
      <c r="HAO55" s="276"/>
      <c r="HAP55" s="276"/>
      <c r="HAQ55" s="244"/>
      <c r="HAR55" s="244"/>
      <c r="HAS55" s="244"/>
      <c r="HAT55" s="245"/>
      <c r="HAU55" s="245"/>
      <c r="HAV55" s="244"/>
      <c r="HAW55" s="246"/>
      <c r="HAX55" s="247"/>
      <c r="HAY55" s="275"/>
      <c r="HAZ55" s="275"/>
      <c r="HBA55" s="275"/>
      <c r="HBB55" s="275"/>
      <c r="HBC55" s="275"/>
      <c r="HBD55" s="275"/>
      <c r="HBE55" s="137"/>
      <c r="HBF55" s="137"/>
      <c r="HBG55" s="135"/>
      <c r="HBH55" s="137"/>
      <c r="HBJ55" s="250"/>
      <c r="HBK55" s="250"/>
      <c r="HBL55" s="243"/>
      <c r="HBM55" s="276"/>
      <c r="HBN55" s="276"/>
      <c r="HBO55" s="276"/>
      <c r="HBP55" s="244"/>
      <c r="HBQ55" s="244"/>
      <c r="HBR55" s="244"/>
      <c r="HBS55" s="245"/>
      <c r="HBT55" s="245"/>
      <c r="HBU55" s="244"/>
      <c r="HBV55" s="246"/>
      <c r="HBW55" s="247"/>
      <c r="HBX55" s="275"/>
      <c r="HBY55" s="275"/>
      <c r="HBZ55" s="275"/>
      <c r="HCA55" s="275"/>
      <c r="HCB55" s="275"/>
      <c r="HCC55" s="275"/>
      <c r="HCD55" s="137"/>
      <c r="HCE55" s="137"/>
      <c r="HCF55" s="135"/>
      <c r="HCG55" s="137"/>
      <c r="HCI55" s="250"/>
      <c r="HCJ55" s="250"/>
      <c r="HCK55" s="243"/>
      <c r="HCL55" s="276"/>
      <c r="HCM55" s="276"/>
      <c r="HCN55" s="276"/>
      <c r="HCO55" s="244"/>
      <c r="HCP55" s="244"/>
      <c r="HCQ55" s="244"/>
      <c r="HCR55" s="245"/>
      <c r="HCS55" s="245"/>
      <c r="HCT55" s="244"/>
      <c r="HCU55" s="246"/>
      <c r="HCV55" s="247"/>
      <c r="HCW55" s="275"/>
      <c r="HCX55" s="275"/>
      <c r="HCY55" s="275"/>
      <c r="HCZ55" s="275"/>
      <c r="HDA55" s="275"/>
      <c r="HDB55" s="275"/>
      <c r="HDC55" s="137"/>
      <c r="HDD55" s="137"/>
      <c r="HDE55" s="135"/>
      <c r="HDF55" s="137"/>
      <c r="HDH55" s="250"/>
      <c r="HDI55" s="250"/>
      <c r="HDJ55" s="243"/>
      <c r="HDK55" s="276"/>
      <c r="HDL55" s="276"/>
      <c r="HDM55" s="276"/>
      <c r="HDN55" s="244"/>
      <c r="HDO55" s="244"/>
      <c r="HDP55" s="244"/>
      <c r="HDQ55" s="245"/>
      <c r="HDR55" s="245"/>
      <c r="HDS55" s="244"/>
      <c r="HDT55" s="246"/>
      <c r="HDU55" s="247"/>
      <c r="HDV55" s="275"/>
      <c r="HDW55" s="275"/>
      <c r="HDX55" s="275"/>
      <c r="HDY55" s="275"/>
      <c r="HDZ55" s="275"/>
      <c r="HEA55" s="275"/>
      <c r="HEB55" s="137"/>
      <c r="HEC55" s="137"/>
      <c r="HED55" s="135"/>
      <c r="HEE55" s="137"/>
      <c r="HEG55" s="250"/>
      <c r="HEH55" s="250"/>
      <c r="HEI55" s="243"/>
      <c r="HEJ55" s="276"/>
      <c r="HEK55" s="276"/>
      <c r="HEL55" s="276"/>
      <c r="HEM55" s="244"/>
      <c r="HEN55" s="244"/>
      <c r="HEO55" s="244"/>
      <c r="HEP55" s="245"/>
      <c r="HEQ55" s="245"/>
      <c r="HER55" s="244"/>
      <c r="HES55" s="246"/>
      <c r="HET55" s="247"/>
      <c r="HEU55" s="275"/>
      <c r="HEV55" s="275"/>
      <c r="HEW55" s="275"/>
      <c r="HEX55" s="275"/>
      <c r="HEY55" s="275"/>
      <c r="HEZ55" s="275"/>
      <c r="HFA55" s="137"/>
      <c r="HFB55" s="137"/>
      <c r="HFC55" s="135"/>
      <c r="HFD55" s="137"/>
      <c r="HFF55" s="250"/>
      <c r="HFG55" s="250"/>
      <c r="HFH55" s="243"/>
      <c r="HFI55" s="276"/>
      <c r="HFJ55" s="276"/>
      <c r="HFK55" s="276"/>
      <c r="HFL55" s="244"/>
      <c r="HFM55" s="244"/>
      <c r="HFN55" s="244"/>
      <c r="HFO55" s="245"/>
      <c r="HFP55" s="245"/>
      <c r="HFQ55" s="244"/>
      <c r="HFR55" s="246"/>
      <c r="HFS55" s="247"/>
      <c r="HFT55" s="275"/>
      <c r="HFU55" s="275"/>
      <c r="HFV55" s="275"/>
      <c r="HFW55" s="275"/>
      <c r="HFX55" s="275"/>
      <c r="HFY55" s="275"/>
      <c r="HFZ55" s="137"/>
      <c r="HGA55" s="137"/>
      <c r="HGB55" s="135"/>
      <c r="HGC55" s="137"/>
      <c r="HGE55" s="250"/>
      <c r="HGF55" s="250"/>
      <c r="HGG55" s="243"/>
      <c r="HGH55" s="276"/>
      <c r="HGI55" s="276"/>
      <c r="HGJ55" s="276"/>
      <c r="HGK55" s="244"/>
      <c r="HGL55" s="244"/>
      <c r="HGM55" s="244"/>
      <c r="HGN55" s="245"/>
      <c r="HGO55" s="245"/>
      <c r="HGP55" s="244"/>
      <c r="HGQ55" s="246"/>
      <c r="HGR55" s="247"/>
      <c r="HGS55" s="275"/>
      <c r="HGT55" s="275"/>
      <c r="HGU55" s="275"/>
      <c r="HGV55" s="275"/>
      <c r="HGW55" s="275"/>
      <c r="HGX55" s="275"/>
      <c r="HGY55" s="137"/>
      <c r="HGZ55" s="137"/>
      <c r="HHA55" s="135"/>
      <c r="HHB55" s="137"/>
      <c r="HHD55" s="250"/>
      <c r="HHE55" s="250"/>
      <c r="HHF55" s="243"/>
      <c r="HHG55" s="276"/>
      <c r="HHH55" s="276"/>
      <c r="HHI55" s="276"/>
      <c r="HHJ55" s="244"/>
      <c r="HHK55" s="244"/>
      <c r="HHL55" s="244"/>
      <c r="HHM55" s="245"/>
      <c r="HHN55" s="245"/>
      <c r="HHO55" s="244"/>
      <c r="HHP55" s="246"/>
      <c r="HHQ55" s="247"/>
      <c r="HHR55" s="275"/>
      <c r="HHS55" s="275"/>
      <c r="HHT55" s="275"/>
      <c r="HHU55" s="275"/>
      <c r="HHV55" s="275"/>
      <c r="HHW55" s="275"/>
      <c r="HHX55" s="137"/>
      <c r="HHY55" s="137"/>
      <c r="HHZ55" s="135"/>
      <c r="HIA55" s="137"/>
      <c r="HIC55" s="250"/>
      <c r="HID55" s="250"/>
      <c r="HIE55" s="243"/>
      <c r="HIF55" s="276"/>
      <c r="HIG55" s="276"/>
      <c r="HIH55" s="276"/>
      <c r="HII55" s="244"/>
      <c r="HIJ55" s="244"/>
      <c r="HIK55" s="244"/>
      <c r="HIL55" s="245"/>
      <c r="HIM55" s="245"/>
      <c r="HIN55" s="244"/>
      <c r="HIO55" s="246"/>
      <c r="HIP55" s="247"/>
      <c r="HIQ55" s="275"/>
      <c r="HIR55" s="275"/>
      <c r="HIS55" s="275"/>
      <c r="HIT55" s="275"/>
      <c r="HIU55" s="275"/>
      <c r="HIV55" s="275"/>
      <c r="HIW55" s="137"/>
      <c r="HIX55" s="137"/>
      <c r="HIY55" s="135"/>
      <c r="HIZ55" s="137"/>
      <c r="HJB55" s="250"/>
      <c r="HJC55" s="250"/>
      <c r="HJD55" s="243"/>
      <c r="HJE55" s="276"/>
      <c r="HJF55" s="276"/>
      <c r="HJG55" s="276"/>
      <c r="HJH55" s="244"/>
      <c r="HJI55" s="244"/>
      <c r="HJJ55" s="244"/>
      <c r="HJK55" s="245"/>
      <c r="HJL55" s="245"/>
      <c r="HJM55" s="244"/>
      <c r="HJN55" s="246"/>
      <c r="HJO55" s="247"/>
      <c r="HJP55" s="275"/>
      <c r="HJQ55" s="275"/>
      <c r="HJR55" s="275"/>
      <c r="HJS55" s="275"/>
      <c r="HJT55" s="275"/>
      <c r="HJU55" s="275"/>
      <c r="HJV55" s="137"/>
      <c r="HJW55" s="137"/>
      <c r="HJX55" s="135"/>
      <c r="HJY55" s="137"/>
      <c r="HKA55" s="250"/>
      <c r="HKB55" s="250"/>
      <c r="HKC55" s="243"/>
      <c r="HKD55" s="276"/>
      <c r="HKE55" s="276"/>
      <c r="HKF55" s="276"/>
      <c r="HKG55" s="244"/>
      <c r="HKH55" s="244"/>
      <c r="HKI55" s="244"/>
      <c r="HKJ55" s="245"/>
      <c r="HKK55" s="245"/>
      <c r="HKL55" s="244"/>
      <c r="HKM55" s="246"/>
      <c r="HKN55" s="247"/>
      <c r="HKO55" s="275"/>
      <c r="HKP55" s="275"/>
      <c r="HKQ55" s="275"/>
      <c r="HKR55" s="275"/>
      <c r="HKS55" s="275"/>
      <c r="HKT55" s="275"/>
      <c r="HKU55" s="137"/>
      <c r="HKV55" s="137"/>
      <c r="HKW55" s="135"/>
      <c r="HKX55" s="137"/>
      <c r="HKZ55" s="250"/>
      <c r="HLA55" s="250"/>
      <c r="HLB55" s="243"/>
      <c r="HLC55" s="276"/>
      <c r="HLD55" s="276"/>
      <c r="HLE55" s="276"/>
      <c r="HLF55" s="244"/>
      <c r="HLG55" s="244"/>
      <c r="HLH55" s="244"/>
      <c r="HLI55" s="245"/>
      <c r="HLJ55" s="245"/>
      <c r="HLK55" s="244"/>
      <c r="HLL55" s="246"/>
      <c r="HLM55" s="247"/>
      <c r="HLN55" s="275"/>
      <c r="HLO55" s="275"/>
      <c r="HLP55" s="275"/>
      <c r="HLQ55" s="275"/>
      <c r="HLR55" s="275"/>
      <c r="HLS55" s="275"/>
      <c r="HLT55" s="137"/>
      <c r="HLU55" s="137"/>
      <c r="HLV55" s="135"/>
      <c r="HLW55" s="137"/>
      <c r="HLY55" s="250"/>
      <c r="HLZ55" s="250"/>
      <c r="HMA55" s="243"/>
      <c r="HMB55" s="276"/>
      <c r="HMC55" s="276"/>
      <c r="HMD55" s="276"/>
      <c r="HME55" s="244"/>
      <c r="HMF55" s="244"/>
      <c r="HMG55" s="244"/>
      <c r="HMH55" s="245"/>
      <c r="HMI55" s="245"/>
      <c r="HMJ55" s="244"/>
      <c r="HMK55" s="246"/>
      <c r="HML55" s="247"/>
      <c r="HMM55" s="275"/>
      <c r="HMN55" s="275"/>
      <c r="HMO55" s="275"/>
      <c r="HMP55" s="275"/>
      <c r="HMQ55" s="275"/>
      <c r="HMR55" s="275"/>
      <c r="HMS55" s="137"/>
      <c r="HMT55" s="137"/>
      <c r="HMU55" s="135"/>
      <c r="HMV55" s="137"/>
      <c r="HMX55" s="250"/>
      <c r="HMY55" s="250"/>
      <c r="HMZ55" s="243"/>
      <c r="HNA55" s="276"/>
      <c r="HNB55" s="276"/>
      <c r="HNC55" s="276"/>
      <c r="HND55" s="244"/>
      <c r="HNE55" s="244"/>
      <c r="HNF55" s="244"/>
      <c r="HNG55" s="245"/>
      <c r="HNH55" s="245"/>
      <c r="HNI55" s="244"/>
      <c r="HNJ55" s="246"/>
      <c r="HNK55" s="247"/>
      <c r="HNL55" s="275"/>
      <c r="HNM55" s="275"/>
      <c r="HNN55" s="275"/>
      <c r="HNO55" s="275"/>
      <c r="HNP55" s="275"/>
      <c r="HNQ55" s="275"/>
      <c r="HNR55" s="137"/>
      <c r="HNS55" s="137"/>
      <c r="HNT55" s="135"/>
      <c r="HNU55" s="137"/>
      <c r="HNW55" s="250"/>
      <c r="HNX55" s="250"/>
      <c r="HNY55" s="243"/>
      <c r="HNZ55" s="276"/>
      <c r="HOA55" s="276"/>
      <c r="HOB55" s="276"/>
      <c r="HOC55" s="244"/>
      <c r="HOD55" s="244"/>
      <c r="HOE55" s="244"/>
      <c r="HOF55" s="245"/>
      <c r="HOG55" s="245"/>
      <c r="HOH55" s="244"/>
      <c r="HOI55" s="246"/>
      <c r="HOJ55" s="247"/>
      <c r="HOK55" s="275"/>
      <c r="HOL55" s="275"/>
      <c r="HOM55" s="275"/>
      <c r="HON55" s="275"/>
      <c r="HOO55" s="275"/>
      <c r="HOP55" s="275"/>
      <c r="HOQ55" s="137"/>
      <c r="HOR55" s="137"/>
      <c r="HOS55" s="135"/>
      <c r="HOT55" s="137"/>
      <c r="HOV55" s="250"/>
      <c r="HOW55" s="250"/>
      <c r="HOX55" s="243"/>
      <c r="HOY55" s="276"/>
      <c r="HOZ55" s="276"/>
      <c r="HPA55" s="276"/>
      <c r="HPB55" s="244"/>
      <c r="HPC55" s="244"/>
      <c r="HPD55" s="244"/>
      <c r="HPE55" s="245"/>
      <c r="HPF55" s="245"/>
      <c r="HPG55" s="244"/>
      <c r="HPH55" s="246"/>
      <c r="HPI55" s="247"/>
      <c r="HPJ55" s="275"/>
      <c r="HPK55" s="275"/>
      <c r="HPL55" s="275"/>
      <c r="HPM55" s="275"/>
      <c r="HPN55" s="275"/>
      <c r="HPO55" s="275"/>
      <c r="HPP55" s="137"/>
      <c r="HPQ55" s="137"/>
      <c r="HPR55" s="135"/>
      <c r="HPS55" s="137"/>
      <c r="HPU55" s="250"/>
      <c r="HPV55" s="250"/>
      <c r="HPW55" s="243"/>
      <c r="HPX55" s="276"/>
      <c r="HPY55" s="276"/>
      <c r="HPZ55" s="276"/>
      <c r="HQA55" s="244"/>
      <c r="HQB55" s="244"/>
      <c r="HQC55" s="244"/>
      <c r="HQD55" s="245"/>
      <c r="HQE55" s="245"/>
      <c r="HQF55" s="244"/>
      <c r="HQG55" s="246"/>
      <c r="HQH55" s="247"/>
      <c r="HQI55" s="275"/>
      <c r="HQJ55" s="275"/>
      <c r="HQK55" s="275"/>
      <c r="HQL55" s="275"/>
      <c r="HQM55" s="275"/>
      <c r="HQN55" s="275"/>
      <c r="HQO55" s="137"/>
      <c r="HQP55" s="137"/>
      <c r="HQQ55" s="135"/>
      <c r="HQR55" s="137"/>
      <c r="HQT55" s="250"/>
      <c r="HQU55" s="250"/>
      <c r="HQV55" s="243"/>
      <c r="HQW55" s="276"/>
      <c r="HQX55" s="276"/>
      <c r="HQY55" s="276"/>
      <c r="HQZ55" s="244"/>
      <c r="HRA55" s="244"/>
      <c r="HRB55" s="244"/>
      <c r="HRC55" s="245"/>
      <c r="HRD55" s="245"/>
      <c r="HRE55" s="244"/>
      <c r="HRF55" s="246"/>
      <c r="HRG55" s="247"/>
      <c r="HRH55" s="275"/>
      <c r="HRI55" s="275"/>
      <c r="HRJ55" s="275"/>
      <c r="HRK55" s="275"/>
      <c r="HRL55" s="275"/>
      <c r="HRM55" s="275"/>
      <c r="HRN55" s="137"/>
      <c r="HRO55" s="137"/>
      <c r="HRP55" s="135"/>
      <c r="HRQ55" s="137"/>
      <c r="HRS55" s="250"/>
      <c r="HRT55" s="250"/>
      <c r="HRU55" s="243"/>
      <c r="HRV55" s="276"/>
      <c r="HRW55" s="276"/>
      <c r="HRX55" s="276"/>
      <c r="HRY55" s="244"/>
      <c r="HRZ55" s="244"/>
      <c r="HSA55" s="244"/>
      <c r="HSB55" s="245"/>
      <c r="HSC55" s="245"/>
      <c r="HSD55" s="244"/>
      <c r="HSE55" s="246"/>
      <c r="HSF55" s="247"/>
      <c r="HSG55" s="275"/>
      <c r="HSH55" s="275"/>
      <c r="HSI55" s="275"/>
      <c r="HSJ55" s="275"/>
      <c r="HSK55" s="275"/>
      <c r="HSL55" s="275"/>
      <c r="HSM55" s="137"/>
      <c r="HSN55" s="137"/>
      <c r="HSO55" s="135"/>
      <c r="HSP55" s="137"/>
      <c r="HSR55" s="250"/>
      <c r="HSS55" s="250"/>
      <c r="HST55" s="243"/>
      <c r="HSU55" s="276"/>
      <c r="HSV55" s="276"/>
      <c r="HSW55" s="276"/>
      <c r="HSX55" s="244"/>
      <c r="HSY55" s="244"/>
      <c r="HSZ55" s="244"/>
      <c r="HTA55" s="245"/>
      <c r="HTB55" s="245"/>
      <c r="HTC55" s="244"/>
      <c r="HTD55" s="246"/>
      <c r="HTE55" s="247"/>
      <c r="HTF55" s="275"/>
      <c r="HTG55" s="275"/>
      <c r="HTH55" s="275"/>
      <c r="HTI55" s="275"/>
      <c r="HTJ55" s="275"/>
      <c r="HTK55" s="275"/>
      <c r="HTL55" s="137"/>
      <c r="HTM55" s="137"/>
      <c r="HTN55" s="135"/>
      <c r="HTO55" s="137"/>
      <c r="HTQ55" s="250"/>
      <c r="HTR55" s="250"/>
      <c r="HTS55" s="243"/>
      <c r="HTT55" s="276"/>
      <c r="HTU55" s="276"/>
      <c r="HTV55" s="276"/>
      <c r="HTW55" s="244"/>
      <c r="HTX55" s="244"/>
      <c r="HTY55" s="244"/>
      <c r="HTZ55" s="245"/>
      <c r="HUA55" s="245"/>
      <c r="HUB55" s="244"/>
      <c r="HUC55" s="246"/>
      <c r="HUD55" s="247"/>
      <c r="HUE55" s="275"/>
      <c r="HUF55" s="275"/>
      <c r="HUG55" s="275"/>
      <c r="HUH55" s="275"/>
      <c r="HUI55" s="275"/>
      <c r="HUJ55" s="275"/>
      <c r="HUK55" s="137"/>
      <c r="HUL55" s="137"/>
      <c r="HUM55" s="135"/>
      <c r="HUN55" s="137"/>
      <c r="HUP55" s="250"/>
      <c r="HUQ55" s="250"/>
      <c r="HUR55" s="243"/>
      <c r="HUS55" s="276"/>
      <c r="HUT55" s="276"/>
      <c r="HUU55" s="276"/>
      <c r="HUV55" s="244"/>
      <c r="HUW55" s="244"/>
      <c r="HUX55" s="244"/>
      <c r="HUY55" s="245"/>
      <c r="HUZ55" s="245"/>
      <c r="HVA55" s="244"/>
      <c r="HVB55" s="246"/>
      <c r="HVC55" s="247"/>
      <c r="HVD55" s="275"/>
      <c r="HVE55" s="275"/>
      <c r="HVF55" s="275"/>
      <c r="HVG55" s="275"/>
      <c r="HVH55" s="275"/>
      <c r="HVI55" s="275"/>
      <c r="HVJ55" s="137"/>
      <c r="HVK55" s="137"/>
      <c r="HVL55" s="135"/>
      <c r="HVM55" s="137"/>
      <c r="HVO55" s="250"/>
      <c r="HVP55" s="250"/>
      <c r="HVQ55" s="243"/>
      <c r="HVR55" s="276"/>
      <c r="HVS55" s="276"/>
      <c r="HVT55" s="276"/>
      <c r="HVU55" s="244"/>
      <c r="HVV55" s="244"/>
      <c r="HVW55" s="244"/>
      <c r="HVX55" s="245"/>
      <c r="HVY55" s="245"/>
      <c r="HVZ55" s="244"/>
      <c r="HWA55" s="246"/>
      <c r="HWB55" s="247"/>
      <c r="HWC55" s="275"/>
      <c r="HWD55" s="275"/>
      <c r="HWE55" s="275"/>
      <c r="HWF55" s="275"/>
      <c r="HWG55" s="275"/>
      <c r="HWH55" s="275"/>
      <c r="HWI55" s="137"/>
      <c r="HWJ55" s="137"/>
      <c r="HWK55" s="135"/>
      <c r="HWL55" s="137"/>
      <c r="HWN55" s="250"/>
      <c r="HWO55" s="250"/>
      <c r="HWP55" s="243"/>
      <c r="HWQ55" s="276"/>
      <c r="HWR55" s="276"/>
      <c r="HWS55" s="276"/>
      <c r="HWT55" s="244"/>
      <c r="HWU55" s="244"/>
      <c r="HWV55" s="244"/>
      <c r="HWW55" s="245"/>
      <c r="HWX55" s="245"/>
      <c r="HWY55" s="244"/>
      <c r="HWZ55" s="246"/>
      <c r="HXA55" s="247"/>
      <c r="HXB55" s="275"/>
      <c r="HXC55" s="275"/>
      <c r="HXD55" s="275"/>
      <c r="HXE55" s="275"/>
      <c r="HXF55" s="275"/>
      <c r="HXG55" s="275"/>
      <c r="HXH55" s="137"/>
      <c r="HXI55" s="137"/>
      <c r="HXJ55" s="135"/>
      <c r="HXK55" s="137"/>
      <c r="HXM55" s="250"/>
      <c r="HXN55" s="250"/>
      <c r="HXO55" s="243"/>
      <c r="HXP55" s="276"/>
      <c r="HXQ55" s="276"/>
      <c r="HXR55" s="276"/>
      <c r="HXS55" s="244"/>
      <c r="HXT55" s="244"/>
      <c r="HXU55" s="244"/>
      <c r="HXV55" s="245"/>
      <c r="HXW55" s="245"/>
      <c r="HXX55" s="244"/>
      <c r="HXY55" s="246"/>
      <c r="HXZ55" s="247"/>
      <c r="HYA55" s="275"/>
      <c r="HYB55" s="275"/>
      <c r="HYC55" s="275"/>
      <c r="HYD55" s="275"/>
      <c r="HYE55" s="275"/>
      <c r="HYF55" s="275"/>
      <c r="HYG55" s="137"/>
      <c r="HYH55" s="137"/>
      <c r="HYI55" s="135"/>
      <c r="HYJ55" s="137"/>
      <c r="HYL55" s="250"/>
      <c r="HYM55" s="250"/>
      <c r="HYN55" s="243"/>
      <c r="HYO55" s="276"/>
      <c r="HYP55" s="276"/>
      <c r="HYQ55" s="276"/>
      <c r="HYR55" s="244"/>
      <c r="HYS55" s="244"/>
      <c r="HYT55" s="244"/>
      <c r="HYU55" s="245"/>
      <c r="HYV55" s="245"/>
      <c r="HYW55" s="244"/>
      <c r="HYX55" s="246"/>
      <c r="HYY55" s="247"/>
      <c r="HYZ55" s="275"/>
      <c r="HZA55" s="275"/>
      <c r="HZB55" s="275"/>
      <c r="HZC55" s="275"/>
      <c r="HZD55" s="275"/>
      <c r="HZE55" s="275"/>
      <c r="HZF55" s="137"/>
      <c r="HZG55" s="137"/>
      <c r="HZH55" s="135"/>
      <c r="HZI55" s="137"/>
      <c r="HZK55" s="250"/>
      <c r="HZL55" s="250"/>
      <c r="HZM55" s="243"/>
      <c r="HZN55" s="276"/>
      <c r="HZO55" s="276"/>
      <c r="HZP55" s="276"/>
      <c r="HZQ55" s="244"/>
      <c r="HZR55" s="244"/>
      <c r="HZS55" s="244"/>
      <c r="HZT55" s="245"/>
      <c r="HZU55" s="245"/>
      <c r="HZV55" s="244"/>
      <c r="HZW55" s="246"/>
      <c r="HZX55" s="247"/>
      <c r="HZY55" s="275"/>
      <c r="HZZ55" s="275"/>
      <c r="IAA55" s="275"/>
      <c r="IAB55" s="275"/>
      <c r="IAC55" s="275"/>
      <c r="IAD55" s="275"/>
      <c r="IAE55" s="137"/>
      <c r="IAF55" s="137"/>
      <c r="IAG55" s="135"/>
      <c r="IAH55" s="137"/>
      <c r="IAJ55" s="250"/>
      <c r="IAK55" s="250"/>
      <c r="IAL55" s="243"/>
      <c r="IAM55" s="276"/>
      <c r="IAN55" s="276"/>
      <c r="IAO55" s="276"/>
      <c r="IAP55" s="244"/>
      <c r="IAQ55" s="244"/>
      <c r="IAR55" s="244"/>
      <c r="IAS55" s="245"/>
      <c r="IAT55" s="245"/>
      <c r="IAU55" s="244"/>
      <c r="IAV55" s="246"/>
      <c r="IAW55" s="247"/>
      <c r="IAX55" s="275"/>
      <c r="IAY55" s="275"/>
      <c r="IAZ55" s="275"/>
      <c r="IBA55" s="275"/>
      <c r="IBB55" s="275"/>
      <c r="IBC55" s="275"/>
      <c r="IBD55" s="137"/>
      <c r="IBE55" s="137"/>
      <c r="IBF55" s="135"/>
      <c r="IBG55" s="137"/>
      <c r="IBI55" s="250"/>
      <c r="IBJ55" s="250"/>
      <c r="IBK55" s="243"/>
      <c r="IBL55" s="276"/>
      <c r="IBM55" s="276"/>
      <c r="IBN55" s="276"/>
      <c r="IBO55" s="244"/>
      <c r="IBP55" s="244"/>
      <c r="IBQ55" s="244"/>
      <c r="IBR55" s="245"/>
      <c r="IBS55" s="245"/>
      <c r="IBT55" s="244"/>
      <c r="IBU55" s="246"/>
      <c r="IBV55" s="247"/>
      <c r="IBW55" s="275"/>
      <c r="IBX55" s="275"/>
      <c r="IBY55" s="275"/>
      <c r="IBZ55" s="275"/>
      <c r="ICA55" s="275"/>
      <c r="ICB55" s="275"/>
      <c r="ICC55" s="137"/>
      <c r="ICD55" s="137"/>
      <c r="ICE55" s="135"/>
      <c r="ICF55" s="137"/>
      <c r="ICH55" s="250"/>
      <c r="ICI55" s="250"/>
      <c r="ICJ55" s="243"/>
      <c r="ICK55" s="276"/>
      <c r="ICL55" s="276"/>
      <c r="ICM55" s="276"/>
      <c r="ICN55" s="244"/>
      <c r="ICO55" s="244"/>
      <c r="ICP55" s="244"/>
      <c r="ICQ55" s="245"/>
      <c r="ICR55" s="245"/>
      <c r="ICS55" s="244"/>
      <c r="ICT55" s="246"/>
      <c r="ICU55" s="247"/>
      <c r="ICV55" s="275"/>
      <c r="ICW55" s="275"/>
      <c r="ICX55" s="275"/>
      <c r="ICY55" s="275"/>
      <c r="ICZ55" s="275"/>
      <c r="IDA55" s="275"/>
      <c r="IDB55" s="137"/>
      <c r="IDC55" s="137"/>
      <c r="IDD55" s="135"/>
      <c r="IDE55" s="137"/>
      <c r="IDG55" s="250"/>
      <c r="IDH55" s="250"/>
      <c r="IDI55" s="243"/>
      <c r="IDJ55" s="276"/>
      <c r="IDK55" s="276"/>
      <c r="IDL55" s="276"/>
      <c r="IDM55" s="244"/>
      <c r="IDN55" s="244"/>
      <c r="IDO55" s="244"/>
      <c r="IDP55" s="245"/>
      <c r="IDQ55" s="245"/>
      <c r="IDR55" s="244"/>
      <c r="IDS55" s="246"/>
      <c r="IDT55" s="247"/>
      <c r="IDU55" s="275"/>
      <c r="IDV55" s="275"/>
      <c r="IDW55" s="275"/>
      <c r="IDX55" s="275"/>
      <c r="IDY55" s="275"/>
      <c r="IDZ55" s="275"/>
      <c r="IEA55" s="137"/>
      <c r="IEB55" s="137"/>
      <c r="IEC55" s="135"/>
      <c r="IED55" s="137"/>
      <c r="IEF55" s="250"/>
      <c r="IEG55" s="250"/>
      <c r="IEH55" s="243"/>
      <c r="IEI55" s="276"/>
      <c r="IEJ55" s="276"/>
      <c r="IEK55" s="276"/>
      <c r="IEL55" s="244"/>
      <c r="IEM55" s="244"/>
      <c r="IEN55" s="244"/>
      <c r="IEO55" s="245"/>
      <c r="IEP55" s="245"/>
      <c r="IEQ55" s="244"/>
      <c r="IER55" s="246"/>
      <c r="IES55" s="247"/>
      <c r="IET55" s="275"/>
      <c r="IEU55" s="275"/>
      <c r="IEV55" s="275"/>
      <c r="IEW55" s="275"/>
      <c r="IEX55" s="275"/>
      <c r="IEY55" s="275"/>
      <c r="IEZ55" s="137"/>
      <c r="IFA55" s="137"/>
      <c r="IFB55" s="135"/>
      <c r="IFC55" s="137"/>
      <c r="IFE55" s="250"/>
      <c r="IFF55" s="250"/>
      <c r="IFG55" s="243"/>
      <c r="IFH55" s="276"/>
      <c r="IFI55" s="276"/>
      <c r="IFJ55" s="276"/>
      <c r="IFK55" s="244"/>
      <c r="IFL55" s="244"/>
      <c r="IFM55" s="244"/>
      <c r="IFN55" s="245"/>
      <c r="IFO55" s="245"/>
      <c r="IFP55" s="244"/>
      <c r="IFQ55" s="246"/>
      <c r="IFR55" s="247"/>
      <c r="IFS55" s="275"/>
      <c r="IFT55" s="275"/>
      <c r="IFU55" s="275"/>
      <c r="IFV55" s="275"/>
      <c r="IFW55" s="275"/>
      <c r="IFX55" s="275"/>
      <c r="IFY55" s="137"/>
      <c r="IFZ55" s="137"/>
      <c r="IGA55" s="135"/>
      <c r="IGB55" s="137"/>
      <c r="IGD55" s="250"/>
      <c r="IGE55" s="250"/>
      <c r="IGF55" s="243"/>
      <c r="IGG55" s="276"/>
      <c r="IGH55" s="276"/>
      <c r="IGI55" s="276"/>
      <c r="IGJ55" s="244"/>
      <c r="IGK55" s="244"/>
      <c r="IGL55" s="244"/>
      <c r="IGM55" s="245"/>
      <c r="IGN55" s="245"/>
      <c r="IGO55" s="244"/>
      <c r="IGP55" s="246"/>
      <c r="IGQ55" s="247"/>
      <c r="IGR55" s="275"/>
      <c r="IGS55" s="275"/>
      <c r="IGT55" s="275"/>
      <c r="IGU55" s="275"/>
      <c r="IGV55" s="275"/>
      <c r="IGW55" s="275"/>
      <c r="IGX55" s="137"/>
      <c r="IGY55" s="137"/>
      <c r="IGZ55" s="135"/>
      <c r="IHA55" s="137"/>
      <c r="IHC55" s="250"/>
      <c r="IHD55" s="250"/>
      <c r="IHE55" s="243"/>
      <c r="IHF55" s="276"/>
      <c r="IHG55" s="276"/>
      <c r="IHH55" s="276"/>
      <c r="IHI55" s="244"/>
      <c r="IHJ55" s="244"/>
      <c r="IHK55" s="244"/>
      <c r="IHL55" s="245"/>
      <c r="IHM55" s="245"/>
      <c r="IHN55" s="244"/>
      <c r="IHO55" s="246"/>
      <c r="IHP55" s="247"/>
      <c r="IHQ55" s="275"/>
      <c r="IHR55" s="275"/>
      <c r="IHS55" s="275"/>
      <c r="IHT55" s="275"/>
      <c r="IHU55" s="275"/>
      <c r="IHV55" s="275"/>
      <c r="IHW55" s="137"/>
      <c r="IHX55" s="137"/>
      <c r="IHY55" s="135"/>
      <c r="IHZ55" s="137"/>
      <c r="IIB55" s="250"/>
      <c r="IIC55" s="250"/>
      <c r="IID55" s="243"/>
      <c r="IIE55" s="276"/>
      <c r="IIF55" s="276"/>
      <c r="IIG55" s="276"/>
      <c r="IIH55" s="244"/>
      <c r="III55" s="244"/>
      <c r="IIJ55" s="244"/>
      <c r="IIK55" s="245"/>
      <c r="IIL55" s="245"/>
      <c r="IIM55" s="244"/>
      <c r="IIN55" s="246"/>
      <c r="IIO55" s="247"/>
      <c r="IIP55" s="275"/>
      <c r="IIQ55" s="275"/>
      <c r="IIR55" s="275"/>
      <c r="IIS55" s="275"/>
      <c r="IIT55" s="275"/>
      <c r="IIU55" s="275"/>
      <c r="IIV55" s="137"/>
      <c r="IIW55" s="137"/>
      <c r="IIX55" s="135"/>
      <c r="IIY55" s="137"/>
      <c r="IJA55" s="250"/>
      <c r="IJB55" s="250"/>
      <c r="IJC55" s="243"/>
      <c r="IJD55" s="276"/>
      <c r="IJE55" s="276"/>
      <c r="IJF55" s="276"/>
      <c r="IJG55" s="244"/>
      <c r="IJH55" s="244"/>
      <c r="IJI55" s="244"/>
      <c r="IJJ55" s="245"/>
      <c r="IJK55" s="245"/>
      <c r="IJL55" s="244"/>
      <c r="IJM55" s="246"/>
      <c r="IJN55" s="247"/>
      <c r="IJO55" s="275"/>
      <c r="IJP55" s="275"/>
      <c r="IJQ55" s="275"/>
      <c r="IJR55" s="275"/>
      <c r="IJS55" s="275"/>
      <c r="IJT55" s="275"/>
      <c r="IJU55" s="137"/>
      <c r="IJV55" s="137"/>
      <c r="IJW55" s="135"/>
      <c r="IJX55" s="137"/>
      <c r="IJZ55" s="250"/>
      <c r="IKA55" s="250"/>
      <c r="IKB55" s="243"/>
      <c r="IKC55" s="276"/>
      <c r="IKD55" s="276"/>
      <c r="IKE55" s="276"/>
      <c r="IKF55" s="244"/>
      <c r="IKG55" s="244"/>
      <c r="IKH55" s="244"/>
      <c r="IKI55" s="245"/>
      <c r="IKJ55" s="245"/>
      <c r="IKK55" s="244"/>
      <c r="IKL55" s="246"/>
      <c r="IKM55" s="247"/>
      <c r="IKN55" s="275"/>
      <c r="IKO55" s="275"/>
      <c r="IKP55" s="275"/>
      <c r="IKQ55" s="275"/>
      <c r="IKR55" s="275"/>
      <c r="IKS55" s="275"/>
      <c r="IKT55" s="137"/>
      <c r="IKU55" s="137"/>
      <c r="IKV55" s="135"/>
      <c r="IKW55" s="137"/>
      <c r="IKY55" s="250"/>
      <c r="IKZ55" s="250"/>
      <c r="ILA55" s="243"/>
      <c r="ILB55" s="276"/>
      <c r="ILC55" s="276"/>
      <c r="ILD55" s="276"/>
      <c r="ILE55" s="244"/>
      <c r="ILF55" s="244"/>
      <c r="ILG55" s="244"/>
      <c r="ILH55" s="245"/>
      <c r="ILI55" s="245"/>
      <c r="ILJ55" s="244"/>
      <c r="ILK55" s="246"/>
      <c r="ILL55" s="247"/>
      <c r="ILM55" s="275"/>
      <c r="ILN55" s="275"/>
      <c r="ILO55" s="275"/>
      <c r="ILP55" s="275"/>
      <c r="ILQ55" s="275"/>
      <c r="ILR55" s="275"/>
      <c r="ILS55" s="137"/>
      <c r="ILT55" s="137"/>
      <c r="ILU55" s="135"/>
      <c r="ILV55" s="137"/>
      <c r="ILX55" s="250"/>
      <c r="ILY55" s="250"/>
      <c r="ILZ55" s="243"/>
      <c r="IMA55" s="276"/>
      <c r="IMB55" s="276"/>
      <c r="IMC55" s="276"/>
      <c r="IMD55" s="244"/>
      <c r="IME55" s="244"/>
      <c r="IMF55" s="244"/>
      <c r="IMG55" s="245"/>
      <c r="IMH55" s="245"/>
      <c r="IMI55" s="244"/>
      <c r="IMJ55" s="246"/>
      <c r="IMK55" s="247"/>
      <c r="IML55" s="275"/>
      <c r="IMM55" s="275"/>
      <c r="IMN55" s="275"/>
      <c r="IMO55" s="275"/>
      <c r="IMP55" s="275"/>
      <c r="IMQ55" s="275"/>
      <c r="IMR55" s="137"/>
      <c r="IMS55" s="137"/>
      <c r="IMT55" s="135"/>
      <c r="IMU55" s="137"/>
      <c r="IMW55" s="250"/>
      <c r="IMX55" s="250"/>
      <c r="IMY55" s="243"/>
      <c r="IMZ55" s="276"/>
      <c r="INA55" s="276"/>
      <c r="INB55" s="276"/>
      <c r="INC55" s="244"/>
      <c r="IND55" s="244"/>
      <c r="INE55" s="244"/>
      <c r="INF55" s="245"/>
      <c r="ING55" s="245"/>
      <c r="INH55" s="244"/>
      <c r="INI55" s="246"/>
      <c r="INJ55" s="247"/>
      <c r="INK55" s="275"/>
      <c r="INL55" s="275"/>
      <c r="INM55" s="275"/>
      <c r="INN55" s="275"/>
      <c r="INO55" s="275"/>
      <c r="INP55" s="275"/>
      <c r="INQ55" s="137"/>
      <c r="INR55" s="137"/>
      <c r="INS55" s="135"/>
      <c r="INT55" s="137"/>
      <c r="INV55" s="250"/>
      <c r="INW55" s="250"/>
      <c r="INX55" s="243"/>
      <c r="INY55" s="276"/>
      <c r="INZ55" s="276"/>
      <c r="IOA55" s="276"/>
      <c r="IOB55" s="244"/>
      <c r="IOC55" s="244"/>
      <c r="IOD55" s="244"/>
      <c r="IOE55" s="245"/>
      <c r="IOF55" s="245"/>
      <c r="IOG55" s="244"/>
      <c r="IOH55" s="246"/>
      <c r="IOI55" s="247"/>
      <c r="IOJ55" s="275"/>
      <c r="IOK55" s="275"/>
      <c r="IOL55" s="275"/>
      <c r="IOM55" s="275"/>
      <c r="ION55" s="275"/>
      <c r="IOO55" s="275"/>
      <c r="IOP55" s="137"/>
      <c r="IOQ55" s="137"/>
      <c r="IOR55" s="135"/>
      <c r="IOS55" s="137"/>
      <c r="IOU55" s="250"/>
      <c r="IOV55" s="250"/>
      <c r="IOW55" s="243"/>
      <c r="IOX55" s="276"/>
      <c r="IOY55" s="276"/>
      <c r="IOZ55" s="276"/>
      <c r="IPA55" s="244"/>
      <c r="IPB55" s="244"/>
      <c r="IPC55" s="244"/>
      <c r="IPD55" s="245"/>
      <c r="IPE55" s="245"/>
      <c r="IPF55" s="244"/>
      <c r="IPG55" s="246"/>
      <c r="IPH55" s="247"/>
      <c r="IPI55" s="275"/>
      <c r="IPJ55" s="275"/>
      <c r="IPK55" s="275"/>
      <c r="IPL55" s="275"/>
      <c r="IPM55" s="275"/>
      <c r="IPN55" s="275"/>
      <c r="IPO55" s="137"/>
      <c r="IPP55" s="137"/>
      <c r="IPQ55" s="135"/>
      <c r="IPR55" s="137"/>
      <c r="IPT55" s="250"/>
      <c r="IPU55" s="250"/>
      <c r="IPV55" s="243"/>
      <c r="IPW55" s="276"/>
      <c r="IPX55" s="276"/>
      <c r="IPY55" s="276"/>
      <c r="IPZ55" s="244"/>
      <c r="IQA55" s="244"/>
      <c r="IQB55" s="244"/>
      <c r="IQC55" s="245"/>
      <c r="IQD55" s="245"/>
      <c r="IQE55" s="244"/>
      <c r="IQF55" s="246"/>
      <c r="IQG55" s="247"/>
      <c r="IQH55" s="275"/>
      <c r="IQI55" s="275"/>
      <c r="IQJ55" s="275"/>
      <c r="IQK55" s="275"/>
      <c r="IQL55" s="275"/>
      <c r="IQM55" s="275"/>
      <c r="IQN55" s="137"/>
      <c r="IQO55" s="137"/>
      <c r="IQP55" s="135"/>
      <c r="IQQ55" s="137"/>
      <c r="IQS55" s="250"/>
      <c r="IQT55" s="250"/>
      <c r="IQU55" s="243"/>
      <c r="IQV55" s="276"/>
      <c r="IQW55" s="276"/>
      <c r="IQX55" s="276"/>
      <c r="IQY55" s="244"/>
      <c r="IQZ55" s="244"/>
      <c r="IRA55" s="244"/>
      <c r="IRB55" s="245"/>
      <c r="IRC55" s="245"/>
      <c r="IRD55" s="244"/>
      <c r="IRE55" s="246"/>
      <c r="IRF55" s="247"/>
      <c r="IRG55" s="275"/>
      <c r="IRH55" s="275"/>
      <c r="IRI55" s="275"/>
      <c r="IRJ55" s="275"/>
      <c r="IRK55" s="275"/>
      <c r="IRL55" s="275"/>
      <c r="IRM55" s="137"/>
      <c r="IRN55" s="137"/>
      <c r="IRO55" s="135"/>
      <c r="IRP55" s="137"/>
      <c r="IRR55" s="250"/>
      <c r="IRS55" s="250"/>
      <c r="IRT55" s="243"/>
      <c r="IRU55" s="276"/>
      <c r="IRV55" s="276"/>
      <c r="IRW55" s="276"/>
      <c r="IRX55" s="244"/>
      <c r="IRY55" s="244"/>
      <c r="IRZ55" s="244"/>
      <c r="ISA55" s="245"/>
      <c r="ISB55" s="245"/>
      <c r="ISC55" s="244"/>
      <c r="ISD55" s="246"/>
      <c r="ISE55" s="247"/>
      <c r="ISF55" s="275"/>
      <c r="ISG55" s="275"/>
      <c r="ISH55" s="275"/>
      <c r="ISI55" s="275"/>
      <c r="ISJ55" s="275"/>
      <c r="ISK55" s="275"/>
      <c r="ISL55" s="137"/>
      <c r="ISM55" s="137"/>
      <c r="ISN55" s="135"/>
      <c r="ISO55" s="137"/>
      <c r="ISQ55" s="250"/>
      <c r="ISR55" s="250"/>
      <c r="ISS55" s="243"/>
      <c r="IST55" s="276"/>
      <c r="ISU55" s="276"/>
      <c r="ISV55" s="276"/>
      <c r="ISW55" s="244"/>
      <c r="ISX55" s="244"/>
      <c r="ISY55" s="244"/>
      <c r="ISZ55" s="245"/>
      <c r="ITA55" s="245"/>
      <c r="ITB55" s="244"/>
      <c r="ITC55" s="246"/>
      <c r="ITD55" s="247"/>
      <c r="ITE55" s="275"/>
      <c r="ITF55" s="275"/>
      <c r="ITG55" s="275"/>
      <c r="ITH55" s="275"/>
      <c r="ITI55" s="275"/>
      <c r="ITJ55" s="275"/>
      <c r="ITK55" s="137"/>
      <c r="ITL55" s="137"/>
      <c r="ITM55" s="135"/>
      <c r="ITN55" s="137"/>
      <c r="ITP55" s="250"/>
      <c r="ITQ55" s="250"/>
      <c r="ITR55" s="243"/>
      <c r="ITS55" s="276"/>
      <c r="ITT55" s="276"/>
      <c r="ITU55" s="276"/>
      <c r="ITV55" s="244"/>
      <c r="ITW55" s="244"/>
      <c r="ITX55" s="244"/>
      <c r="ITY55" s="245"/>
      <c r="ITZ55" s="245"/>
      <c r="IUA55" s="244"/>
      <c r="IUB55" s="246"/>
      <c r="IUC55" s="247"/>
      <c r="IUD55" s="275"/>
      <c r="IUE55" s="275"/>
      <c r="IUF55" s="275"/>
      <c r="IUG55" s="275"/>
      <c r="IUH55" s="275"/>
      <c r="IUI55" s="275"/>
      <c r="IUJ55" s="137"/>
      <c r="IUK55" s="137"/>
      <c r="IUL55" s="135"/>
      <c r="IUM55" s="137"/>
      <c r="IUO55" s="250"/>
      <c r="IUP55" s="250"/>
      <c r="IUQ55" s="243"/>
      <c r="IUR55" s="276"/>
      <c r="IUS55" s="276"/>
      <c r="IUT55" s="276"/>
      <c r="IUU55" s="244"/>
      <c r="IUV55" s="244"/>
      <c r="IUW55" s="244"/>
      <c r="IUX55" s="245"/>
      <c r="IUY55" s="245"/>
      <c r="IUZ55" s="244"/>
      <c r="IVA55" s="246"/>
      <c r="IVB55" s="247"/>
      <c r="IVC55" s="275"/>
      <c r="IVD55" s="275"/>
      <c r="IVE55" s="275"/>
      <c r="IVF55" s="275"/>
      <c r="IVG55" s="275"/>
      <c r="IVH55" s="275"/>
      <c r="IVI55" s="137"/>
      <c r="IVJ55" s="137"/>
      <c r="IVK55" s="135"/>
      <c r="IVL55" s="137"/>
      <c r="IVN55" s="250"/>
      <c r="IVO55" s="250"/>
      <c r="IVP55" s="243"/>
      <c r="IVQ55" s="276"/>
      <c r="IVR55" s="276"/>
      <c r="IVS55" s="276"/>
      <c r="IVT55" s="244"/>
      <c r="IVU55" s="244"/>
      <c r="IVV55" s="244"/>
      <c r="IVW55" s="245"/>
      <c r="IVX55" s="245"/>
      <c r="IVY55" s="244"/>
      <c r="IVZ55" s="246"/>
      <c r="IWA55" s="247"/>
      <c r="IWB55" s="275"/>
      <c r="IWC55" s="275"/>
      <c r="IWD55" s="275"/>
      <c r="IWE55" s="275"/>
      <c r="IWF55" s="275"/>
      <c r="IWG55" s="275"/>
      <c r="IWH55" s="137"/>
      <c r="IWI55" s="137"/>
      <c r="IWJ55" s="135"/>
      <c r="IWK55" s="137"/>
      <c r="IWM55" s="250"/>
      <c r="IWN55" s="250"/>
      <c r="IWO55" s="243"/>
      <c r="IWP55" s="276"/>
      <c r="IWQ55" s="276"/>
      <c r="IWR55" s="276"/>
      <c r="IWS55" s="244"/>
      <c r="IWT55" s="244"/>
      <c r="IWU55" s="244"/>
      <c r="IWV55" s="245"/>
      <c r="IWW55" s="245"/>
      <c r="IWX55" s="244"/>
      <c r="IWY55" s="246"/>
      <c r="IWZ55" s="247"/>
      <c r="IXA55" s="275"/>
      <c r="IXB55" s="275"/>
      <c r="IXC55" s="275"/>
      <c r="IXD55" s="275"/>
      <c r="IXE55" s="275"/>
      <c r="IXF55" s="275"/>
      <c r="IXG55" s="137"/>
      <c r="IXH55" s="137"/>
      <c r="IXI55" s="135"/>
      <c r="IXJ55" s="137"/>
      <c r="IXL55" s="250"/>
      <c r="IXM55" s="250"/>
      <c r="IXN55" s="243"/>
      <c r="IXO55" s="276"/>
      <c r="IXP55" s="276"/>
      <c r="IXQ55" s="276"/>
      <c r="IXR55" s="244"/>
      <c r="IXS55" s="244"/>
      <c r="IXT55" s="244"/>
      <c r="IXU55" s="245"/>
      <c r="IXV55" s="245"/>
      <c r="IXW55" s="244"/>
      <c r="IXX55" s="246"/>
      <c r="IXY55" s="247"/>
      <c r="IXZ55" s="275"/>
      <c r="IYA55" s="275"/>
      <c r="IYB55" s="275"/>
      <c r="IYC55" s="275"/>
      <c r="IYD55" s="275"/>
      <c r="IYE55" s="275"/>
      <c r="IYF55" s="137"/>
      <c r="IYG55" s="137"/>
      <c r="IYH55" s="135"/>
      <c r="IYI55" s="137"/>
      <c r="IYK55" s="250"/>
      <c r="IYL55" s="250"/>
      <c r="IYM55" s="243"/>
      <c r="IYN55" s="276"/>
      <c r="IYO55" s="276"/>
      <c r="IYP55" s="276"/>
      <c r="IYQ55" s="244"/>
      <c r="IYR55" s="244"/>
      <c r="IYS55" s="244"/>
      <c r="IYT55" s="245"/>
      <c r="IYU55" s="245"/>
      <c r="IYV55" s="244"/>
      <c r="IYW55" s="246"/>
      <c r="IYX55" s="247"/>
      <c r="IYY55" s="275"/>
      <c r="IYZ55" s="275"/>
      <c r="IZA55" s="275"/>
      <c r="IZB55" s="275"/>
      <c r="IZC55" s="275"/>
      <c r="IZD55" s="275"/>
      <c r="IZE55" s="137"/>
      <c r="IZF55" s="137"/>
      <c r="IZG55" s="135"/>
      <c r="IZH55" s="137"/>
      <c r="IZJ55" s="250"/>
      <c r="IZK55" s="250"/>
      <c r="IZL55" s="243"/>
      <c r="IZM55" s="276"/>
      <c r="IZN55" s="276"/>
      <c r="IZO55" s="276"/>
      <c r="IZP55" s="244"/>
      <c r="IZQ55" s="244"/>
      <c r="IZR55" s="244"/>
      <c r="IZS55" s="245"/>
      <c r="IZT55" s="245"/>
      <c r="IZU55" s="244"/>
      <c r="IZV55" s="246"/>
      <c r="IZW55" s="247"/>
      <c r="IZX55" s="275"/>
      <c r="IZY55" s="275"/>
      <c r="IZZ55" s="275"/>
      <c r="JAA55" s="275"/>
      <c r="JAB55" s="275"/>
      <c r="JAC55" s="275"/>
      <c r="JAD55" s="137"/>
      <c r="JAE55" s="137"/>
      <c r="JAF55" s="135"/>
      <c r="JAG55" s="137"/>
      <c r="JAI55" s="250"/>
      <c r="JAJ55" s="250"/>
      <c r="JAK55" s="243"/>
      <c r="JAL55" s="276"/>
      <c r="JAM55" s="276"/>
      <c r="JAN55" s="276"/>
      <c r="JAO55" s="244"/>
      <c r="JAP55" s="244"/>
      <c r="JAQ55" s="244"/>
      <c r="JAR55" s="245"/>
      <c r="JAS55" s="245"/>
      <c r="JAT55" s="244"/>
      <c r="JAU55" s="246"/>
      <c r="JAV55" s="247"/>
      <c r="JAW55" s="275"/>
      <c r="JAX55" s="275"/>
      <c r="JAY55" s="275"/>
      <c r="JAZ55" s="275"/>
      <c r="JBA55" s="275"/>
      <c r="JBB55" s="275"/>
      <c r="JBC55" s="137"/>
      <c r="JBD55" s="137"/>
      <c r="JBE55" s="135"/>
      <c r="JBF55" s="137"/>
      <c r="JBH55" s="250"/>
      <c r="JBI55" s="250"/>
      <c r="JBJ55" s="243"/>
      <c r="JBK55" s="276"/>
      <c r="JBL55" s="276"/>
      <c r="JBM55" s="276"/>
      <c r="JBN55" s="244"/>
      <c r="JBO55" s="244"/>
      <c r="JBP55" s="244"/>
      <c r="JBQ55" s="245"/>
      <c r="JBR55" s="245"/>
      <c r="JBS55" s="244"/>
      <c r="JBT55" s="246"/>
      <c r="JBU55" s="247"/>
      <c r="JBV55" s="275"/>
      <c r="JBW55" s="275"/>
      <c r="JBX55" s="275"/>
      <c r="JBY55" s="275"/>
      <c r="JBZ55" s="275"/>
      <c r="JCA55" s="275"/>
      <c r="JCB55" s="137"/>
      <c r="JCC55" s="137"/>
      <c r="JCD55" s="135"/>
      <c r="JCE55" s="137"/>
      <c r="JCG55" s="250"/>
      <c r="JCH55" s="250"/>
      <c r="JCI55" s="243"/>
      <c r="JCJ55" s="276"/>
      <c r="JCK55" s="276"/>
      <c r="JCL55" s="276"/>
      <c r="JCM55" s="244"/>
      <c r="JCN55" s="244"/>
      <c r="JCO55" s="244"/>
      <c r="JCP55" s="245"/>
      <c r="JCQ55" s="245"/>
      <c r="JCR55" s="244"/>
      <c r="JCS55" s="246"/>
      <c r="JCT55" s="247"/>
      <c r="JCU55" s="275"/>
      <c r="JCV55" s="275"/>
      <c r="JCW55" s="275"/>
      <c r="JCX55" s="275"/>
      <c r="JCY55" s="275"/>
      <c r="JCZ55" s="275"/>
      <c r="JDA55" s="137"/>
      <c r="JDB55" s="137"/>
      <c r="JDC55" s="135"/>
      <c r="JDD55" s="137"/>
      <c r="JDF55" s="250"/>
      <c r="JDG55" s="250"/>
      <c r="JDH55" s="243"/>
      <c r="JDI55" s="276"/>
      <c r="JDJ55" s="276"/>
      <c r="JDK55" s="276"/>
      <c r="JDL55" s="244"/>
      <c r="JDM55" s="244"/>
      <c r="JDN55" s="244"/>
      <c r="JDO55" s="245"/>
      <c r="JDP55" s="245"/>
      <c r="JDQ55" s="244"/>
      <c r="JDR55" s="246"/>
      <c r="JDS55" s="247"/>
      <c r="JDT55" s="275"/>
      <c r="JDU55" s="275"/>
      <c r="JDV55" s="275"/>
      <c r="JDW55" s="275"/>
      <c r="JDX55" s="275"/>
      <c r="JDY55" s="275"/>
      <c r="JDZ55" s="137"/>
      <c r="JEA55" s="137"/>
      <c r="JEB55" s="135"/>
      <c r="JEC55" s="137"/>
      <c r="JEE55" s="250"/>
      <c r="JEF55" s="250"/>
      <c r="JEG55" s="243"/>
      <c r="JEH55" s="276"/>
      <c r="JEI55" s="276"/>
      <c r="JEJ55" s="276"/>
      <c r="JEK55" s="244"/>
      <c r="JEL55" s="244"/>
      <c r="JEM55" s="244"/>
      <c r="JEN55" s="245"/>
      <c r="JEO55" s="245"/>
      <c r="JEP55" s="244"/>
      <c r="JEQ55" s="246"/>
      <c r="JER55" s="247"/>
      <c r="JES55" s="275"/>
      <c r="JET55" s="275"/>
      <c r="JEU55" s="275"/>
      <c r="JEV55" s="275"/>
      <c r="JEW55" s="275"/>
      <c r="JEX55" s="275"/>
      <c r="JEY55" s="137"/>
      <c r="JEZ55" s="137"/>
      <c r="JFA55" s="135"/>
      <c r="JFB55" s="137"/>
      <c r="JFD55" s="250"/>
      <c r="JFE55" s="250"/>
      <c r="JFF55" s="243"/>
      <c r="JFG55" s="276"/>
      <c r="JFH55" s="276"/>
      <c r="JFI55" s="276"/>
      <c r="JFJ55" s="244"/>
      <c r="JFK55" s="244"/>
      <c r="JFL55" s="244"/>
      <c r="JFM55" s="245"/>
      <c r="JFN55" s="245"/>
      <c r="JFO55" s="244"/>
      <c r="JFP55" s="246"/>
      <c r="JFQ55" s="247"/>
      <c r="JFR55" s="275"/>
      <c r="JFS55" s="275"/>
      <c r="JFT55" s="275"/>
      <c r="JFU55" s="275"/>
      <c r="JFV55" s="275"/>
      <c r="JFW55" s="275"/>
      <c r="JFX55" s="137"/>
      <c r="JFY55" s="137"/>
      <c r="JFZ55" s="135"/>
      <c r="JGA55" s="137"/>
      <c r="JGC55" s="250"/>
      <c r="JGD55" s="250"/>
      <c r="JGE55" s="243"/>
      <c r="JGF55" s="276"/>
      <c r="JGG55" s="276"/>
      <c r="JGH55" s="276"/>
      <c r="JGI55" s="244"/>
      <c r="JGJ55" s="244"/>
      <c r="JGK55" s="244"/>
      <c r="JGL55" s="245"/>
      <c r="JGM55" s="245"/>
      <c r="JGN55" s="244"/>
      <c r="JGO55" s="246"/>
      <c r="JGP55" s="247"/>
      <c r="JGQ55" s="275"/>
      <c r="JGR55" s="275"/>
      <c r="JGS55" s="275"/>
      <c r="JGT55" s="275"/>
      <c r="JGU55" s="275"/>
      <c r="JGV55" s="275"/>
      <c r="JGW55" s="137"/>
      <c r="JGX55" s="137"/>
      <c r="JGY55" s="135"/>
      <c r="JGZ55" s="137"/>
      <c r="JHB55" s="250"/>
      <c r="JHC55" s="250"/>
      <c r="JHD55" s="243"/>
      <c r="JHE55" s="276"/>
      <c r="JHF55" s="276"/>
      <c r="JHG55" s="276"/>
      <c r="JHH55" s="244"/>
      <c r="JHI55" s="244"/>
      <c r="JHJ55" s="244"/>
      <c r="JHK55" s="245"/>
      <c r="JHL55" s="245"/>
      <c r="JHM55" s="244"/>
      <c r="JHN55" s="246"/>
      <c r="JHO55" s="247"/>
      <c r="JHP55" s="275"/>
      <c r="JHQ55" s="275"/>
      <c r="JHR55" s="275"/>
      <c r="JHS55" s="275"/>
      <c r="JHT55" s="275"/>
      <c r="JHU55" s="275"/>
      <c r="JHV55" s="137"/>
      <c r="JHW55" s="137"/>
      <c r="JHX55" s="135"/>
      <c r="JHY55" s="137"/>
      <c r="JIA55" s="250"/>
      <c r="JIB55" s="250"/>
      <c r="JIC55" s="243"/>
      <c r="JID55" s="276"/>
      <c r="JIE55" s="276"/>
      <c r="JIF55" s="276"/>
      <c r="JIG55" s="244"/>
      <c r="JIH55" s="244"/>
      <c r="JII55" s="244"/>
      <c r="JIJ55" s="245"/>
      <c r="JIK55" s="245"/>
      <c r="JIL55" s="244"/>
      <c r="JIM55" s="246"/>
      <c r="JIN55" s="247"/>
      <c r="JIO55" s="275"/>
      <c r="JIP55" s="275"/>
      <c r="JIQ55" s="275"/>
      <c r="JIR55" s="275"/>
      <c r="JIS55" s="275"/>
      <c r="JIT55" s="275"/>
      <c r="JIU55" s="137"/>
      <c r="JIV55" s="137"/>
      <c r="JIW55" s="135"/>
      <c r="JIX55" s="137"/>
      <c r="JIZ55" s="250"/>
      <c r="JJA55" s="250"/>
      <c r="JJB55" s="243"/>
      <c r="JJC55" s="276"/>
      <c r="JJD55" s="276"/>
      <c r="JJE55" s="276"/>
      <c r="JJF55" s="244"/>
      <c r="JJG55" s="244"/>
      <c r="JJH55" s="244"/>
      <c r="JJI55" s="245"/>
      <c r="JJJ55" s="245"/>
      <c r="JJK55" s="244"/>
      <c r="JJL55" s="246"/>
      <c r="JJM55" s="247"/>
      <c r="JJN55" s="275"/>
      <c r="JJO55" s="275"/>
      <c r="JJP55" s="275"/>
      <c r="JJQ55" s="275"/>
      <c r="JJR55" s="275"/>
      <c r="JJS55" s="275"/>
      <c r="JJT55" s="137"/>
      <c r="JJU55" s="137"/>
      <c r="JJV55" s="135"/>
      <c r="JJW55" s="137"/>
      <c r="JJY55" s="250"/>
      <c r="JJZ55" s="250"/>
      <c r="JKA55" s="243"/>
      <c r="JKB55" s="276"/>
      <c r="JKC55" s="276"/>
      <c r="JKD55" s="276"/>
      <c r="JKE55" s="244"/>
      <c r="JKF55" s="244"/>
      <c r="JKG55" s="244"/>
      <c r="JKH55" s="245"/>
      <c r="JKI55" s="245"/>
      <c r="JKJ55" s="244"/>
      <c r="JKK55" s="246"/>
      <c r="JKL55" s="247"/>
      <c r="JKM55" s="275"/>
      <c r="JKN55" s="275"/>
      <c r="JKO55" s="275"/>
      <c r="JKP55" s="275"/>
      <c r="JKQ55" s="275"/>
      <c r="JKR55" s="275"/>
      <c r="JKS55" s="137"/>
      <c r="JKT55" s="137"/>
      <c r="JKU55" s="135"/>
      <c r="JKV55" s="137"/>
      <c r="JKX55" s="250"/>
      <c r="JKY55" s="250"/>
      <c r="JKZ55" s="243"/>
      <c r="JLA55" s="276"/>
      <c r="JLB55" s="276"/>
      <c r="JLC55" s="276"/>
      <c r="JLD55" s="244"/>
      <c r="JLE55" s="244"/>
      <c r="JLF55" s="244"/>
      <c r="JLG55" s="245"/>
      <c r="JLH55" s="245"/>
      <c r="JLI55" s="244"/>
      <c r="JLJ55" s="246"/>
      <c r="JLK55" s="247"/>
      <c r="JLL55" s="275"/>
      <c r="JLM55" s="275"/>
      <c r="JLN55" s="275"/>
      <c r="JLO55" s="275"/>
      <c r="JLP55" s="275"/>
      <c r="JLQ55" s="275"/>
      <c r="JLR55" s="137"/>
      <c r="JLS55" s="137"/>
      <c r="JLT55" s="135"/>
      <c r="JLU55" s="137"/>
      <c r="JLW55" s="250"/>
      <c r="JLX55" s="250"/>
      <c r="JLY55" s="243"/>
      <c r="JLZ55" s="276"/>
      <c r="JMA55" s="276"/>
      <c r="JMB55" s="276"/>
      <c r="JMC55" s="244"/>
      <c r="JMD55" s="244"/>
      <c r="JME55" s="244"/>
      <c r="JMF55" s="245"/>
      <c r="JMG55" s="245"/>
      <c r="JMH55" s="244"/>
      <c r="JMI55" s="246"/>
      <c r="JMJ55" s="247"/>
      <c r="JMK55" s="275"/>
      <c r="JML55" s="275"/>
      <c r="JMM55" s="275"/>
      <c r="JMN55" s="275"/>
      <c r="JMO55" s="275"/>
      <c r="JMP55" s="275"/>
      <c r="JMQ55" s="137"/>
      <c r="JMR55" s="137"/>
      <c r="JMS55" s="135"/>
      <c r="JMT55" s="137"/>
      <c r="JMV55" s="250"/>
      <c r="JMW55" s="250"/>
      <c r="JMX55" s="243"/>
      <c r="JMY55" s="276"/>
      <c r="JMZ55" s="276"/>
      <c r="JNA55" s="276"/>
      <c r="JNB55" s="244"/>
      <c r="JNC55" s="244"/>
      <c r="JND55" s="244"/>
      <c r="JNE55" s="245"/>
      <c r="JNF55" s="245"/>
      <c r="JNG55" s="244"/>
      <c r="JNH55" s="246"/>
      <c r="JNI55" s="247"/>
      <c r="JNJ55" s="275"/>
      <c r="JNK55" s="275"/>
      <c r="JNL55" s="275"/>
      <c r="JNM55" s="275"/>
      <c r="JNN55" s="275"/>
      <c r="JNO55" s="275"/>
      <c r="JNP55" s="137"/>
      <c r="JNQ55" s="137"/>
      <c r="JNR55" s="135"/>
      <c r="JNS55" s="137"/>
      <c r="JNU55" s="250"/>
      <c r="JNV55" s="250"/>
      <c r="JNW55" s="243"/>
      <c r="JNX55" s="276"/>
      <c r="JNY55" s="276"/>
      <c r="JNZ55" s="276"/>
      <c r="JOA55" s="244"/>
      <c r="JOB55" s="244"/>
      <c r="JOC55" s="244"/>
      <c r="JOD55" s="245"/>
      <c r="JOE55" s="245"/>
      <c r="JOF55" s="244"/>
      <c r="JOG55" s="246"/>
      <c r="JOH55" s="247"/>
      <c r="JOI55" s="275"/>
      <c r="JOJ55" s="275"/>
      <c r="JOK55" s="275"/>
      <c r="JOL55" s="275"/>
      <c r="JOM55" s="275"/>
      <c r="JON55" s="275"/>
      <c r="JOO55" s="137"/>
      <c r="JOP55" s="137"/>
      <c r="JOQ55" s="135"/>
      <c r="JOR55" s="137"/>
      <c r="JOT55" s="250"/>
      <c r="JOU55" s="250"/>
      <c r="JOV55" s="243"/>
      <c r="JOW55" s="276"/>
      <c r="JOX55" s="276"/>
      <c r="JOY55" s="276"/>
      <c r="JOZ55" s="244"/>
      <c r="JPA55" s="244"/>
      <c r="JPB55" s="244"/>
      <c r="JPC55" s="245"/>
      <c r="JPD55" s="245"/>
      <c r="JPE55" s="244"/>
      <c r="JPF55" s="246"/>
      <c r="JPG55" s="247"/>
      <c r="JPH55" s="275"/>
      <c r="JPI55" s="275"/>
      <c r="JPJ55" s="275"/>
      <c r="JPK55" s="275"/>
      <c r="JPL55" s="275"/>
      <c r="JPM55" s="275"/>
      <c r="JPN55" s="137"/>
      <c r="JPO55" s="137"/>
      <c r="JPP55" s="135"/>
      <c r="JPQ55" s="137"/>
      <c r="JPS55" s="250"/>
      <c r="JPT55" s="250"/>
      <c r="JPU55" s="243"/>
      <c r="JPV55" s="276"/>
      <c r="JPW55" s="276"/>
      <c r="JPX55" s="276"/>
      <c r="JPY55" s="244"/>
      <c r="JPZ55" s="244"/>
      <c r="JQA55" s="244"/>
      <c r="JQB55" s="245"/>
      <c r="JQC55" s="245"/>
      <c r="JQD55" s="244"/>
      <c r="JQE55" s="246"/>
      <c r="JQF55" s="247"/>
      <c r="JQG55" s="275"/>
      <c r="JQH55" s="275"/>
      <c r="JQI55" s="275"/>
      <c r="JQJ55" s="275"/>
      <c r="JQK55" s="275"/>
      <c r="JQL55" s="275"/>
      <c r="JQM55" s="137"/>
      <c r="JQN55" s="137"/>
      <c r="JQO55" s="135"/>
      <c r="JQP55" s="137"/>
      <c r="JQR55" s="250"/>
      <c r="JQS55" s="250"/>
      <c r="JQT55" s="243"/>
      <c r="JQU55" s="276"/>
      <c r="JQV55" s="276"/>
      <c r="JQW55" s="276"/>
      <c r="JQX55" s="244"/>
      <c r="JQY55" s="244"/>
      <c r="JQZ55" s="244"/>
      <c r="JRA55" s="245"/>
      <c r="JRB55" s="245"/>
      <c r="JRC55" s="244"/>
      <c r="JRD55" s="246"/>
      <c r="JRE55" s="247"/>
      <c r="JRF55" s="275"/>
      <c r="JRG55" s="275"/>
      <c r="JRH55" s="275"/>
      <c r="JRI55" s="275"/>
      <c r="JRJ55" s="275"/>
      <c r="JRK55" s="275"/>
      <c r="JRL55" s="137"/>
      <c r="JRM55" s="137"/>
      <c r="JRN55" s="135"/>
      <c r="JRO55" s="137"/>
      <c r="JRQ55" s="250"/>
      <c r="JRR55" s="250"/>
      <c r="JRS55" s="243"/>
      <c r="JRT55" s="276"/>
      <c r="JRU55" s="276"/>
      <c r="JRV55" s="276"/>
      <c r="JRW55" s="244"/>
      <c r="JRX55" s="244"/>
      <c r="JRY55" s="244"/>
      <c r="JRZ55" s="245"/>
      <c r="JSA55" s="245"/>
      <c r="JSB55" s="244"/>
      <c r="JSC55" s="246"/>
      <c r="JSD55" s="247"/>
      <c r="JSE55" s="275"/>
      <c r="JSF55" s="275"/>
      <c r="JSG55" s="275"/>
      <c r="JSH55" s="275"/>
      <c r="JSI55" s="275"/>
      <c r="JSJ55" s="275"/>
      <c r="JSK55" s="137"/>
      <c r="JSL55" s="137"/>
      <c r="JSM55" s="135"/>
      <c r="JSN55" s="137"/>
      <c r="JSP55" s="250"/>
      <c r="JSQ55" s="250"/>
      <c r="JSR55" s="243"/>
      <c r="JSS55" s="276"/>
      <c r="JST55" s="276"/>
      <c r="JSU55" s="276"/>
      <c r="JSV55" s="244"/>
      <c r="JSW55" s="244"/>
      <c r="JSX55" s="244"/>
      <c r="JSY55" s="245"/>
      <c r="JSZ55" s="245"/>
      <c r="JTA55" s="244"/>
      <c r="JTB55" s="246"/>
      <c r="JTC55" s="247"/>
      <c r="JTD55" s="275"/>
      <c r="JTE55" s="275"/>
      <c r="JTF55" s="275"/>
      <c r="JTG55" s="275"/>
      <c r="JTH55" s="275"/>
      <c r="JTI55" s="275"/>
      <c r="JTJ55" s="137"/>
      <c r="JTK55" s="137"/>
      <c r="JTL55" s="135"/>
      <c r="JTM55" s="137"/>
      <c r="JTO55" s="250"/>
      <c r="JTP55" s="250"/>
      <c r="JTQ55" s="243"/>
      <c r="JTR55" s="276"/>
      <c r="JTS55" s="276"/>
      <c r="JTT55" s="276"/>
      <c r="JTU55" s="244"/>
      <c r="JTV55" s="244"/>
      <c r="JTW55" s="244"/>
      <c r="JTX55" s="245"/>
      <c r="JTY55" s="245"/>
      <c r="JTZ55" s="244"/>
      <c r="JUA55" s="246"/>
      <c r="JUB55" s="247"/>
      <c r="JUC55" s="275"/>
      <c r="JUD55" s="275"/>
      <c r="JUE55" s="275"/>
      <c r="JUF55" s="275"/>
      <c r="JUG55" s="275"/>
      <c r="JUH55" s="275"/>
      <c r="JUI55" s="137"/>
      <c r="JUJ55" s="137"/>
      <c r="JUK55" s="135"/>
      <c r="JUL55" s="137"/>
      <c r="JUN55" s="250"/>
      <c r="JUO55" s="250"/>
      <c r="JUP55" s="243"/>
      <c r="JUQ55" s="276"/>
      <c r="JUR55" s="276"/>
      <c r="JUS55" s="276"/>
      <c r="JUT55" s="244"/>
      <c r="JUU55" s="244"/>
      <c r="JUV55" s="244"/>
      <c r="JUW55" s="245"/>
      <c r="JUX55" s="245"/>
      <c r="JUY55" s="244"/>
      <c r="JUZ55" s="246"/>
      <c r="JVA55" s="247"/>
      <c r="JVB55" s="275"/>
      <c r="JVC55" s="275"/>
      <c r="JVD55" s="275"/>
      <c r="JVE55" s="275"/>
      <c r="JVF55" s="275"/>
      <c r="JVG55" s="275"/>
      <c r="JVH55" s="137"/>
      <c r="JVI55" s="137"/>
      <c r="JVJ55" s="135"/>
      <c r="JVK55" s="137"/>
      <c r="JVM55" s="250"/>
      <c r="JVN55" s="250"/>
      <c r="JVO55" s="243"/>
      <c r="JVP55" s="276"/>
      <c r="JVQ55" s="276"/>
      <c r="JVR55" s="276"/>
      <c r="JVS55" s="244"/>
      <c r="JVT55" s="244"/>
      <c r="JVU55" s="244"/>
      <c r="JVV55" s="245"/>
      <c r="JVW55" s="245"/>
      <c r="JVX55" s="244"/>
      <c r="JVY55" s="246"/>
      <c r="JVZ55" s="247"/>
      <c r="JWA55" s="275"/>
      <c r="JWB55" s="275"/>
      <c r="JWC55" s="275"/>
      <c r="JWD55" s="275"/>
      <c r="JWE55" s="275"/>
      <c r="JWF55" s="275"/>
      <c r="JWG55" s="137"/>
      <c r="JWH55" s="137"/>
      <c r="JWI55" s="135"/>
      <c r="JWJ55" s="137"/>
      <c r="JWL55" s="250"/>
      <c r="JWM55" s="250"/>
      <c r="JWN55" s="243"/>
      <c r="JWO55" s="276"/>
      <c r="JWP55" s="276"/>
      <c r="JWQ55" s="276"/>
      <c r="JWR55" s="244"/>
      <c r="JWS55" s="244"/>
      <c r="JWT55" s="244"/>
      <c r="JWU55" s="245"/>
      <c r="JWV55" s="245"/>
      <c r="JWW55" s="244"/>
      <c r="JWX55" s="246"/>
      <c r="JWY55" s="247"/>
      <c r="JWZ55" s="275"/>
      <c r="JXA55" s="275"/>
      <c r="JXB55" s="275"/>
      <c r="JXC55" s="275"/>
      <c r="JXD55" s="275"/>
      <c r="JXE55" s="275"/>
      <c r="JXF55" s="137"/>
      <c r="JXG55" s="137"/>
      <c r="JXH55" s="135"/>
      <c r="JXI55" s="137"/>
      <c r="JXK55" s="250"/>
      <c r="JXL55" s="250"/>
      <c r="JXM55" s="243"/>
      <c r="JXN55" s="276"/>
      <c r="JXO55" s="276"/>
      <c r="JXP55" s="276"/>
      <c r="JXQ55" s="244"/>
      <c r="JXR55" s="244"/>
      <c r="JXS55" s="244"/>
      <c r="JXT55" s="245"/>
      <c r="JXU55" s="245"/>
      <c r="JXV55" s="244"/>
      <c r="JXW55" s="246"/>
      <c r="JXX55" s="247"/>
      <c r="JXY55" s="275"/>
      <c r="JXZ55" s="275"/>
      <c r="JYA55" s="275"/>
      <c r="JYB55" s="275"/>
      <c r="JYC55" s="275"/>
      <c r="JYD55" s="275"/>
      <c r="JYE55" s="137"/>
      <c r="JYF55" s="137"/>
      <c r="JYG55" s="135"/>
      <c r="JYH55" s="137"/>
      <c r="JYJ55" s="250"/>
      <c r="JYK55" s="250"/>
      <c r="JYL55" s="243"/>
      <c r="JYM55" s="276"/>
      <c r="JYN55" s="276"/>
      <c r="JYO55" s="276"/>
      <c r="JYP55" s="244"/>
      <c r="JYQ55" s="244"/>
      <c r="JYR55" s="244"/>
      <c r="JYS55" s="245"/>
      <c r="JYT55" s="245"/>
      <c r="JYU55" s="244"/>
      <c r="JYV55" s="246"/>
      <c r="JYW55" s="247"/>
      <c r="JYX55" s="275"/>
      <c r="JYY55" s="275"/>
      <c r="JYZ55" s="275"/>
      <c r="JZA55" s="275"/>
      <c r="JZB55" s="275"/>
      <c r="JZC55" s="275"/>
      <c r="JZD55" s="137"/>
      <c r="JZE55" s="137"/>
      <c r="JZF55" s="135"/>
      <c r="JZG55" s="137"/>
      <c r="JZI55" s="250"/>
      <c r="JZJ55" s="250"/>
      <c r="JZK55" s="243"/>
      <c r="JZL55" s="276"/>
      <c r="JZM55" s="276"/>
      <c r="JZN55" s="276"/>
      <c r="JZO55" s="244"/>
      <c r="JZP55" s="244"/>
      <c r="JZQ55" s="244"/>
      <c r="JZR55" s="245"/>
      <c r="JZS55" s="245"/>
      <c r="JZT55" s="244"/>
      <c r="JZU55" s="246"/>
      <c r="JZV55" s="247"/>
      <c r="JZW55" s="275"/>
      <c r="JZX55" s="275"/>
      <c r="JZY55" s="275"/>
      <c r="JZZ55" s="275"/>
      <c r="KAA55" s="275"/>
      <c r="KAB55" s="275"/>
      <c r="KAC55" s="137"/>
      <c r="KAD55" s="137"/>
      <c r="KAE55" s="135"/>
      <c r="KAF55" s="137"/>
      <c r="KAH55" s="250"/>
      <c r="KAI55" s="250"/>
      <c r="KAJ55" s="243"/>
      <c r="KAK55" s="276"/>
      <c r="KAL55" s="276"/>
      <c r="KAM55" s="276"/>
      <c r="KAN55" s="244"/>
      <c r="KAO55" s="244"/>
      <c r="KAP55" s="244"/>
      <c r="KAQ55" s="245"/>
      <c r="KAR55" s="245"/>
      <c r="KAS55" s="244"/>
      <c r="KAT55" s="246"/>
      <c r="KAU55" s="247"/>
      <c r="KAV55" s="275"/>
      <c r="KAW55" s="275"/>
      <c r="KAX55" s="275"/>
      <c r="KAY55" s="275"/>
      <c r="KAZ55" s="275"/>
      <c r="KBA55" s="275"/>
      <c r="KBB55" s="137"/>
      <c r="KBC55" s="137"/>
      <c r="KBD55" s="135"/>
      <c r="KBE55" s="137"/>
      <c r="KBG55" s="250"/>
      <c r="KBH55" s="250"/>
      <c r="KBI55" s="243"/>
      <c r="KBJ55" s="276"/>
      <c r="KBK55" s="276"/>
      <c r="KBL55" s="276"/>
      <c r="KBM55" s="244"/>
      <c r="KBN55" s="244"/>
      <c r="KBO55" s="244"/>
      <c r="KBP55" s="245"/>
      <c r="KBQ55" s="245"/>
      <c r="KBR55" s="244"/>
      <c r="KBS55" s="246"/>
      <c r="KBT55" s="247"/>
      <c r="KBU55" s="275"/>
      <c r="KBV55" s="275"/>
      <c r="KBW55" s="275"/>
      <c r="KBX55" s="275"/>
      <c r="KBY55" s="275"/>
      <c r="KBZ55" s="275"/>
      <c r="KCA55" s="137"/>
      <c r="KCB55" s="137"/>
      <c r="KCC55" s="135"/>
      <c r="KCD55" s="137"/>
      <c r="KCF55" s="250"/>
      <c r="KCG55" s="250"/>
      <c r="KCH55" s="243"/>
      <c r="KCI55" s="276"/>
      <c r="KCJ55" s="276"/>
      <c r="KCK55" s="276"/>
      <c r="KCL55" s="244"/>
      <c r="KCM55" s="244"/>
      <c r="KCN55" s="244"/>
      <c r="KCO55" s="245"/>
      <c r="KCP55" s="245"/>
      <c r="KCQ55" s="244"/>
      <c r="KCR55" s="246"/>
      <c r="KCS55" s="247"/>
      <c r="KCT55" s="275"/>
      <c r="KCU55" s="275"/>
      <c r="KCV55" s="275"/>
      <c r="KCW55" s="275"/>
      <c r="KCX55" s="275"/>
      <c r="KCY55" s="275"/>
      <c r="KCZ55" s="137"/>
      <c r="KDA55" s="137"/>
      <c r="KDB55" s="135"/>
      <c r="KDC55" s="137"/>
      <c r="KDE55" s="250"/>
      <c r="KDF55" s="250"/>
      <c r="KDG55" s="243"/>
      <c r="KDH55" s="276"/>
      <c r="KDI55" s="276"/>
      <c r="KDJ55" s="276"/>
      <c r="KDK55" s="244"/>
      <c r="KDL55" s="244"/>
      <c r="KDM55" s="244"/>
      <c r="KDN55" s="245"/>
      <c r="KDO55" s="245"/>
      <c r="KDP55" s="244"/>
      <c r="KDQ55" s="246"/>
      <c r="KDR55" s="247"/>
      <c r="KDS55" s="275"/>
      <c r="KDT55" s="275"/>
      <c r="KDU55" s="275"/>
      <c r="KDV55" s="275"/>
      <c r="KDW55" s="275"/>
      <c r="KDX55" s="275"/>
      <c r="KDY55" s="137"/>
      <c r="KDZ55" s="137"/>
      <c r="KEA55" s="135"/>
      <c r="KEB55" s="137"/>
      <c r="KED55" s="250"/>
      <c r="KEE55" s="250"/>
      <c r="KEF55" s="243"/>
      <c r="KEG55" s="276"/>
      <c r="KEH55" s="276"/>
      <c r="KEI55" s="276"/>
      <c r="KEJ55" s="244"/>
      <c r="KEK55" s="244"/>
      <c r="KEL55" s="244"/>
      <c r="KEM55" s="245"/>
      <c r="KEN55" s="245"/>
      <c r="KEO55" s="244"/>
      <c r="KEP55" s="246"/>
      <c r="KEQ55" s="247"/>
      <c r="KER55" s="275"/>
      <c r="KES55" s="275"/>
      <c r="KET55" s="275"/>
      <c r="KEU55" s="275"/>
      <c r="KEV55" s="275"/>
      <c r="KEW55" s="275"/>
      <c r="KEX55" s="137"/>
      <c r="KEY55" s="137"/>
      <c r="KEZ55" s="135"/>
      <c r="KFA55" s="137"/>
      <c r="KFC55" s="250"/>
      <c r="KFD55" s="250"/>
      <c r="KFE55" s="243"/>
      <c r="KFF55" s="276"/>
      <c r="KFG55" s="276"/>
      <c r="KFH55" s="276"/>
      <c r="KFI55" s="244"/>
      <c r="KFJ55" s="244"/>
      <c r="KFK55" s="244"/>
      <c r="KFL55" s="245"/>
      <c r="KFM55" s="245"/>
      <c r="KFN55" s="244"/>
      <c r="KFO55" s="246"/>
      <c r="KFP55" s="247"/>
      <c r="KFQ55" s="275"/>
      <c r="KFR55" s="275"/>
      <c r="KFS55" s="275"/>
      <c r="KFT55" s="275"/>
      <c r="KFU55" s="275"/>
      <c r="KFV55" s="275"/>
      <c r="KFW55" s="137"/>
      <c r="KFX55" s="137"/>
      <c r="KFY55" s="135"/>
      <c r="KFZ55" s="137"/>
      <c r="KGB55" s="250"/>
      <c r="KGC55" s="250"/>
      <c r="KGD55" s="243"/>
      <c r="KGE55" s="276"/>
      <c r="KGF55" s="276"/>
      <c r="KGG55" s="276"/>
      <c r="KGH55" s="244"/>
      <c r="KGI55" s="244"/>
      <c r="KGJ55" s="244"/>
      <c r="KGK55" s="245"/>
      <c r="KGL55" s="245"/>
      <c r="KGM55" s="244"/>
      <c r="KGN55" s="246"/>
      <c r="KGO55" s="247"/>
      <c r="KGP55" s="275"/>
      <c r="KGQ55" s="275"/>
      <c r="KGR55" s="275"/>
      <c r="KGS55" s="275"/>
      <c r="KGT55" s="275"/>
      <c r="KGU55" s="275"/>
      <c r="KGV55" s="137"/>
      <c r="KGW55" s="137"/>
      <c r="KGX55" s="135"/>
      <c r="KGY55" s="137"/>
      <c r="KHA55" s="250"/>
      <c r="KHB55" s="250"/>
      <c r="KHC55" s="243"/>
      <c r="KHD55" s="276"/>
      <c r="KHE55" s="276"/>
      <c r="KHF55" s="276"/>
      <c r="KHG55" s="244"/>
      <c r="KHH55" s="244"/>
      <c r="KHI55" s="244"/>
      <c r="KHJ55" s="245"/>
      <c r="KHK55" s="245"/>
      <c r="KHL55" s="244"/>
      <c r="KHM55" s="246"/>
      <c r="KHN55" s="247"/>
      <c r="KHO55" s="275"/>
      <c r="KHP55" s="275"/>
      <c r="KHQ55" s="275"/>
      <c r="KHR55" s="275"/>
      <c r="KHS55" s="275"/>
      <c r="KHT55" s="275"/>
      <c r="KHU55" s="137"/>
      <c r="KHV55" s="137"/>
      <c r="KHW55" s="135"/>
      <c r="KHX55" s="137"/>
      <c r="KHZ55" s="250"/>
      <c r="KIA55" s="250"/>
      <c r="KIB55" s="243"/>
      <c r="KIC55" s="276"/>
      <c r="KID55" s="276"/>
      <c r="KIE55" s="276"/>
      <c r="KIF55" s="244"/>
      <c r="KIG55" s="244"/>
      <c r="KIH55" s="244"/>
      <c r="KII55" s="245"/>
      <c r="KIJ55" s="245"/>
      <c r="KIK55" s="244"/>
      <c r="KIL55" s="246"/>
      <c r="KIM55" s="247"/>
      <c r="KIN55" s="275"/>
      <c r="KIO55" s="275"/>
      <c r="KIP55" s="275"/>
      <c r="KIQ55" s="275"/>
      <c r="KIR55" s="275"/>
      <c r="KIS55" s="275"/>
      <c r="KIT55" s="137"/>
      <c r="KIU55" s="137"/>
      <c r="KIV55" s="135"/>
      <c r="KIW55" s="137"/>
      <c r="KIY55" s="250"/>
      <c r="KIZ55" s="250"/>
      <c r="KJA55" s="243"/>
      <c r="KJB55" s="276"/>
      <c r="KJC55" s="276"/>
      <c r="KJD55" s="276"/>
      <c r="KJE55" s="244"/>
      <c r="KJF55" s="244"/>
      <c r="KJG55" s="244"/>
      <c r="KJH55" s="245"/>
      <c r="KJI55" s="245"/>
      <c r="KJJ55" s="244"/>
      <c r="KJK55" s="246"/>
      <c r="KJL55" s="247"/>
      <c r="KJM55" s="275"/>
      <c r="KJN55" s="275"/>
      <c r="KJO55" s="275"/>
      <c r="KJP55" s="275"/>
      <c r="KJQ55" s="275"/>
      <c r="KJR55" s="275"/>
      <c r="KJS55" s="137"/>
      <c r="KJT55" s="137"/>
      <c r="KJU55" s="135"/>
      <c r="KJV55" s="137"/>
      <c r="KJX55" s="250"/>
      <c r="KJY55" s="250"/>
      <c r="KJZ55" s="243"/>
      <c r="KKA55" s="276"/>
      <c r="KKB55" s="276"/>
      <c r="KKC55" s="276"/>
      <c r="KKD55" s="244"/>
      <c r="KKE55" s="244"/>
      <c r="KKF55" s="244"/>
      <c r="KKG55" s="245"/>
      <c r="KKH55" s="245"/>
      <c r="KKI55" s="244"/>
      <c r="KKJ55" s="246"/>
      <c r="KKK55" s="247"/>
      <c r="KKL55" s="275"/>
      <c r="KKM55" s="275"/>
      <c r="KKN55" s="275"/>
      <c r="KKO55" s="275"/>
      <c r="KKP55" s="275"/>
      <c r="KKQ55" s="275"/>
      <c r="KKR55" s="137"/>
      <c r="KKS55" s="137"/>
      <c r="KKT55" s="135"/>
      <c r="KKU55" s="137"/>
      <c r="KKW55" s="250"/>
      <c r="KKX55" s="250"/>
      <c r="KKY55" s="243"/>
      <c r="KKZ55" s="276"/>
      <c r="KLA55" s="276"/>
      <c r="KLB55" s="276"/>
      <c r="KLC55" s="244"/>
      <c r="KLD55" s="244"/>
      <c r="KLE55" s="244"/>
      <c r="KLF55" s="245"/>
      <c r="KLG55" s="245"/>
      <c r="KLH55" s="244"/>
      <c r="KLI55" s="246"/>
      <c r="KLJ55" s="247"/>
      <c r="KLK55" s="275"/>
      <c r="KLL55" s="275"/>
      <c r="KLM55" s="275"/>
      <c r="KLN55" s="275"/>
      <c r="KLO55" s="275"/>
      <c r="KLP55" s="275"/>
      <c r="KLQ55" s="137"/>
      <c r="KLR55" s="137"/>
      <c r="KLS55" s="135"/>
      <c r="KLT55" s="137"/>
      <c r="KLV55" s="250"/>
      <c r="KLW55" s="250"/>
      <c r="KLX55" s="243"/>
      <c r="KLY55" s="276"/>
      <c r="KLZ55" s="276"/>
      <c r="KMA55" s="276"/>
      <c r="KMB55" s="244"/>
      <c r="KMC55" s="244"/>
      <c r="KMD55" s="244"/>
      <c r="KME55" s="245"/>
      <c r="KMF55" s="245"/>
      <c r="KMG55" s="244"/>
      <c r="KMH55" s="246"/>
      <c r="KMI55" s="247"/>
      <c r="KMJ55" s="275"/>
      <c r="KMK55" s="275"/>
      <c r="KML55" s="275"/>
      <c r="KMM55" s="275"/>
      <c r="KMN55" s="275"/>
      <c r="KMO55" s="275"/>
      <c r="KMP55" s="137"/>
      <c r="KMQ55" s="137"/>
      <c r="KMR55" s="135"/>
      <c r="KMS55" s="137"/>
      <c r="KMU55" s="250"/>
      <c r="KMV55" s="250"/>
      <c r="KMW55" s="243"/>
      <c r="KMX55" s="276"/>
      <c r="KMY55" s="276"/>
      <c r="KMZ55" s="276"/>
      <c r="KNA55" s="244"/>
      <c r="KNB55" s="244"/>
      <c r="KNC55" s="244"/>
      <c r="KND55" s="245"/>
      <c r="KNE55" s="245"/>
      <c r="KNF55" s="244"/>
      <c r="KNG55" s="246"/>
      <c r="KNH55" s="247"/>
      <c r="KNI55" s="275"/>
      <c r="KNJ55" s="275"/>
      <c r="KNK55" s="275"/>
      <c r="KNL55" s="275"/>
      <c r="KNM55" s="275"/>
      <c r="KNN55" s="275"/>
      <c r="KNO55" s="137"/>
      <c r="KNP55" s="137"/>
      <c r="KNQ55" s="135"/>
      <c r="KNR55" s="137"/>
      <c r="KNT55" s="250"/>
      <c r="KNU55" s="250"/>
      <c r="KNV55" s="243"/>
      <c r="KNW55" s="276"/>
      <c r="KNX55" s="276"/>
      <c r="KNY55" s="276"/>
      <c r="KNZ55" s="244"/>
      <c r="KOA55" s="244"/>
      <c r="KOB55" s="244"/>
      <c r="KOC55" s="245"/>
      <c r="KOD55" s="245"/>
      <c r="KOE55" s="244"/>
      <c r="KOF55" s="246"/>
      <c r="KOG55" s="247"/>
      <c r="KOH55" s="275"/>
      <c r="KOI55" s="275"/>
      <c r="KOJ55" s="275"/>
      <c r="KOK55" s="275"/>
      <c r="KOL55" s="275"/>
      <c r="KOM55" s="275"/>
      <c r="KON55" s="137"/>
      <c r="KOO55" s="137"/>
      <c r="KOP55" s="135"/>
      <c r="KOQ55" s="137"/>
      <c r="KOS55" s="250"/>
      <c r="KOT55" s="250"/>
      <c r="KOU55" s="243"/>
      <c r="KOV55" s="276"/>
      <c r="KOW55" s="276"/>
      <c r="KOX55" s="276"/>
      <c r="KOY55" s="244"/>
      <c r="KOZ55" s="244"/>
      <c r="KPA55" s="244"/>
      <c r="KPB55" s="245"/>
      <c r="KPC55" s="245"/>
      <c r="KPD55" s="244"/>
      <c r="KPE55" s="246"/>
      <c r="KPF55" s="247"/>
      <c r="KPG55" s="275"/>
      <c r="KPH55" s="275"/>
      <c r="KPI55" s="275"/>
      <c r="KPJ55" s="275"/>
      <c r="KPK55" s="275"/>
      <c r="KPL55" s="275"/>
      <c r="KPM55" s="137"/>
      <c r="KPN55" s="137"/>
      <c r="KPO55" s="135"/>
      <c r="KPP55" s="137"/>
      <c r="KPR55" s="250"/>
      <c r="KPS55" s="250"/>
      <c r="KPT55" s="243"/>
      <c r="KPU55" s="276"/>
      <c r="KPV55" s="276"/>
      <c r="KPW55" s="276"/>
      <c r="KPX55" s="244"/>
      <c r="KPY55" s="244"/>
      <c r="KPZ55" s="244"/>
      <c r="KQA55" s="245"/>
      <c r="KQB55" s="245"/>
      <c r="KQC55" s="244"/>
      <c r="KQD55" s="246"/>
      <c r="KQE55" s="247"/>
      <c r="KQF55" s="275"/>
      <c r="KQG55" s="275"/>
      <c r="KQH55" s="275"/>
      <c r="KQI55" s="275"/>
      <c r="KQJ55" s="275"/>
      <c r="KQK55" s="275"/>
      <c r="KQL55" s="137"/>
      <c r="KQM55" s="137"/>
      <c r="KQN55" s="135"/>
      <c r="KQO55" s="137"/>
      <c r="KQQ55" s="250"/>
      <c r="KQR55" s="250"/>
      <c r="KQS55" s="243"/>
      <c r="KQT55" s="276"/>
      <c r="KQU55" s="276"/>
      <c r="KQV55" s="276"/>
      <c r="KQW55" s="244"/>
      <c r="KQX55" s="244"/>
      <c r="KQY55" s="244"/>
      <c r="KQZ55" s="245"/>
      <c r="KRA55" s="245"/>
      <c r="KRB55" s="244"/>
      <c r="KRC55" s="246"/>
      <c r="KRD55" s="247"/>
      <c r="KRE55" s="275"/>
      <c r="KRF55" s="275"/>
      <c r="KRG55" s="275"/>
      <c r="KRH55" s="275"/>
      <c r="KRI55" s="275"/>
      <c r="KRJ55" s="275"/>
      <c r="KRK55" s="137"/>
      <c r="KRL55" s="137"/>
      <c r="KRM55" s="135"/>
      <c r="KRN55" s="137"/>
      <c r="KRP55" s="250"/>
      <c r="KRQ55" s="250"/>
      <c r="KRR55" s="243"/>
      <c r="KRS55" s="276"/>
      <c r="KRT55" s="276"/>
      <c r="KRU55" s="276"/>
      <c r="KRV55" s="244"/>
      <c r="KRW55" s="244"/>
      <c r="KRX55" s="244"/>
      <c r="KRY55" s="245"/>
      <c r="KRZ55" s="245"/>
      <c r="KSA55" s="244"/>
      <c r="KSB55" s="246"/>
      <c r="KSC55" s="247"/>
      <c r="KSD55" s="275"/>
      <c r="KSE55" s="275"/>
      <c r="KSF55" s="275"/>
      <c r="KSG55" s="275"/>
      <c r="KSH55" s="275"/>
      <c r="KSI55" s="275"/>
      <c r="KSJ55" s="137"/>
      <c r="KSK55" s="137"/>
      <c r="KSL55" s="135"/>
      <c r="KSM55" s="137"/>
      <c r="KSO55" s="250"/>
      <c r="KSP55" s="250"/>
      <c r="KSQ55" s="243"/>
      <c r="KSR55" s="276"/>
      <c r="KSS55" s="276"/>
      <c r="KST55" s="276"/>
      <c r="KSU55" s="244"/>
      <c r="KSV55" s="244"/>
      <c r="KSW55" s="244"/>
      <c r="KSX55" s="245"/>
      <c r="KSY55" s="245"/>
      <c r="KSZ55" s="244"/>
      <c r="KTA55" s="246"/>
      <c r="KTB55" s="247"/>
      <c r="KTC55" s="275"/>
      <c r="KTD55" s="275"/>
      <c r="KTE55" s="275"/>
      <c r="KTF55" s="275"/>
      <c r="KTG55" s="275"/>
      <c r="KTH55" s="275"/>
      <c r="KTI55" s="137"/>
      <c r="KTJ55" s="137"/>
      <c r="KTK55" s="135"/>
      <c r="KTL55" s="137"/>
      <c r="KTN55" s="250"/>
      <c r="KTO55" s="250"/>
      <c r="KTP55" s="243"/>
      <c r="KTQ55" s="276"/>
      <c r="KTR55" s="276"/>
      <c r="KTS55" s="276"/>
      <c r="KTT55" s="244"/>
      <c r="KTU55" s="244"/>
      <c r="KTV55" s="244"/>
      <c r="KTW55" s="245"/>
      <c r="KTX55" s="245"/>
      <c r="KTY55" s="244"/>
      <c r="KTZ55" s="246"/>
      <c r="KUA55" s="247"/>
      <c r="KUB55" s="275"/>
      <c r="KUC55" s="275"/>
      <c r="KUD55" s="275"/>
      <c r="KUE55" s="275"/>
      <c r="KUF55" s="275"/>
      <c r="KUG55" s="275"/>
      <c r="KUH55" s="137"/>
      <c r="KUI55" s="137"/>
      <c r="KUJ55" s="135"/>
      <c r="KUK55" s="137"/>
      <c r="KUM55" s="250"/>
      <c r="KUN55" s="250"/>
      <c r="KUO55" s="243"/>
      <c r="KUP55" s="276"/>
      <c r="KUQ55" s="276"/>
      <c r="KUR55" s="276"/>
      <c r="KUS55" s="244"/>
      <c r="KUT55" s="244"/>
      <c r="KUU55" s="244"/>
      <c r="KUV55" s="245"/>
      <c r="KUW55" s="245"/>
      <c r="KUX55" s="244"/>
      <c r="KUY55" s="246"/>
      <c r="KUZ55" s="247"/>
      <c r="KVA55" s="275"/>
      <c r="KVB55" s="275"/>
      <c r="KVC55" s="275"/>
      <c r="KVD55" s="275"/>
      <c r="KVE55" s="275"/>
      <c r="KVF55" s="275"/>
      <c r="KVG55" s="137"/>
      <c r="KVH55" s="137"/>
      <c r="KVI55" s="135"/>
      <c r="KVJ55" s="137"/>
      <c r="KVL55" s="250"/>
      <c r="KVM55" s="250"/>
      <c r="KVN55" s="243"/>
      <c r="KVO55" s="276"/>
      <c r="KVP55" s="276"/>
      <c r="KVQ55" s="276"/>
      <c r="KVR55" s="244"/>
      <c r="KVS55" s="244"/>
      <c r="KVT55" s="244"/>
      <c r="KVU55" s="245"/>
      <c r="KVV55" s="245"/>
      <c r="KVW55" s="244"/>
      <c r="KVX55" s="246"/>
      <c r="KVY55" s="247"/>
      <c r="KVZ55" s="275"/>
      <c r="KWA55" s="275"/>
      <c r="KWB55" s="275"/>
      <c r="KWC55" s="275"/>
      <c r="KWD55" s="275"/>
      <c r="KWE55" s="275"/>
      <c r="KWF55" s="137"/>
      <c r="KWG55" s="137"/>
      <c r="KWH55" s="135"/>
      <c r="KWI55" s="137"/>
      <c r="KWK55" s="250"/>
      <c r="KWL55" s="250"/>
      <c r="KWM55" s="243"/>
      <c r="KWN55" s="276"/>
      <c r="KWO55" s="276"/>
      <c r="KWP55" s="276"/>
      <c r="KWQ55" s="244"/>
      <c r="KWR55" s="244"/>
      <c r="KWS55" s="244"/>
      <c r="KWT55" s="245"/>
      <c r="KWU55" s="245"/>
      <c r="KWV55" s="244"/>
      <c r="KWW55" s="246"/>
      <c r="KWX55" s="247"/>
      <c r="KWY55" s="275"/>
      <c r="KWZ55" s="275"/>
      <c r="KXA55" s="275"/>
      <c r="KXB55" s="275"/>
      <c r="KXC55" s="275"/>
      <c r="KXD55" s="275"/>
      <c r="KXE55" s="137"/>
      <c r="KXF55" s="137"/>
      <c r="KXG55" s="135"/>
      <c r="KXH55" s="137"/>
      <c r="KXJ55" s="250"/>
      <c r="KXK55" s="250"/>
      <c r="KXL55" s="243"/>
      <c r="KXM55" s="276"/>
      <c r="KXN55" s="276"/>
      <c r="KXO55" s="276"/>
      <c r="KXP55" s="244"/>
      <c r="KXQ55" s="244"/>
      <c r="KXR55" s="244"/>
      <c r="KXS55" s="245"/>
      <c r="KXT55" s="245"/>
      <c r="KXU55" s="244"/>
      <c r="KXV55" s="246"/>
      <c r="KXW55" s="247"/>
      <c r="KXX55" s="275"/>
      <c r="KXY55" s="275"/>
      <c r="KXZ55" s="275"/>
      <c r="KYA55" s="275"/>
      <c r="KYB55" s="275"/>
      <c r="KYC55" s="275"/>
      <c r="KYD55" s="137"/>
      <c r="KYE55" s="137"/>
      <c r="KYF55" s="135"/>
      <c r="KYG55" s="137"/>
      <c r="KYI55" s="250"/>
      <c r="KYJ55" s="250"/>
      <c r="KYK55" s="243"/>
      <c r="KYL55" s="276"/>
      <c r="KYM55" s="276"/>
      <c r="KYN55" s="276"/>
      <c r="KYO55" s="244"/>
      <c r="KYP55" s="244"/>
      <c r="KYQ55" s="244"/>
      <c r="KYR55" s="245"/>
      <c r="KYS55" s="245"/>
      <c r="KYT55" s="244"/>
      <c r="KYU55" s="246"/>
      <c r="KYV55" s="247"/>
      <c r="KYW55" s="275"/>
      <c r="KYX55" s="275"/>
      <c r="KYY55" s="275"/>
      <c r="KYZ55" s="275"/>
      <c r="KZA55" s="275"/>
      <c r="KZB55" s="275"/>
      <c r="KZC55" s="137"/>
      <c r="KZD55" s="137"/>
      <c r="KZE55" s="135"/>
      <c r="KZF55" s="137"/>
      <c r="KZH55" s="250"/>
      <c r="KZI55" s="250"/>
      <c r="KZJ55" s="243"/>
      <c r="KZK55" s="276"/>
      <c r="KZL55" s="276"/>
      <c r="KZM55" s="276"/>
      <c r="KZN55" s="244"/>
      <c r="KZO55" s="244"/>
      <c r="KZP55" s="244"/>
      <c r="KZQ55" s="245"/>
      <c r="KZR55" s="245"/>
      <c r="KZS55" s="244"/>
      <c r="KZT55" s="246"/>
      <c r="KZU55" s="247"/>
      <c r="KZV55" s="275"/>
      <c r="KZW55" s="275"/>
      <c r="KZX55" s="275"/>
      <c r="KZY55" s="275"/>
      <c r="KZZ55" s="275"/>
      <c r="LAA55" s="275"/>
      <c r="LAB55" s="137"/>
      <c r="LAC55" s="137"/>
      <c r="LAD55" s="135"/>
      <c r="LAE55" s="137"/>
      <c r="LAG55" s="250"/>
      <c r="LAH55" s="250"/>
      <c r="LAI55" s="243"/>
      <c r="LAJ55" s="276"/>
      <c r="LAK55" s="276"/>
      <c r="LAL55" s="276"/>
      <c r="LAM55" s="244"/>
      <c r="LAN55" s="244"/>
      <c r="LAO55" s="244"/>
      <c r="LAP55" s="245"/>
      <c r="LAQ55" s="245"/>
      <c r="LAR55" s="244"/>
      <c r="LAS55" s="246"/>
      <c r="LAT55" s="247"/>
      <c r="LAU55" s="275"/>
      <c r="LAV55" s="275"/>
      <c r="LAW55" s="275"/>
      <c r="LAX55" s="275"/>
      <c r="LAY55" s="275"/>
      <c r="LAZ55" s="275"/>
      <c r="LBA55" s="137"/>
      <c r="LBB55" s="137"/>
      <c r="LBC55" s="135"/>
      <c r="LBD55" s="137"/>
      <c r="LBF55" s="250"/>
      <c r="LBG55" s="250"/>
      <c r="LBH55" s="243"/>
      <c r="LBI55" s="276"/>
      <c r="LBJ55" s="276"/>
      <c r="LBK55" s="276"/>
      <c r="LBL55" s="244"/>
      <c r="LBM55" s="244"/>
      <c r="LBN55" s="244"/>
      <c r="LBO55" s="245"/>
      <c r="LBP55" s="245"/>
      <c r="LBQ55" s="244"/>
      <c r="LBR55" s="246"/>
      <c r="LBS55" s="247"/>
      <c r="LBT55" s="275"/>
      <c r="LBU55" s="275"/>
      <c r="LBV55" s="275"/>
      <c r="LBW55" s="275"/>
      <c r="LBX55" s="275"/>
      <c r="LBY55" s="275"/>
      <c r="LBZ55" s="137"/>
      <c r="LCA55" s="137"/>
      <c r="LCB55" s="135"/>
      <c r="LCC55" s="137"/>
      <c r="LCE55" s="250"/>
      <c r="LCF55" s="250"/>
      <c r="LCG55" s="243"/>
      <c r="LCH55" s="276"/>
      <c r="LCI55" s="276"/>
      <c r="LCJ55" s="276"/>
      <c r="LCK55" s="244"/>
      <c r="LCL55" s="244"/>
      <c r="LCM55" s="244"/>
      <c r="LCN55" s="245"/>
      <c r="LCO55" s="245"/>
      <c r="LCP55" s="244"/>
      <c r="LCQ55" s="246"/>
      <c r="LCR55" s="247"/>
      <c r="LCS55" s="275"/>
      <c r="LCT55" s="275"/>
      <c r="LCU55" s="275"/>
      <c r="LCV55" s="275"/>
      <c r="LCW55" s="275"/>
      <c r="LCX55" s="275"/>
      <c r="LCY55" s="137"/>
      <c r="LCZ55" s="137"/>
      <c r="LDA55" s="135"/>
      <c r="LDB55" s="137"/>
      <c r="LDD55" s="250"/>
      <c r="LDE55" s="250"/>
      <c r="LDF55" s="243"/>
      <c r="LDG55" s="276"/>
      <c r="LDH55" s="276"/>
      <c r="LDI55" s="276"/>
      <c r="LDJ55" s="244"/>
      <c r="LDK55" s="244"/>
      <c r="LDL55" s="244"/>
      <c r="LDM55" s="245"/>
      <c r="LDN55" s="245"/>
      <c r="LDO55" s="244"/>
      <c r="LDP55" s="246"/>
      <c r="LDQ55" s="247"/>
      <c r="LDR55" s="275"/>
      <c r="LDS55" s="275"/>
      <c r="LDT55" s="275"/>
      <c r="LDU55" s="275"/>
      <c r="LDV55" s="275"/>
      <c r="LDW55" s="275"/>
      <c r="LDX55" s="137"/>
      <c r="LDY55" s="137"/>
      <c r="LDZ55" s="135"/>
      <c r="LEA55" s="137"/>
      <c r="LEC55" s="250"/>
      <c r="LED55" s="250"/>
      <c r="LEE55" s="243"/>
      <c r="LEF55" s="276"/>
      <c r="LEG55" s="276"/>
      <c r="LEH55" s="276"/>
      <c r="LEI55" s="244"/>
      <c r="LEJ55" s="244"/>
      <c r="LEK55" s="244"/>
      <c r="LEL55" s="245"/>
      <c r="LEM55" s="245"/>
      <c r="LEN55" s="244"/>
      <c r="LEO55" s="246"/>
      <c r="LEP55" s="247"/>
      <c r="LEQ55" s="275"/>
      <c r="LER55" s="275"/>
      <c r="LES55" s="275"/>
      <c r="LET55" s="275"/>
      <c r="LEU55" s="275"/>
      <c r="LEV55" s="275"/>
      <c r="LEW55" s="137"/>
      <c r="LEX55" s="137"/>
      <c r="LEY55" s="135"/>
      <c r="LEZ55" s="137"/>
      <c r="LFB55" s="250"/>
      <c r="LFC55" s="250"/>
      <c r="LFD55" s="243"/>
      <c r="LFE55" s="276"/>
      <c r="LFF55" s="276"/>
      <c r="LFG55" s="276"/>
      <c r="LFH55" s="244"/>
      <c r="LFI55" s="244"/>
      <c r="LFJ55" s="244"/>
      <c r="LFK55" s="245"/>
      <c r="LFL55" s="245"/>
      <c r="LFM55" s="244"/>
      <c r="LFN55" s="246"/>
      <c r="LFO55" s="247"/>
      <c r="LFP55" s="275"/>
      <c r="LFQ55" s="275"/>
      <c r="LFR55" s="275"/>
      <c r="LFS55" s="275"/>
      <c r="LFT55" s="275"/>
      <c r="LFU55" s="275"/>
      <c r="LFV55" s="137"/>
      <c r="LFW55" s="137"/>
      <c r="LFX55" s="135"/>
      <c r="LFY55" s="137"/>
      <c r="LGA55" s="250"/>
      <c r="LGB55" s="250"/>
      <c r="LGC55" s="243"/>
      <c r="LGD55" s="276"/>
      <c r="LGE55" s="276"/>
      <c r="LGF55" s="276"/>
      <c r="LGG55" s="244"/>
      <c r="LGH55" s="244"/>
      <c r="LGI55" s="244"/>
      <c r="LGJ55" s="245"/>
      <c r="LGK55" s="245"/>
      <c r="LGL55" s="244"/>
      <c r="LGM55" s="246"/>
      <c r="LGN55" s="247"/>
      <c r="LGO55" s="275"/>
      <c r="LGP55" s="275"/>
      <c r="LGQ55" s="275"/>
      <c r="LGR55" s="275"/>
      <c r="LGS55" s="275"/>
      <c r="LGT55" s="275"/>
      <c r="LGU55" s="137"/>
      <c r="LGV55" s="137"/>
      <c r="LGW55" s="135"/>
      <c r="LGX55" s="137"/>
      <c r="LGZ55" s="250"/>
      <c r="LHA55" s="250"/>
      <c r="LHB55" s="243"/>
      <c r="LHC55" s="276"/>
      <c r="LHD55" s="276"/>
      <c r="LHE55" s="276"/>
      <c r="LHF55" s="244"/>
      <c r="LHG55" s="244"/>
      <c r="LHH55" s="244"/>
      <c r="LHI55" s="245"/>
      <c r="LHJ55" s="245"/>
      <c r="LHK55" s="244"/>
      <c r="LHL55" s="246"/>
      <c r="LHM55" s="247"/>
      <c r="LHN55" s="275"/>
      <c r="LHO55" s="275"/>
      <c r="LHP55" s="275"/>
      <c r="LHQ55" s="275"/>
      <c r="LHR55" s="275"/>
      <c r="LHS55" s="275"/>
      <c r="LHT55" s="137"/>
      <c r="LHU55" s="137"/>
      <c r="LHV55" s="135"/>
      <c r="LHW55" s="137"/>
      <c r="LHY55" s="250"/>
      <c r="LHZ55" s="250"/>
      <c r="LIA55" s="243"/>
      <c r="LIB55" s="276"/>
      <c r="LIC55" s="276"/>
      <c r="LID55" s="276"/>
      <c r="LIE55" s="244"/>
      <c r="LIF55" s="244"/>
      <c r="LIG55" s="244"/>
      <c r="LIH55" s="245"/>
      <c r="LII55" s="245"/>
      <c r="LIJ55" s="244"/>
      <c r="LIK55" s="246"/>
      <c r="LIL55" s="247"/>
      <c r="LIM55" s="275"/>
      <c r="LIN55" s="275"/>
      <c r="LIO55" s="275"/>
      <c r="LIP55" s="275"/>
      <c r="LIQ55" s="275"/>
      <c r="LIR55" s="275"/>
      <c r="LIS55" s="137"/>
      <c r="LIT55" s="137"/>
      <c r="LIU55" s="135"/>
      <c r="LIV55" s="137"/>
      <c r="LIX55" s="250"/>
      <c r="LIY55" s="250"/>
      <c r="LIZ55" s="243"/>
      <c r="LJA55" s="276"/>
      <c r="LJB55" s="276"/>
      <c r="LJC55" s="276"/>
      <c r="LJD55" s="244"/>
      <c r="LJE55" s="244"/>
      <c r="LJF55" s="244"/>
      <c r="LJG55" s="245"/>
      <c r="LJH55" s="245"/>
      <c r="LJI55" s="244"/>
      <c r="LJJ55" s="246"/>
      <c r="LJK55" s="247"/>
      <c r="LJL55" s="275"/>
      <c r="LJM55" s="275"/>
      <c r="LJN55" s="275"/>
      <c r="LJO55" s="275"/>
      <c r="LJP55" s="275"/>
      <c r="LJQ55" s="275"/>
      <c r="LJR55" s="137"/>
      <c r="LJS55" s="137"/>
      <c r="LJT55" s="135"/>
      <c r="LJU55" s="137"/>
      <c r="LJW55" s="250"/>
      <c r="LJX55" s="250"/>
      <c r="LJY55" s="243"/>
      <c r="LJZ55" s="276"/>
      <c r="LKA55" s="276"/>
      <c r="LKB55" s="276"/>
      <c r="LKC55" s="244"/>
      <c r="LKD55" s="244"/>
      <c r="LKE55" s="244"/>
      <c r="LKF55" s="245"/>
      <c r="LKG55" s="245"/>
      <c r="LKH55" s="244"/>
      <c r="LKI55" s="246"/>
      <c r="LKJ55" s="247"/>
      <c r="LKK55" s="275"/>
      <c r="LKL55" s="275"/>
      <c r="LKM55" s="275"/>
      <c r="LKN55" s="275"/>
      <c r="LKO55" s="275"/>
      <c r="LKP55" s="275"/>
      <c r="LKQ55" s="137"/>
      <c r="LKR55" s="137"/>
      <c r="LKS55" s="135"/>
      <c r="LKT55" s="137"/>
      <c r="LKV55" s="250"/>
      <c r="LKW55" s="250"/>
      <c r="LKX55" s="243"/>
      <c r="LKY55" s="276"/>
      <c r="LKZ55" s="276"/>
      <c r="LLA55" s="276"/>
      <c r="LLB55" s="244"/>
      <c r="LLC55" s="244"/>
      <c r="LLD55" s="244"/>
      <c r="LLE55" s="245"/>
      <c r="LLF55" s="245"/>
      <c r="LLG55" s="244"/>
      <c r="LLH55" s="246"/>
      <c r="LLI55" s="247"/>
      <c r="LLJ55" s="275"/>
      <c r="LLK55" s="275"/>
      <c r="LLL55" s="275"/>
      <c r="LLM55" s="275"/>
      <c r="LLN55" s="275"/>
      <c r="LLO55" s="275"/>
      <c r="LLP55" s="137"/>
      <c r="LLQ55" s="137"/>
      <c r="LLR55" s="135"/>
      <c r="LLS55" s="137"/>
      <c r="LLU55" s="250"/>
      <c r="LLV55" s="250"/>
      <c r="LLW55" s="243"/>
      <c r="LLX55" s="276"/>
      <c r="LLY55" s="276"/>
      <c r="LLZ55" s="276"/>
      <c r="LMA55" s="244"/>
      <c r="LMB55" s="244"/>
      <c r="LMC55" s="244"/>
      <c r="LMD55" s="245"/>
      <c r="LME55" s="245"/>
      <c r="LMF55" s="244"/>
      <c r="LMG55" s="246"/>
      <c r="LMH55" s="247"/>
      <c r="LMI55" s="275"/>
      <c r="LMJ55" s="275"/>
      <c r="LMK55" s="275"/>
      <c r="LML55" s="275"/>
      <c r="LMM55" s="275"/>
      <c r="LMN55" s="275"/>
      <c r="LMO55" s="137"/>
      <c r="LMP55" s="137"/>
      <c r="LMQ55" s="135"/>
      <c r="LMR55" s="137"/>
      <c r="LMT55" s="250"/>
      <c r="LMU55" s="250"/>
      <c r="LMV55" s="243"/>
      <c r="LMW55" s="276"/>
      <c r="LMX55" s="276"/>
      <c r="LMY55" s="276"/>
      <c r="LMZ55" s="244"/>
      <c r="LNA55" s="244"/>
      <c r="LNB55" s="244"/>
      <c r="LNC55" s="245"/>
      <c r="LND55" s="245"/>
      <c r="LNE55" s="244"/>
      <c r="LNF55" s="246"/>
      <c r="LNG55" s="247"/>
      <c r="LNH55" s="275"/>
      <c r="LNI55" s="275"/>
      <c r="LNJ55" s="275"/>
      <c r="LNK55" s="275"/>
      <c r="LNL55" s="275"/>
      <c r="LNM55" s="275"/>
      <c r="LNN55" s="137"/>
      <c r="LNO55" s="137"/>
      <c r="LNP55" s="135"/>
      <c r="LNQ55" s="137"/>
      <c r="LNS55" s="250"/>
      <c r="LNT55" s="250"/>
      <c r="LNU55" s="243"/>
      <c r="LNV55" s="276"/>
      <c r="LNW55" s="276"/>
      <c r="LNX55" s="276"/>
      <c r="LNY55" s="244"/>
      <c r="LNZ55" s="244"/>
      <c r="LOA55" s="244"/>
      <c r="LOB55" s="245"/>
      <c r="LOC55" s="245"/>
      <c r="LOD55" s="244"/>
      <c r="LOE55" s="246"/>
      <c r="LOF55" s="247"/>
      <c r="LOG55" s="275"/>
      <c r="LOH55" s="275"/>
      <c r="LOI55" s="275"/>
      <c r="LOJ55" s="275"/>
      <c r="LOK55" s="275"/>
      <c r="LOL55" s="275"/>
      <c r="LOM55" s="137"/>
      <c r="LON55" s="137"/>
      <c r="LOO55" s="135"/>
      <c r="LOP55" s="137"/>
      <c r="LOR55" s="250"/>
      <c r="LOS55" s="250"/>
      <c r="LOT55" s="243"/>
      <c r="LOU55" s="276"/>
      <c r="LOV55" s="276"/>
      <c r="LOW55" s="276"/>
      <c r="LOX55" s="244"/>
      <c r="LOY55" s="244"/>
      <c r="LOZ55" s="244"/>
      <c r="LPA55" s="245"/>
      <c r="LPB55" s="245"/>
      <c r="LPC55" s="244"/>
      <c r="LPD55" s="246"/>
      <c r="LPE55" s="247"/>
      <c r="LPF55" s="275"/>
      <c r="LPG55" s="275"/>
      <c r="LPH55" s="275"/>
      <c r="LPI55" s="275"/>
      <c r="LPJ55" s="275"/>
      <c r="LPK55" s="275"/>
      <c r="LPL55" s="137"/>
      <c r="LPM55" s="137"/>
      <c r="LPN55" s="135"/>
      <c r="LPO55" s="137"/>
      <c r="LPQ55" s="250"/>
      <c r="LPR55" s="250"/>
      <c r="LPS55" s="243"/>
      <c r="LPT55" s="276"/>
      <c r="LPU55" s="276"/>
      <c r="LPV55" s="276"/>
      <c r="LPW55" s="244"/>
      <c r="LPX55" s="244"/>
      <c r="LPY55" s="244"/>
      <c r="LPZ55" s="245"/>
      <c r="LQA55" s="245"/>
      <c r="LQB55" s="244"/>
      <c r="LQC55" s="246"/>
      <c r="LQD55" s="247"/>
      <c r="LQE55" s="275"/>
      <c r="LQF55" s="275"/>
      <c r="LQG55" s="275"/>
      <c r="LQH55" s="275"/>
      <c r="LQI55" s="275"/>
      <c r="LQJ55" s="275"/>
      <c r="LQK55" s="137"/>
      <c r="LQL55" s="137"/>
      <c r="LQM55" s="135"/>
      <c r="LQN55" s="137"/>
      <c r="LQP55" s="250"/>
      <c r="LQQ55" s="250"/>
      <c r="LQR55" s="243"/>
      <c r="LQS55" s="276"/>
      <c r="LQT55" s="276"/>
      <c r="LQU55" s="276"/>
      <c r="LQV55" s="244"/>
      <c r="LQW55" s="244"/>
      <c r="LQX55" s="244"/>
      <c r="LQY55" s="245"/>
      <c r="LQZ55" s="245"/>
      <c r="LRA55" s="244"/>
      <c r="LRB55" s="246"/>
      <c r="LRC55" s="247"/>
      <c r="LRD55" s="275"/>
      <c r="LRE55" s="275"/>
      <c r="LRF55" s="275"/>
      <c r="LRG55" s="275"/>
      <c r="LRH55" s="275"/>
      <c r="LRI55" s="275"/>
      <c r="LRJ55" s="137"/>
      <c r="LRK55" s="137"/>
      <c r="LRL55" s="135"/>
      <c r="LRM55" s="137"/>
      <c r="LRO55" s="250"/>
      <c r="LRP55" s="250"/>
      <c r="LRQ55" s="243"/>
      <c r="LRR55" s="276"/>
      <c r="LRS55" s="276"/>
      <c r="LRT55" s="276"/>
      <c r="LRU55" s="244"/>
      <c r="LRV55" s="244"/>
      <c r="LRW55" s="244"/>
      <c r="LRX55" s="245"/>
      <c r="LRY55" s="245"/>
      <c r="LRZ55" s="244"/>
      <c r="LSA55" s="246"/>
      <c r="LSB55" s="247"/>
      <c r="LSC55" s="275"/>
      <c r="LSD55" s="275"/>
      <c r="LSE55" s="275"/>
      <c r="LSF55" s="275"/>
      <c r="LSG55" s="275"/>
      <c r="LSH55" s="275"/>
      <c r="LSI55" s="137"/>
      <c r="LSJ55" s="137"/>
      <c r="LSK55" s="135"/>
      <c r="LSL55" s="137"/>
      <c r="LSN55" s="250"/>
      <c r="LSO55" s="250"/>
      <c r="LSP55" s="243"/>
      <c r="LSQ55" s="276"/>
      <c r="LSR55" s="276"/>
      <c r="LSS55" s="276"/>
      <c r="LST55" s="244"/>
      <c r="LSU55" s="244"/>
      <c r="LSV55" s="244"/>
      <c r="LSW55" s="245"/>
      <c r="LSX55" s="245"/>
      <c r="LSY55" s="244"/>
      <c r="LSZ55" s="246"/>
      <c r="LTA55" s="247"/>
      <c r="LTB55" s="275"/>
      <c r="LTC55" s="275"/>
      <c r="LTD55" s="275"/>
      <c r="LTE55" s="275"/>
      <c r="LTF55" s="275"/>
      <c r="LTG55" s="275"/>
      <c r="LTH55" s="137"/>
      <c r="LTI55" s="137"/>
      <c r="LTJ55" s="135"/>
      <c r="LTK55" s="137"/>
      <c r="LTM55" s="250"/>
      <c r="LTN55" s="250"/>
      <c r="LTO55" s="243"/>
      <c r="LTP55" s="276"/>
      <c r="LTQ55" s="276"/>
      <c r="LTR55" s="276"/>
      <c r="LTS55" s="244"/>
      <c r="LTT55" s="244"/>
      <c r="LTU55" s="244"/>
      <c r="LTV55" s="245"/>
      <c r="LTW55" s="245"/>
      <c r="LTX55" s="244"/>
      <c r="LTY55" s="246"/>
      <c r="LTZ55" s="247"/>
      <c r="LUA55" s="275"/>
      <c r="LUB55" s="275"/>
      <c r="LUC55" s="275"/>
      <c r="LUD55" s="275"/>
      <c r="LUE55" s="275"/>
      <c r="LUF55" s="275"/>
      <c r="LUG55" s="137"/>
      <c r="LUH55" s="137"/>
      <c r="LUI55" s="135"/>
      <c r="LUJ55" s="137"/>
      <c r="LUL55" s="250"/>
      <c r="LUM55" s="250"/>
      <c r="LUN55" s="243"/>
      <c r="LUO55" s="276"/>
      <c r="LUP55" s="276"/>
      <c r="LUQ55" s="276"/>
      <c r="LUR55" s="244"/>
      <c r="LUS55" s="244"/>
      <c r="LUT55" s="244"/>
      <c r="LUU55" s="245"/>
      <c r="LUV55" s="245"/>
      <c r="LUW55" s="244"/>
      <c r="LUX55" s="246"/>
      <c r="LUY55" s="247"/>
      <c r="LUZ55" s="275"/>
      <c r="LVA55" s="275"/>
      <c r="LVB55" s="275"/>
      <c r="LVC55" s="275"/>
      <c r="LVD55" s="275"/>
      <c r="LVE55" s="275"/>
      <c r="LVF55" s="137"/>
      <c r="LVG55" s="137"/>
      <c r="LVH55" s="135"/>
      <c r="LVI55" s="137"/>
      <c r="LVK55" s="250"/>
      <c r="LVL55" s="250"/>
      <c r="LVM55" s="243"/>
      <c r="LVN55" s="276"/>
      <c r="LVO55" s="276"/>
      <c r="LVP55" s="276"/>
      <c r="LVQ55" s="244"/>
      <c r="LVR55" s="244"/>
      <c r="LVS55" s="244"/>
      <c r="LVT55" s="245"/>
      <c r="LVU55" s="245"/>
      <c r="LVV55" s="244"/>
      <c r="LVW55" s="246"/>
      <c r="LVX55" s="247"/>
      <c r="LVY55" s="275"/>
      <c r="LVZ55" s="275"/>
      <c r="LWA55" s="275"/>
      <c r="LWB55" s="275"/>
      <c r="LWC55" s="275"/>
      <c r="LWD55" s="275"/>
      <c r="LWE55" s="137"/>
      <c r="LWF55" s="137"/>
      <c r="LWG55" s="135"/>
      <c r="LWH55" s="137"/>
      <c r="LWJ55" s="250"/>
      <c r="LWK55" s="250"/>
      <c r="LWL55" s="243"/>
      <c r="LWM55" s="276"/>
      <c r="LWN55" s="276"/>
      <c r="LWO55" s="276"/>
      <c r="LWP55" s="244"/>
      <c r="LWQ55" s="244"/>
      <c r="LWR55" s="244"/>
      <c r="LWS55" s="245"/>
      <c r="LWT55" s="245"/>
      <c r="LWU55" s="244"/>
      <c r="LWV55" s="246"/>
      <c r="LWW55" s="247"/>
      <c r="LWX55" s="275"/>
      <c r="LWY55" s="275"/>
      <c r="LWZ55" s="275"/>
      <c r="LXA55" s="275"/>
      <c r="LXB55" s="275"/>
      <c r="LXC55" s="275"/>
      <c r="LXD55" s="137"/>
      <c r="LXE55" s="137"/>
      <c r="LXF55" s="135"/>
      <c r="LXG55" s="137"/>
      <c r="LXI55" s="250"/>
      <c r="LXJ55" s="250"/>
      <c r="LXK55" s="243"/>
      <c r="LXL55" s="276"/>
      <c r="LXM55" s="276"/>
      <c r="LXN55" s="276"/>
      <c r="LXO55" s="244"/>
      <c r="LXP55" s="244"/>
      <c r="LXQ55" s="244"/>
      <c r="LXR55" s="245"/>
      <c r="LXS55" s="245"/>
      <c r="LXT55" s="244"/>
      <c r="LXU55" s="246"/>
      <c r="LXV55" s="247"/>
      <c r="LXW55" s="275"/>
      <c r="LXX55" s="275"/>
      <c r="LXY55" s="275"/>
      <c r="LXZ55" s="275"/>
      <c r="LYA55" s="275"/>
      <c r="LYB55" s="275"/>
      <c r="LYC55" s="137"/>
      <c r="LYD55" s="137"/>
      <c r="LYE55" s="135"/>
      <c r="LYF55" s="137"/>
      <c r="LYH55" s="250"/>
      <c r="LYI55" s="250"/>
      <c r="LYJ55" s="243"/>
      <c r="LYK55" s="276"/>
      <c r="LYL55" s="276"/>
      <c r="LYM55" s="276"/>
      <c r="LYN55" s="244"/>
      <c r="LYO55" s="244"/>
      <c r="LYP55" s="244"/>
      <c r="LYQ55" s="245"/>
      <c r="LYR55" s="245"/>
      <c r="LYS55" s="244"/>
      <c r="LYT55" s="246"/>
      <c r="LYU55" s="247"/>
      <c r="LYV55" s="275"/>
      <c r="LYW55" s="275"/>
      <c r="LYX55" s="275"/>
      <c r="LYY55" s="275"/>
      <c r="LYZ55" s="275"/>
      <c r="LZA55" s="275"/>
      <c r="LZB55" s="137"/>
      <c r="LZC55" s="137"/>
      <c r="LZD55" s="135"/>
      <c r="LZE55" s="137"/>
      <c r="LZG55" s="250"/>
      <c r="LZH55" s="250"/>
      <c r="LZI55" s="243"/>
      <c r="LZJ55" s="276"/>
      <c r="LZK55" s="276"/>
      <c r="LZL55" s="276"/>
      <c r="LZM55" s="244"/>
      <c r="LZN55" s="244"/>
      <c r="LZO55" s="244"/>
      <c r="LZP55" s="245"/>
      <c r="LZQ55" s="245"/>
      <c r="LZR55" s="244"/>
      <c r="LZS55" s="246"/>
      <c r="LZT55" s="247"/>
      <c r="LZU55" s="275"/>
      <c r="LZV55" s="275"/>
      <c r="LZW55" s="275"/>
      <c r="LZX55" s="275"/>
      <c r="LZY55" s="275"/>
      <c r="LZZ55" s="275"/>
      <c r="MAA55" s="137"/>
      <c r="MAB55" s="137"/>
      <c r="MAC55" s="135"/>
      <c r="MAD55" s="137"/>
      <c r="MAF55" s="250"/>
      <c r="MAG55" s="250"/>
      <c r="MAH55" s="243"/>
      <c r="MAI55" s="276"/>
      <c r="MAJ55" s="276"/>
      <c r="MAK55" s="276"/>
      <c r="MAL55" s="244"/>
      <c r="MAM55" s="244"/>
      <c r="MAN55" s="244"/>
      <c r="MAO55" s="245"/>
      <c r="MAP55" s="245"/>
      <c r="MAQ55" s="244"/>
      <c r="MAR55" s="246"/>
      <c r="MAS55" s="247"/>
      <c r="MAT55" s="275"/>
      <c r="MAU55" s="275"/>
      <c r="MAV55" s="275"/>
      <c r="MAW55" s="275"/>
      <c r="MAX55" s="275"/>
      <c r="MAY55" s="275"/>
      <c r="MAZ55" s="137"/>
      <c r="MBA55" s="137"/>
      <c r="MBB55" s="135"/>
      <c r="MBC55" s="137"/>
      <c r="MBE55" s="250"/>
      <c r="MBF55" s="250"/>
      <c r="MBG55" s="243"/>
      <c r="MBH55" s="276"/>
      <c r="MBI55" s="276"/>
      <c r="MBJ55" s="276"/>
      <c r="MBK55" s="244"/>
      <c r="MBL55" s="244"/>
      <c r="MBM55" s="244"/>
      <c r="MBN55" s="245"/>
      <c r="MBO55" s="245"/>
      <c r="MBP55" s="244"/>
      <c r="MBQ55" s="246"/>
      <c r="MBR55" s="247"/>
      <c r="MBS55" s="275"/>
      <c r="MBT55" s="275"/>
      <c r="MBU55" s="275"/>
      <c r="MBV55" s="275"/>
      <c r="MBW55" s="275"/>
      <c r="MBX55" s="275"/>
      <c r="MBY55" s="137"/>
      <c r="MBZ55" s="137"/>
      <c r="MCA55" s="135"/>
      <c r="MCB55" s="137"/>
      <c r="MCD55" s="250"/>
      <c r="MCE55" s="250"/>
      <c r="MCF55" s="243"/>
      <c r="MCG55" s="276"/>
      <c r="MCH55" s="276"/>
      <c r="MCI55" s="276"/>
      <c r="MCJ55" s="244"/>
      <c r="MCK55" s="244"/>
      <c r="MCL55" s="244"/>
      <c r="MCM55" s="245"/>
      <c r="MCN55" s="245"/>
      <c r="MCO55" s="244"/>
      <c r="MCP55" s="246"/>
      <c r="MCQ55" s="247"/>
      <c r="MCR55" s="275"/>
      <c r="MCS55" s="275"/>
      <c r="MCT55" s="275"/>
      <c r="MCU55" s="275"/>
      <c r="MCV55" s="275"/>
      <c r="MCW55" s="275"/>
      <c r="MCX55" s="137"/>
      <c r="MCY55" s="137"/>
      <c r="MCZ55" s="135"/>
      <c r="MDA55" s="137"/>
      <c r="MDC55" s="250"/>
      <c r="MDD55" s="250"/>
      <c r="MDE55" s="243"/>
      <c r="MDF55" s="276"/>
      <c r="MDG55" s="276"/>
      <c r="MDH55" s="276"/>
      <c r="MDI55" s="244"/>
      <c r="MDJ55" s="244"/>
      <c r="MDK55" s="244"/>
      <c r="MDL55" s="245"/>
      <c r="MDM55" s="245"/>
      <c r="MDN55" s="244"/>
      <c r="MDO55" s="246"/>
      <c r="MDP55" s="247"/>
      <c r="MDQ55" s="275"/>
      <c r="MDR55" s="275"/>
      <c r="MDS55" s="275"/>
      <c r="MDT55" s="275"/>
      <c r="MDU55" s="275"/>
      <c r="MDV55" s="275"/>
      <c r="MDW55" s="137"/>
      <c r="MDX55" s="137"/>
      <c r="MDY55" s="135"/>
      <c r="MDZ55" s="137"/>
      <c r="MEB55" s="250"/>
      <c r="MEC55" s="250"/>
      <c r="MED55" s="243"/>
      <c r="MEE55" s="276"/>
      <c r="MEF55" s="276"/>
      <c r="MEG55" s="276"/>
      <c r="MEH55" s="244"/>
      <c r="MEI55" s="244"/>
      <c r="MEJ55" s="244"/>
      <c r="MEK55" s="245"/>
      <c r="MEL55" s="245"/>
      <c r="MEM55" s="244"/>
      <c r="MEN55" s="246"/>
      <c r="MEO55" s="247"/>
      <c r="MEP55" s="275"/>
      <c r="MEQ55" s="275"/>
      <c r="MER55" s="275"/>
      <c r="MES55" s="275"/>
      <c r="MET55" s="275"/>
      <c r="MEU55" s="275"/>
      <c r="MEV55" s="137"/>
      <c r="MEW55" s="137"/>
      <c r="MEX55" s="135"/>
      <c r="MEY55" s="137"/>
      <c r="MFA55" s="250"/>
      <c r="MFB55" s="250"/>
      <c r="MFC55" s="243"/>
      <c r="MFD55" s="276"/>
      <c r="MFE55" s="276"/>
      <c r="MFF55" s="276"/>
      <c r="MFG55" s="244"/>
      <c r="MFH55" s="244"/>
      <c r="MFI55" s="244"/>
      <c r="MFJ55" s="245"/>
      <c r="MFK55" s="245"/>
      <c r="MFL55" s="244"/>
      <c r="MFM55" s="246"/>
      <c r="MFN55" s="247"/>
      <c r="MFO55" s="275"/>
      <c r="MFP55" s="275"/>
      <c r="MFQ55" s="275"/>
      <c r="MFR55" s="275"/>
      <c r="MFS55" s="275"/>
      <c r="MFT55" s="275"/>
      <c r="MFU55" s="137"/>
      <c r="MFV55" s="137"/>
      <c r="MFW55" s="135"/>
      <c r="MFX55" s="137"/>
      <c r="MFZ55" s="250"/>
      <c r="MGA55" s="250"/>
      <c r="MGB55" s="243"/>
      <c r="MGC55" s="276"/>
      <c r="MGD55" s="276"/>
      <c r="MGE55" s="276"/>
      <c r="MGF55" s="244"/>
      <c r="MGG55" s="244"/>
      <c r="MGH55" s="244"/>
      <c r="MGI55" s="245"/>
      <c r="MGJ55" s="245"/>
      <c r="MGK55" s="244"/>
      <c r="MGL55" s="246"/>
      <c r="MGM55" s="247"/>
      <c r="MGN55" s="275"/>
      <c r="MGO55" s="275"/>
      <c r="MGP55" s="275"/>
      <c r="MGQ55" s="275"/>
      <c r="MGR55" s="275"/>
      <c r="MGS55" s="275"/>
      <c r="MGT55" s="137"/>
      <c r="MGU55" s="137"/>
      <c r="MGV55" s="135"/>
      <c r="MGW55" s="137"/>
      <c r="MGY55" s="250"/>
      <c r="MGZ55" s="250"/>
      <c r="MHA55" s="243"/>
      <c r="MHB55" s="276"/>
      <c r="MHC55" s="276"/>
      <c r="MHD55" s="276"/>
      <c r="MHE55" s="244"/>
      <c r="MHF55" s="244"/>
      <c r="MHG55" s="244"/>
      <c r="MHH55" s="245"/>
      <c r="MHI55" s="245"/>
      <c r="MHJ55" s="244"/>
      <c r="MHK55" s="246"/>
      <c r="MHL55" s="247"/>
      <c r="MHM55" s="275"/>
      <c r="MHN55" s="275"/>
      <c r="MHO55" s="275"/>
      <c r="MHP55" s="275"/>
      <c r="MHQ55" s="275"/>
      <c r="MHR55" s="275"/>
      <c r="MHS55" s="137"/>
      <c r="MHT55" s="137"/>
      <c r="MHU55" s="135"/>
      <c r="MHV55" s="137"/>
      <c r="MHX55" s="250"/>
      <c r="MHY55" s="250"/>
      <c r="MHZ55" s="243"/>
      <c r="MIA55" s="276"/>
      <c r="MIB55" s="276"/>
      <c r="MIC55" s="276"/>
      <c r="MID55" s="244"/>
      <c r="MIE55" s="244"/>
      <c r="MIF55" s="244"/>
      <c r="MIG55" s="245"/>
      <c r="MIH55" s="245"/>
      <c r="MII55" s="244"/>
      <c r="MIJ55" s="246"/>
      <c r="MIK55" s="247"/>
      <c r="MIL55" s="275"/>
      <c r="MIM55" s="275"/>
      <c r="MIN55" s="275"/>
      <c r="MIO55" s="275"/>
      <c r="MIP55" s="275"/>
      <c r="MIQ55" s="275"/>
      <c r="MIR55" s="137"/>
      <c r="MIS55" s="137"/>
      <c r="MIT55" s="135"/>
      <c r="MIU55" s="137"/>
      <c r="MIW55" s="250"/>
      <c r="MIX55" s="250"/>
      <c r="MIY55" s="243"/>
      <c r="MIZ55" s="276"/>
      <c r="MJA55" s="276"/>
      <c r="MJB55" s="276"/>
      <c r="MJC55" s="244"/>
      <c r="MJD55" s="244"/>
      <c r="MJE55" s="244"/>
      <c r="MJF55" s="245"/>
      <c r="MJG55" s="245"/>
      <c r="MJH55" s="244"/>
      <c r="MJI55" s="246"/>
      <c r="MJJ55" s="247"/>
      <c r="MJK55" s="275"/>
      <c r="MJL55" s="275"/>
      <c r="MJM55" s="275"/>
      <c r="MJN55" s="275"/>
      <c r="MJO55" s="275"/>
      <c r="MJP55" s="275"/>
      <c r="MJQ55" s="137"/>
      <c r="MJR55" s="137"/>
      <c r="MJS55" s="135"/>
      <c r="MJT55" s="137"/>
      <c r="MJV55" s="250"/>
      <c r="MJW55" s="250"/>
      <c r="MJX55" s="243"/>
      <c r="MJY55" s="276"/>
      <c r="MJZ55" s="276"/>
      <c r="MKA55" s="276"/>
      <c r="MKB55" s="244"/>
      <c r="MKC55" s="244"/>
      <c r="MKD55" s="244"/>
      <c r="MKE55" s="245"/>
      <c r="MKF55" s="245"/>
      <c r="MKG55" s="244"/>
      <c r="MKH55" s="246"/>
      <c r="MKI55" s="247"/>
      <c r="MKJ55" s="275"/>
      <c r="MKK55" s="275"/>
      <c r="MKL55" s="275"/>
      <c r="MKM55" s="275"/>
      <c r="MKN55" s="275"/>
      <c r="MKO55" s="275"/>
      <c r="MKP55" s="137"/>
      <c r="MKQ55" s="137"/>
      <c r="MKR55" s="135"/>
      <c r="MKS55" s="137"/>
      <c r="MKU55" s="250"/>
      <c r="MKV55" s="250"/>
      <c r="MKW55" s="243"/>
      <c r="MKX55" s="276"/>
      <c r="MKY55" s="276"/>
      <c r="MKZ55" s="276"/>
      <c r="MLA55" s="244"/>
      <c r="MLB55" s="244"/>
      <c r="MLC55" s="244"/>
      <c r="MLD55" s="245"/>
      <c r="MLE55" s="245"/>
      <c r="MLF55" s="244"/>
      <c r="MLG55" s="246"/>
      <c r="MLH55" s="247"/>
      <c r="MLI55" s="275"/>
      <c r="MLJ55" s="275"/>
      <c r="MLK55" s="275"/>
      <c r="MLL55" s="275"/>
      <c r="MLM55" s="275"/>
      <c r="MLN55" s="275"/>
      <c r="MLO55" s="137"/>
      <c r="MLP55" s="137"/>
      <c r="MLQ55" s="135"/>
      <c r="MLR55" s="137"/>
      <c r="MLT55" s="250"/>
      <c r="MLU55" s="250"/>
      <c r="MLV55" s="243"/>
      <c r="MLW55" s="276"/>
      <c r="MLX55" s="276"/>
      <c r="MLY55" s="276"/>
      <c r="MLZ55" s="244"/>
      <c r="MMA55" s="244"/>
      <c r="MMB55" s="244"/>
      <c r="MMC55" s="245"/>
      <c r="MMD55" s="245"/>
      <c r="MME55" s="244"/>
      <c r="MMF55" s="246"/>
      <c r="MMG55" s="247"/>
      <c r="MMH55" s="275"/>
      <c r="MMI55" s="275"/>
      <c r="MMJ55" s="275"/>
      <c r="MMK55" s="275"/>
      <c r="MML55" s="275"/>
      <c r="MMM55" s="275"/>
      <c r="MMN55" s="137"/>
      <c r="MMO55" s="137"/>
      <c r="MMP55" s="135"/>
      <c r="MMQ55" s="137"/>
      <c r="MMS55" s="250"/>
      <c r="MMT55" s="250"/>
      <c r="MMU55" s="243"/>
      <c r="MMV55" s="276"/>
      <c r="MMW55" s="276"/>
      <c r="MMX55" s="276"/>
      <c r="MMY55" s="244"/>
      <c r="MMZ55" s="244"/>
      <c r="MNA55" s="244"/>
      <c r="MNB55" s="245"/>
      <c r="MNC55" s="245"/>
      <c r="MND55" s="244"/>
      <c r="MNE55" s="246"/>
      <c r="MNF55" s="247"/>
      <c r="MNG55" s="275"/>
      <c r="MNH55" s="275"/>
      <c r="MNI55" s="275"/>
      <c r="MNJ55" s="275"/>
      <c r="MNK55" s="275"/>
      <c r="MNL55" s="275"/>
      <c r="MNM55" s="137"/>
      <c r="MNN55" s="137"/>
      <c r="MNO55" s="135"/>
      <c r="MNP55" s="137"/>
      <c r="MNR55" s="250"/>
      <c r="MNS55" s="250"/>
      <c r="MNT55" s="243"/>
      <c r="MNU55" s="276"/>
      <c r="MNV55" s="276"/>
      <c r="MNW55" s="276"/>
      <c r="MNX55" s="244"/>
      <c r="MNY55" s="244"/>
      <c r="MNZ55" s="244"/>
      <c r="MOA55" s="245"/>
      <c r="MOB55" s="245"/>
      <c r="MOC55" s="244"/>
      <c r="MOD55" s="246"/>
      <c r="MOE55" s="247"/>
      <c r="MOF55" s="275"/>
      <c r="MOG55" s="275"/>
      <c r="MOH55" s="275"/>
      <c r="MOI55" s="275"/>
      <c r="MOJ55" s="275"/>
      <c r="MOK55" s="275"/>
      <c r="MOL55" s="137"/>
      <c r="MOM55" s="137"/>
      <c r="MON55" s="135"/>
      <c r="MOO55" s="137"/>
      <c r="MOQ55" s="250"/>
      <c r="MOR55" s="250"/>
      <c r="MOS55" s="243"/>
      <c r="MOT55" s="276"/>
      <c r="MOU55" s="276"/>
      <c r="MOV55" s="276"/>
      <c r="MOW55" s="244"/>
      <c r="MOX55" s="244"/>
      <c r="MOY55" s="244"/>
      <c r="MOZ55" s="245"/>
      <c r="MPA55" s="245"/>
      <c r="MPB55" s="244"/>
      <c r="MPC55" s="246"/>
      <c r="MPD55" s="247"/>
      <c r="MPE55" s="275"/>
      <c r="MPF55" s="275"/>
      <c r="MPG55" s="275"/>
      <c r="MPH55" s="275"/>
      <c r="MPI55" s="275"/>
      <c r="MPJ55" s="275"/>
      <c r="MPK55" s="137"/>
      <c r="MPL55" s="137"/>
      <c r="MPM55" s="135"/>
      <c r="MPN55" s="137"/>
      <c r="MPP55" s="250"/>
      <c r="MPQ55" s="250"/>
      <c r="MPR55" s="243"/>
      <c r="MPS55" s="276"/>
      <c r="MPT55" s="276"/>
      <c r="MPU55" s="276"/>
      <c r="MPV55" s="244"/>
      <c r="MPW55" s="244"/>
      <c r="MPX55" s="244"/>
      <c r="MPY55" s="245"/>
      <c r="MPZ55" s="245"/>
      <c r="MQA55" s="244"/>
      <c r="MQB55" s="246"/>
      <c r="MQC55" s="247"/>
      <c r="MQD55" s="275"/>
      <c r="MQE55" s="275"/>
      <c r="MQF55" s="275"/>
      <c r="MQG55" s="275"/>
      <c r="MQH55" s="275"/>
      <c r="MQI55" s="275"/>
      <c r="MQJ55" s="137"/>
      <c r="MQK55" s="137"/>
      <c r="MQL55" s="135"/>
      <c r="MQM55" s="137"/>
      <c r="MQO55" s="250"/>
      <c r="MQP55" s="250"/>
      <c r="MQQ55" s="243"/>
      <c r="MQR55" s="276"/>
      <c r="MQS55" s="276"/>
      <c r="MQT55" s="276"/>
      <c r="MQU55" s="244"/>
      <c r="MQV55" s="244"/>
      <c r="MQW55" s="244"/>
      <c r="MQX55" s="245"/>
      <c r="MQY55" s="245"/>
      <c r="MQZ55" s="244"/>
      <c r="MRA55" s="246"/>
      <c r="MRB55" s="247"/>
      <c r="MRC55" s="275"/>
      <c r="MRD55" s="275"/>
      <c r="MRE55" s="275"/>
      <c r="MRF55" s="275"/>
      <c r="MRG55" s="275"/>
      <c r="MRH55" s="275"/>
      <c r="MRI55" s="137"/>
      <c r="MRJ55" s="137"/>
      <c r="MRK55" s="135"/>
      <c r="MRL55" s="137"/>
      <c r="MRN55" s="250"/>
      <c r="MRO55" s="250"/>
      <c r="MRP55" s="243"/>
      <c r="MRQ55" s="276"/>
      <c r="MRR55" s="276"/>
      <c r="MRS55" s="276"/>
      <c r="MRT55" s="244"/>
      <c r="MRU55" s="244"/>
      <c r="MRV55" s="244"/>
      <c r="MRW55" s="245"/>
      <c r="MRX55" s="245"/>
      <c r="MRY55" s="244"/>
      <c r="MRZ55" s="246"/>
      <c r="MSA55" s="247"/>
      <c r="MSB55" s="275"/>
      <c r="MSC55" s="275"/>
      <c r="MSD55" s="275"/>
      <c r="MSE55" s="275"/>
      <c r="MSF55" s="275"/>
      <c r="MSG55" s="275"/>
      <c r="MSH55" s="137"/>
      <c r="MSI55" s="137"/>
      <c r="MSJ55" s="135"/>
      <c r="MSK55" s="137"/>
      <c r="MSM55" s="250"/>
      <c r="MSN55" s="250"/>
      <c r="MSO55" s="243"/>
      <c r="MSP55" s="276"/>
      <c r="MSQ55" s="276"/>
      <c r="MSR55" s="276"/>
      <c r="MSS55" s="244"/>
      <c r="MST55" s="244"/>
      <c r="MSU55" s="244"/>
      <c r="MSV55" s="245"/>
      <c r="MSW55" s="245"/>
      <c r="MSX55" s="244"/>
      <c r="MSY55" s="246"/>
      <c r="MSZ55" s="247"/>
      <c r="MTA55" s="275"/>
      <c r="MTB55" s="275"/>
      <c r="MTC55" s="275"/>
      <c r="MTD55" s="275"/>
      <c r="MTE55" s="275"/>
      <c r="MTF55" s="275"/>
      <c r="MTG55" s="137"/>
      <c r="MTH55" s="137"/>
      <c r="MTI55" s="135"/>
      <c r="MTJ55" s="137"/>
      <c r="MTL55" s="250"/>
      <c r="MTM55" s="250"/>
      <c r="MTN55" s="243"/>
      <c r="MTO55" s="276"/>
      <c r="MTP55" s="276"/>
      <c r="MTQ55" s="276"/>
      <c r="MTR55" s="244"/>
      <c r="MTS55" s="244"/>
      <c r="MTT55" s="244"/>
      <c r="MTU55" s="245"/>
      <c r="MTV55" s="245"/>
      <c r="MTW55" s="244"/>
      <c r="MTX55" s="246"/>
      <c r="MTY55" s="247"/>
      <c r="MTZ55" s="275"/>
      <c r="MUA55" s="275"/>
      <c r="MUB55" s="275"/>
      <c r="MUC55" s="275"/>
      <c r="MUD55" s="275"/>
      <c r="MUE55" s="275"/>
      <c r="MUF55" s="137"/>
      <c r="MUG55" s="137"/>
      <c r="MUH55" s="135"/>
      <c r="MUI55" s="137"/>
      <c r="MUK55" s="250"/>
      <c r="MUL55" s="250"/>
      <c r="MUM55" s="243"/>
      <c r="MUN55" s="276"/>
      <c r="MUO55" s="276"/>
      <c r="MUP55" s="276"/>
      <c r="MUQ55" s="244"/>
      <c r="MUR55" s="244"/>
      <c r="MUS55" s="244"/>
      <c r="MUT55" s="245"/>
      <c r="MUU55" s="245"/>
      <c r="MUV55" s="244"/>
      <c r="MUW55" s="246"/>
      <c r="MUX55" s="247"/>
      <c r="MUY55" s="275"/>
      <c r="MUZ55" s="275"/>
      <c r="MVA55" s="275"/>
      <c r="MVB55" s="275"/>
      <c r="MVC55" s="275"/>
      <c r="MVD55" s="275"/>
      <c r="MVE55" s="137"/>
      <c r="MVF55" s="137"/>
      <c r="MVG55" s="135"/>
      <c r="MVH55" s="137"/>
      <c r="MVJ55" s="250"/>
      <c r="MVK55" s="250"/>
      <c r="MVL55" s="243"/>
      <c r="MVM55" s="276"/>
      <c r="MVN55" s="276"/>
      <c r="MVO55" s="276"/>
      <c r="MVP55" s="244"/>
      <c r="MVQ55" s="244"/>
      <c r="MVR55" s="244"/>
      <c r="MVS55" s="245"/>
      <c r="MVT55" s="245"/>
      <c r="MVU55" s="244"/>
      <c r="MVV55" s="246"/>
      <c r="MVW55" s="247"/>
      <c r="MVX55" s="275"/>
      <c r="MVY55" s="275"/>
      <c r="MVZ55" s="275"/>
      <c r="MWA55" s="275"/>
      <c r="MWB55" s="275"/>
      <c r="MWC55" s="275"/>
      <c r="MWD55" s="137"/>
      <c r="MWE55" s="137"/>
      <c r="MWF55" s="135"/>
      <c r="MWG55" s="137"/>
      <c r="MWI55" s="250"/>
      <c r="MWJ55" s="250"/>
      <c r="MWK55" s="243"/>
      <c r="MWL55" s="276"/>
      <c r="MWM55" s="276"/>
      <c r="MWN55" s="276"/>
      <c r="MWO55" s="244"/>
      <c r="MWP55" s="244"/>
      <c r="MWQ55" s="244"/>
      <c r="MWR55" s="245"/>
      <c r="MWS55" s="245"/>
      <c r="MWT55" s="244"/>
      <c r="MWU55" s="246"/>
      <c r="MWV55" s="247"/>
      <c r="MWW55" s="275"/>
      <c r="MWX55" s="275"/>
      <c r="MWY55" s="275"/>
      <c r="MWZ55" s="275"/>
      <c r="MXA55" s="275"/>
      <c r="MXB55" s="275"/>
      <c r="MXC55" s="137"/>
      <c r="MXD55" s="137"/>
      <c r="MXE55" s="135"/>
      <c r="MXF55" s="137"/>
      <c r="MXH55" s="250"/>
      <c r="MXI55" s="250"/>
      <c r="MXJ55" s="243"/>
      <c r="MXK55" s="276"/>
      <c r="MXL55" s="276"/>
      <c r="MXM55" s="276"/>
      <c r="MXN55" s="244"/>
      <c r="MXO55" s="244"/>
      <c r="MXP55" s="244"/>
      <c r="MXQ55" s="245"/>
      <c r="MXR55" s="245"/>
      <c r="MXS55" s="244"/>
      <c r="MXT55" s="246"/>
      <c r="MXU55" s="247"/>
      <c r="MXV55" s="275"/>
      <c r="MXW55" s="275"/>
      <c r="MXX55" s="275"/>
      <c r="MXY55" s="275"/>
      <c r="MXZ55" s="275"/>
      <c r="MYA55" s="275"/>
      <c r="MYB55" s="137"/>
      <c r="MYC55" s="137"/>
      <c r="MYD55" s="135"/>
      <c r="MYE55" s="137"/>
      <c r="MYG55" s="250"/>
      <c r="MYH55" s="250"/>
      <c r="MYI55" s="243"/>
      <c r="MYJ55" s="276"/>
      <c r="MYK55" s="276"/>
      <c r="MYL55" s="276"/>
      <c r="MYM55" s="244"/>
      <c r="MYN55" s="244"/>
      <c r="MYO55" s="244"/>
      <c r="MYP55" s="245"/>
      <c r="MYQ55" s="245"/>
      <c r="MYR55" s="244"/>
      <c r="MYS55" s="246"/>
      <c r="MYT55" s="247"/>
      <c r="MYU55" s="275"/>
      <c r="MYV55" s="275"/>
      <c r="MYW55" s="275"/>
      <c r="MYX55" s="275"/>
      <c r="MYY55" s="275"/>
      <c r="MYZ55" s="275"/>
      <c r="MZA55" s="137"/>
      <c r="MZB55" s="137"/>
      <c r="MZC55" s="135"/>
      <c r="MZD55" s="137"/>
      <c r="MZF55" s="250"/>
      <c r="MZG55" s="250"/>
      <c r="MZH55" s="243"/>
      <c r="MZI55" s="276"/>
      <c r="MZJ55" s="276"/>
      <c r="MZK55" s="276"/>
      <c r="MZL55" s="244"/>
      <c r="MZM55" s="244"/>
      <c r="MZN55" s="244"/>
      <c r="MZO55" s="245"/>
      <c r="MZP55" s="245"/>
      <c r="MZQ55" s="244"/>
      <c r="MZR55" s="246"/>
      <c r="MZS55" s="247"/>
      <c r="MZT55" s="275"/>
      <c r="MZU55" s="275"/>
      <c r="MZV55" s="275"/>
      <c r="MZW55" s="275"/>
      <c r="MZX55" s="275"/>
      <c r="MZY55" s="275"/>
      <c r="MZZ55" s="137"/>
      <c r="NAA55" s="137"/>
      <c r="NAB55" s="135"/>
      <c r="NAC55" s="137"/>
      <c r="NAE55" s="250"/>
      <c r="NAF55" s="250"/>
      <c r="NAG55" s="243"/>
      <c r="NAH55" s="276"/>
      <c r="NAI55" s="276"/>
      <c r="NAJ55" s="276"/>
      <c r="NAK55" s="244"/>
      <c r="NAL55" s="244"/>
      <c r="NAM55" s="244"/>
      <c r="NAN55" s="245"/>
      <c r="NAO55" s="245"/>
      <c r="NAP55" s="244"/>
      <c r="NAQ55" s="246"/>
      <c r="NAR55" s="247"/>
      <c r="NAS55" s="275"/>
      <c r="NAT55" s="275"/>
      <c r="NAU55" s="275"/>
      <c r="NAV55" s="275"/>
      <c r="NAW55" s="275"/>
      <c r="NAX55" s="275"/>
      <c r="NAY55" s="137"/>
      <c r="NAZ55" s="137"/>
      <c r="NBA55" s="135"/>
      <c r="NBB55" s="137"/>
      <c r="NBD55" s="250"/>
      <c r="NBE55" s="250"/>
      <c r="NBF55" s="243"/>
      <c r="NBG55" s="276"/>
      <c r="NBH55" s="276"/>
      <c r="NBI55" s="276"/>
      <c r="NBJ55" s="244"/>
      <c r="NBK55" s="244"/>
      <c r="NBL55" s="244"/>
      <c r="NBM55" s="245"/>
      <c r="NBN55" s="245"/>
      <c r="NBO55" s="244"/>
      <c r="NBP55" s="246"/>
      <c r="NBQ55" s="247"/>
      <c r="NBR55" s="275"/>
      <c r="NBS55" s="275"/>
      <c r="NBT55" s="275"/>
      <c r="NBU55" s="275"/>
      <c r="NBV55" s="275"/>
      <c r="NBW55" s="275"/>
      <c r="NBX55" s="137"/>
      <c r="NBY55" s="137"/>
      <c r="NBZ55" s="135"/>
      <c r="NCA55" s="137"/>
      <c r="NCC55" s="250"/>
      <c r="NCD55" s="250"/>
      <c r="NCE55" s="243"/>
      <c r="NCF55" s="276"/>
      <c r="NCG55" s="276"/>
      <c r="NCH55" s="276"/>
      <c r="NCI55" s="244"/>
      <c r="NCJ55" s="244"/>
      <c r="NCK55" s="244"/>
      <c r="NCL55" s="245"/>
      <c r="NCM55" s="245"/>
      <c r="NCN55" s="244"/>
      <c r="NCO55" s="246"/>
      <c r="NCP55" s="247"/>
      <c r="NCQ55" s="275"/>
      <c r="NCR55" s="275"/>
      <c r="NCS55" s="275"/>
      <c r="NCT55" s="275"/>
      <c r="NCU55" s="275"/>
      <c r="NCV55" s="275"/>
      <c r="NCW55" s="137"/>
      <c r="NCX55" s="137"/>
      <c r="NCY55" s="135"/>
      <c r="NCZ55" s="137"/>
      <c r="NDB55" s="250"/>
      <c r="NDC55" s="250"/>
      <c r="NDD55" s="243"/>
      <c r="NDE55" s="276"/>
      <c r="NDF55" s="276"/>
      <c r="NDG55" s="276"/>
      <c r="NDH55" s="244"/>
      <c r="NDI55" s="244"/>
      <c r="NDJ55" s="244"/>
      <c r="NDK55" s="245"/>
      <c r="NDL55" s="245"/>
      <c r="NDM55" s="244"/>
      <c r="NDN55" s="246"/>
      <c r="NDO55" s="247"/>
      <c r="NDP55" s="275"/>
      <c r="NDQ55" s="275"/>
      <c r="NDR55" s="275"/>
      <c r="NDS55" s="275"/>
      <c r="NDT55" s="275"/>
      <c r="NDU55" s="275"/>
      <c r="NDV55" s="137"/>
      <c r="NDW55" s="137"/>
      <c r="NDX55" s="135"/>
      <c r="NDY55" s="137"/>
      <c r="NEA55" s="250"/>
      <c r="NEB55" s="250"/>
      <c r="NEC55" s="243"/>
      <c r="NED55" s="276"/>
      <c r="NEE55" s="276"/>
      <c r="NEF55" s="276"/>
      <c r="NEG55" s="244"/>
      <c r="NEH55" s="244"/>
      <c r="NEI55" s="244"/>
      <c r="NEJ55" s="245"/>
      <c r="NEK55" s="245"/>
      <c r="NEL55" s="244"/>
      <c r="NEM55" s="246"/>
      <c r="NEN55" s="247"/>
      <c r="NEO55" s="275"/>
      <c r="NEP55" s="275"/>
      <c r="NEQ55" s="275"/>
      <c r="NER55" s="275"/>
      <c r="NES55" s="275"/>
      <c r="NET55" s="275"/>
      <c r="NEU55" s="137"/>
      <c r="NEV55" s="137"/>
      <c r="NEW55" s="135"/>
      <c r="NEX55" s="137"/>
      <c r="NEZ55" s="250"/>
      <c r="NFA55" s="250"/>
      <c r="NFB55" s="243"/>
      <c r="NFC55" s="276"/>
      <c r="NFD55" s="276"/>
      <c r="NFE55" s="276"/>
      <c r="NFF55" s="244"/>
      <c r="NFG55" s="244"/>
      <c r="NFH55" s="244"/>
      <c r="NFI55" s="245"/>
      <c r="NFJ55" s="245"/>
      <c r="NFK55" s="244"/>
      <c r="NFL55" s="246"/>
      <c r="NFM55" s="247"/>
      <c r="NFN55" s="275"/>
      <c r="NFO55" s="275"/>
      <c r="NFP55" s="275"/>
      <c r="NFQ55" s="275"/>
      <c r="NFR55" s="275"/>
      <c r="NFS55" s="275"/>
      <c r="NFT55" s="137"/>
      <c r="NFU55" s="137"/>
      <c r="NFV55" s="135"/>
      <c r="NFW55" s="137"/>
      <c r="NFY55" s="250"/>
      <c r="NFZ55" s="250"/>
      <c r="NGA55" s="243"/>
      <c r="NGB55" s="276"/>
      <c r="NGC55" s="276"/>
      <c r="NGD55" s="276"/>
      <c r="NGE55" s="244"/>
      <c r="NGF55" s="244"/>
      <c r="NGG55" s="244"/>
      <c r="NGH55" s="245"/>
      <c r="NGI55" s="245"/>
      <c r="NGJ55" s="244"/>
      <c r="NGK55" s="246"/>
      <c r="NGL55" s="247"/>
      <c r="NGM55" s="275"/>
      <c r="NGN55" s="275"/>
      <c r="NGO55" s="275"/>
      <c r="NGP55" s="275"/>
      <c r="NGQ55" s="275"/>
      <c r="NGR55" s="275"/>
      <c r="NGS55" s="137"/>
      <c r="NGT55" s="137"/>
      <c r="NGU55" s="135"/>
      <c r="NGV55" s="137"/>
      <c r="NGX55" s="250"/>
      <c r="NGY55" s="250"/>
      <c r="NGZ55" s="243"/>
      <c r="NHA55" s="276"/>
      <c r="NHB55" s="276"/>
      <c r="NHC55" s="276"/>
      <c r="NHD55" s="244"/>
      <c r="NHE55" s="244"/>
      <c r="NHF55" s="244"/>
      <c r="NHG55" s="245"/>
      <c r="NHH55" s="245"/>
      <c r="NHI55" s="244"/>
      <c r="NHJ55" s="246"/>
      <c r="NHK55" s="247"/>
      <c r="NHL55" s="275"/>
      <c r="NHM55" s="275"/>
      <c r="NHN55" s="275"/>
      <c r="NHO55" s="275"/>
      <c r="NHP55" s="275"/>
      <c r="NHQ55" s="275"/>
      <c r="NHR55" s="137"/>
      <c r="NHS55" s="137"/>
      <c r="NHT55" s="135"/>
      <c r="NHU55" s="137"/>
      <c r="NHW55" s="250"/>
      <c r="NHX55" s="250"/>
      <c r="NHY55" s="243"/>
      <c r="NHZ55" s="276"/>
      <c r="NIA55" s="276"/>
      <c r="NIB55" s="276"/>
      <c r="NIC55" s="244"/>
      <c r="NID55" s="244"/>
      <c r="NIE55" s="244"/>
      <c r="NIF55" s="245"/>
      <c r="NIG55" s="245"/>
      <c r="NIH55" s="244"/>
      <c r="NII55" s="246"/>
      <c r="NIJ55" s="247"/>
      <c r="NIK55" s="275"/>
      <c r="NIL55" s="275"/>
      <c r="NIM55" s="275"/>
      <c r="NIN55" s="275"/>
      <c r="NIO55" s="275"/>
      <c r="NIP55" s="275"/>
      <c r="NIQ55" s="137"/>
      <c r="NIR55" s="137"/>
      <c r="NIS55" s="135"/>
      <c r="NIT55" s="137"/>
      <c r="NIV55" s="250"/>
      <c r="NIW55" s="250"/>
      <c r="NIX55" s="243"/>
      <c r="NIY55" s="276"/>
      <c r="NIZ55" s="276"/>
      <c r="NJA55" s="276"/>
      <c r="NJB55" s="244"/>
      <c r="NJC55" s="244"/>
      <c r="NJD55" s="244"/>
      <c r="NJE55" s="245"/>
      <c r="NJF55" s="245"/>
      <c r="NJG55" s="244"/>
      <c r="NJH55" s="246"/>
      <c r="NJI55" s="247"/>
      <c r="NJJ55" s="275"/>
      <c r="NJK55" s="275"/>
      <c r="NJL55" s="275"/>
      <c r="NJM55" s="275"/>
      <c r="NJN55" s="275"/>
      <c r="NJO55" s="275"/>
      <c r="NJP55" s="137"/>
      <c r="NJQ55" s="137"/>
      <c r="NJR55" s="135"/>
      <c r="NJS55" s="137"/>
      <c r="NJU55" s="250"/>
      <c r="NJV55" s="250"/>
      <c r="NJW55" s="243"/>
      <c r="NJX55" s="276"/>
      <c r="NJY55" s="276"/>
      <c r="NJZ55" s="276"/>
      <c r="NKA55" s="244"/>
      <c r="NKB55" s="244"/>
      <c r="NKC55" s="244"/>
      <c r="NKD55" s="245"/>
      <c r="NKE55" s="245"/>
      <c r="NKF55" s="244"/>
      <c r="NKG55" s="246"/>
      <c r="NKH55" s="247"/>
      <c r="NKI55" s="275"/>
      <c r="NKJ55" s="275"/>
      <c r="NKK55" s="275"/>
      <c r="NKL55" s="275"/>
      <c r="NKM55" s="275"/>
      <c r="NKN55" s="275"/>
      <c r="NKO55" s="137"/>
      <c r="NKP55" s="137"/>
      <c r="NKQ55" s="135"/>
      <c r="NKR55" s="137"/>
      <c r="NKT55" s="250"/>
      <c r="NKU55" s="250"/>
      <c r="NKV55" s="243"/>
      <c r="NKW55" s="276"/>
      <c r="NKX55" s="276"/>
      <c r="NKY55" s="276"/>
      <c r="NKZ55" s="244"/>
      <c r="NLA55" s="244"/>
      <c r="NLB55" s="244"/>
      <c r="NLC55" s="245"/>
      <c r="NLD55" s="245"/>
      <c r="NLE55" s="244"/>
      <c r="NLF55" s="246"/>
      <c r="NLG55" s="247"/>
      <c r="NLH55" s="275"/>
      <c r="NLI55" s="275"/>
      <c r="NLJ55" s="275"/>
      <c r="NLK55" s="275"/>
      <c r="NLL55" s="275"/>
      <c r="NLM55" s="275"/>
      <c r="NLN55" s="137"/>
      <c r="NLO55" s="137"/>
      <c r="NLP55" s="135"/>
      <c r="NLQ55" s="137"/>
      <c r="NLS55" s="250"/>
      <c r="NLT55" s="250"/>
      <c r="NLU55" s="243"/>
      <c r="NLV55" s="276"/>
      <c r="NLW55" s="276"/>
      <c r="NLX55" s="276"/>
      <c r="NLY55" s="244"/>
      <c r="NLZ55" s="244"/>
      <c r="NMA55" s="244"/>
      <c r="NMB55" s="245"/>
      <c r="NMC55" s="245"/>
      <c r="NMD55" s="244"/>
      <c r="NME55" s="246"/>
      <c r="NMF55" s="247"/>
      <c r="NMG55" s="275"/>
      <c r="NMH55" s="275"/>
      <c r="NMI55" s="275"/>
      <c r="NMJ55" s="275"/>
      <c r="NMK55" s="275"/>
      <c r="NML55" s="275"/>
      <c r="NMM55" s="137"/>
      <c r="NMN55" s="137"/>
      <c r="NMO55" s="135"/>
      <c r="NMP55" s="137"/>
      <c r="NMR55" s="250"/>
      <c r="NMS55" s="250"/>
      <c r="NMT55" s="243"/>
      <c r="NMU55" s="276"/>
      <c r="NMV55" s="276"/>
      <c r="NMW55" s="276"/>
      <c r="NMX55" s="244"/>
      <c r="NMY55" s="244"/>
      <c r="NMZ55" s="244"/>
      <c r="NNA55" s="245"/>
      <c r="NNB55" s="245"/>
      <c r="NNC55" s="244"/>
      <c r="NND55" s="246"/>
      <c r="NNE55" s="247"/>
      <c r="NNF55" s="275"/>
      <c r="NNG55" s="275"/>
      <c r="NNH55" s="275"/>
      <c r="NNI55" s="275"/>
      <c r="NNJ55" s="275"/>
      <c r="NNK55" s="275"/>
      <c r="NNL55" s="137"/>
      <c r="NNM55" s="137"/>
      <c r="NNN55" s="135"/>
      <c r="NNO55" s="137"/>
      <c r="NNQ55" s="250"/>
      <c r="NNR55" s="250"/>
      <c r="NNS55" s="243"/>
      <c r="NNT55" s="276"/>
      <c r="NNU55" s="276"/>
      <c r="NNV55" s="276"/>
      <c r="NNW55" s="244"/>
      <c r="NNX55" s="244"/>
      <c r="NNY55" s="244"/>
      <c r="NNZ55" s="245"/>
      <c r="NOA55" s="245"/>
      <c r="NOB55" s="244"/>
      <c r="NOC55" s="246"/>
      <c r="NOD55" s="247"/>
      <c r="NOE55" s="275"/>
      <c r="NOF55" s="275"/>
      <c r="NOG55" s="275"/>
      <c r="NOH55" s="275"/>
      <c r="NOI55" s="275"/>
      <c r="NOJ55" s="275"/>
      <c r="NOK55" s="137"/>
      <c r="NOL55" s="137"/>
      <c r="NOM55" s="135"/>
      <c r="NON55" s="137"/>
      <c r="NOP55" s="250"/>
      <c r="NOQ55" s="250"/>
      <c r="NOR55" s="243"/>
      <c r="NOS55" s="276"/>
      <c r="NOT55" s="276"/>
      <c r="NOU55" s="276"/>
      <c r="NOV55" s="244"/>
      <c r="NOW55" s="244"/>
      <c r="NOX55" s="244"/>
      <c r="NOY55" s="245"/>
      <c r="NOZ55" s="245"/>
      <c r="NPA55" s="244"/>
      <c r="NPB55" s="246"/>
      <c r="NPC55" s="247"/>
      <c r="NPD55" s="275"/>
      <c r="NPE55" s="275"/>
      <c r="NPF55" s="275"/>
      <c r="NPG55" s="275"/>
      <c r="NPH55" s="275"/>
      <c r="NPI55" s="275"/>
      <c r="NPJ55" s="137"/>
      <c r="NPK55" s="137"/>
      <c r="NPL55" s="135"/>
      <c r="NPM55" s="137"/>
      <c r="NPO55" s="250"/>
      <c r="NPP55" s="250"/>
      <c r="NPQ55" s="243"/>
      <c r="NPR55" s="276"/>
      <c r="NPS55" s="276"/>
      <c r="NPT55" s="276"/>
      <c r="NPU55" s="244"/>
      <c r="NPV55" s="244"/>
      <c r="NPW55" s="244"/>
      <c r="NPX55" s="245"/>
      <c r="NPY55" s="245"/>
      <c r="NPZ55" s="244"/>
      <c r="NQA55" s="246"/>
      <c r="NQB55" s="247"/>
      <c r="NQC55" s="275"/>
      <c r="NQD55" s="275"/>
      <c r="NQE55" s="275"/>
      <c r="NQF55" s="275"/>
      <c r="NQG55" s="275"/>
      <c r="NQH55" s="275"/>
      <c r="NQI55" s="137"/>
      <c r="NQJ55" s="137"/>
      <c r="NQK55" s="135"/>
      <c r="NQL55" s="137"/>
      <c r="NQN55" s="250"/>
      <c r="NQO55" s="250"/>
      <c r="NQP55" s="243"/>
      <c r="NQQ55" s="276"/>
      <c r="NQR55" s="276"/>
      <c r="NQS55" s="276"/>
      <c r="NQT55" s="244"/>
      <c r="NQU55" s="244"/>
      <c r="NQV55" s="244"/>
      <c r="NQW55" s="245"/>
      <c r="NQX55" s="245"/>
      <c r="NQY55" s="244"/>
      <c r="NQZ55" s="246"/>
      <c r="NRA55" s="247"/>
      <c r="NRB55" s="275"/>
      <c r="NRC55" s="275"/>
      <c r="NRD55" s="275"/>
      <c r="NRE55" s="275"/>
      <c r="NRF55" s="275"/>
      <c r="NRG55" s="275"/>
      <c r="NRH55" s="137"/>
      <c r="NRI55" s="137"/>
      <c r="NRJ55" s="135"/>
      <c r="NRK55" s="137"/>
      <c r="NRM55" s="250"/>
      <c r="NRN55" s="250"/>
      <c r="NRO55" s="243"/>
      <c r="NRP55" s="276"/>
      <c r="NRQ55" s="276"/>
      <c r="NRR55" s="276"/>
      <c r="NRS55" s="244"/>
      <c r="NRT55" s="244"/>
      <c r="NRU55" s="244"/>
      <c r="NRV55" s="245"/>
      <c r="NRW55" s="245"/>
      <c r="NRX55" s="244"/>
      <c r="NRY55" s="246"/>
      <c r="NRZ55" s="247"/>
      <c r="NSA55" s="275"/>
      <c r="NSB55" s="275"/>
      <c r="NSC55" s="275"/>
      <c r="NSD55" s="275"/>
      <c r="NSE55" s="275"/>
      <c r="NSF55" s="275"/>
      <c r="NSG55" s="137"/>
      <c r="NSH55" s="137"/>
      <c r="NSI55" s="135"/>
      <c r="NSJ55" s="137"/>
      <c r="NSL55" s="250"/>
      <c r="NSM55" s="250"/>
      <c r="NSN55" s="243"/>
      <c r="NSO55" s="276"/>
      <c r="NSP55" s="276"/>
      <c r="NSQ55" s="276"/>
      <c r="NSR55" s="244"/>
      <c r="NSS55" s="244"/>
      <c r="NST55" s="244"/>
      <c r="NSU55" s="245"/>
      <c r="NSV55" s="245"/>
      <c r="NSW55" s="244"/>
      <c r="NSX55" s="246"/>
      <c r="NSY55" s="247"/>
      <c r="NSZ55" s="275"/>
      <c r="NTA55" s="275"/>
      <c r="NTB55" s="275"/>
      <c r="NTC55" s="275"/>
      <c r="NTD55" s="275"/>
      <c r="NTE55" s="275"/>
      <c r="NTF55" s="137"/>
      <c r="NTG55" s="137"/>
      <c r="NTH55" s="135"/>
      <c r="NTI55" s="137"/>
      <c r="NTK55" s="250"/>
      <c r="NTL55" s="250"/>
      <c r="NTM55" s="243"/>
      <c r="NTN55" s="276"/>
      <c r="NTO55" s="276"/>
      <c r="NTP55" s="276"/>
      <c r="NTQ55" s="244"/>
      <c r="NTR55" s="244"/>
      <c r="NTS55" s="244"/>
      <c r="NTT55" s="245"/>
      <c r="NTU55" s="245"/>
      <c r="NTV55" s="244"/>
      <c r="NTW55" s="246"/>
      <c r="NTX55" s="247"/>
      <c r="NTY55" s="275"/>
      <c r="NTZ55" s="275"/>
      <c r="NUA55" s="275"/>
      <c r="NUB55" s="275"/>
      <c r="NUC55" s="275"/>
      <c r="NUD55" s="275"/>
      <c r="NUE55" s="137"/>
      <c r="NUF55" s="137"/>
      <c r="NUG55" s="135"/>
      <c r="NUH55" s="137"/>
      <c r="NUJ55" s="250"/>
      <c r="NUK55" s="250"/>
      <c r="NUL55" s="243"/>
      <c r="NUM55" s="276"/>
      <c r="NUN55" s="276"/>
      <c r="NUO55" s="276"/>
      <c r="NUP55" s="244"/>
      <c r="NUQ55" s="244"/>
      <c r="NUR55" s="244"/>
      <c r="NUS55" s="245"/>
      <c r="NUT55" s="245"/>
      <c r="NUU55" s="244"/>
      <c r="NUV55" s="246"/>
      <c r="NUW55" s="247"/>
      <c r="NUX55" s="275"/>
      <c r="NUY55" s="275"/>
      <c r="NUZ55" s="275"/>
      <c r="NVA55" s="275"/>
      <c r="NVB55" s="275"/>
      <c r="NVC55" s="275"/>
      <c r="NVD55" s="137"/>
      <c r="NVE55" s="137"/>
      <c r="NVF55" s="135"/>
      <c r="NVG55" s="137"/>
      <c r="NVI55" s="250"/>
      <c r="NVJ55" s="250"/>
      <c r="NVK55" s="243"/>
      <c r="NVL55" s="276"/>
      <c r="NVM55" s="276"/>
      <c r="NVN55" s="276"/>
      <c r="NVO55" s="244"/>
      <c r="NVP55" s="244"/>
      <c r="NVQ55" s="244"/>
      <c r="NVR55" s="245"/>
      <c r="NVS55" s="245"/>
      <c r="NVT55" s="244"/>
      <c r="NVU55" s="246"/>
      <c r="NVV55" s="247"/>
      <c r="NVW55" s="275"/>
      <c r="NVX55" s="275"/>
      <c r="NVY55" s="275"/>
      <c r="NVZ55" s="275"/>
      <c r="NWA55" s="275"/>
      <c r="NWB55" s="275"/>
      <c r="NWC55" s="137"/>
      <c r="NWD55" s="137"/>
      <c r="NWE55" s="135"/>
      <c r="NWF55" s="137"/>
      <c r="NWH55" s="250"/>
      <c r="NWI55" s="250"/>
      <c r="NWJ55" s="243"/>
      <c r="NWK55" s="276"/>
      <c r="NWL55" s="276"/>
      <c r="NWM55" s="276"/>
      <c r="NWN55" s="244"/>
      <c r="NWO55" s="244"/>
      <c r="NWP55" s="244"/>
      <c r="NWQ55" s="245"/>
      <c r="NWR55" s="245"/>
      <c r="NWS55" s="244"/>
      <c r="NWT55" s="246"/>
      <c r="NWU55" s="247"/>
      <c r="NWV55" s="275"/>
      <c r="NWW55" s="275"/>
      <c r="NWX55" s="275"/>
      <c r="NWY55" s="275"/>
      <c r="NWZ55" s="275"/>
      <c r="NXA55" s="275"/>
      <c r="NXB55" s="137"/>
      <c r="NXC55" s="137"/>
      <c r="NXD55" s="135"/>
      <c r="NXE55" s="137"/>
      <c r="NXG55" s="250"/>
      <c r="NXH55" s="250"/>
      <c r="NXI55" s="243"/>
      <c r="NXJ55" s="276"/>
      <c r="NXK55" s="276"/>
      <c r="NXL55" s="276"/>
      <c r="NXM55" s="244"/>
      <c r="NXN55" s="244"/>
      <c r="NXO55" s="244"/>
      <c r="NXP55" s="245"/>
      <c r="NXQ55" s="245"/>
      <c r="NXR55" s="244"/>
      <c r="NXS55" s="246"/>
      <c r="NXT55" s="247"/>
      <c r="NXU55" s="275"/>
      <c r="NXV55" s="275"/>
      <c r="NXW55" s="275"/>
      <c r="NXX55" s="275"/>
      <c r="NXY55" s="275"/>
      <c r="NXZ55" s="275"/>
      <c r="NYA55" s="137"/>
      <c r="NYB55" s="137"/>
      <c r="NYC55" s="135"/>
      <c r="NYD55" s="137"/>
      <c r="NYF55" s="250"/>
      <c r="NYG55" s="250"/>
      <c r="NYH55" s="243"/>
      <c r="NYI55" s="276"/>
      <c r="NYJ55" s="276"/>
      <c r="NYK55" s="276"/>
      <c r="NYL55" s="244"/>
      <c r="NYM55" s="244"/>
      <c r="NYN55" s="244"/>
      <c r="NYO55" s="245"/>
      <c r="NYP55" s="245"/>
      <c r="NYQ55" s="244"/>
      <c r="NYR55" s="246"/>
      <c r="NYS55" s="247"/>
      <c r="NYT55" s="275"/>
      <c r="NYU55" s="275"/>
      <c r="NYV55" s="275"/>
      <c r="NYW55" s="275"/>
      <c r="NYX55" s="275"/>
      <c r="NYY55" s="275"/>
      <c r="NYZ55" s="137"/>
      <c r="NZA55" s="137"/>
      <c r="NZB55" s="135"/>
      <c r="NZC55" s="137"/>
      <c r="NZE55" s="250"/>
      <c r="NZF55" s="250"/>
      <c r="NZG55" s="243"/>
      <c r="NZH55" s="276"/>
      <c r="NZI55" s="276"/>
      <c r="NZJ55" s="276"/>
      <c r="NZK55" s="244"/>
      <c r="NZL55" s="244"/>
      <c r="NZM55" s="244"/>
      <c r="NZN55" s="245"/>
      <c r="NZO55" s="245"/>
      <c r="NZP55" s="244"/>
      <c r="NZQ55" s="246"/>
      <c r="NZR55" s="247"/>
      <c r="NZS55" s="275"/>
      <c r="NZT55" s="275"/>
      <c r="NZU55" s="275"/>
      <c r="NZV55" s="275"/>
      <c r="NZW55" s="275"/>
      <c r="NZX55" s="275"/>
      <c r="NZY55" s="137"/>
      <c r="NZZ55" s="137"/>
      <c r="OAA55" s="135"/>
      <c r="OAB55" s="137"/>
      <c r="OAD55" s="250"/>
      <c r="OAE55" s="250"/>
      <c r="OAF55" s="243"/>
      <c r="OAG55" s="276"/>
      <c r="OAH55" s="276"/>
      <c r="OAI55" s="276"/>
      <c r="OAJ55" s="244"/>
      <c r="OAK55" s="244"/>
      <c r="OAL55" s="244"/>
      <c r="OAM55" s="245"/>
      <c r="OAN55" s="245"/>
      <c r="OAO55" s="244"/>
      <c r="OAP55" s="246"/>
      <c r="OAQ55" s="247"/>
      <c r="OAR55" s="275"/>
      <c r="OAS55" s="275"/>
      <c r="OAT55" s="275"/>
      <c r="OAU55" s="275"/>
      <c r="OAV55" s="275"/>
      <c r="OAW55" s="275"/>
      <c r="OAX55" s="137"/>
      <c r="OAY55" s="137"/>
      <c r="OAZ55" s="135"/>
      <c r="OBA55" s="137"/>
      <c r="OBC55" s="250"/>
      <c r="OBD55" s="250"/>
      <c r="OBE55" s="243"/>
      <c r="OBF55" s="276"/>
      <c r="OBG55" s="276"/>
      <c r="OBH55" s="276"/>
      <c r="OBI55" s="244"/>
      <c r="OBJ55" s="244"/>
      <c r="OBK55" s="244"/>
      <c r="OBL55" s="245"/>
      <c r="OBM55" s="245"/>
      <c r="OBN55" s="244"/>
      <c r="OBO55" s="246"/>
      <c r="OBP55" s="247"/>
      <c r="OBQ55" s="275"/>
      <c r="OBR55" s="275"/>
      <c r="OBS55" s="275"/>
      <c r="OBT55" s="275"/>
      <c r="OBU55" s="275"/>
      <c r="OBV55" s="275"/>
      <c r="OBW55" s="137"/>
      <c r="OBX55" s="137"/>
      <c r="OBY55" s="135"/>
      <c r="OBZ55" s="137"/>
      <c r="OCB55" s="250"/>
      <c r="OCC55" s="250"/>
      <c r="OCD55" s="243"/>
      <c r="OCE55" s="276"/>
      <c r="OCF55" s="276"/>
      <c r="OCG55" s="276"/>
      <c r="OCH55" s="244"/>
      <c r="OCI55" s="244"/>
      <c r="OCJ55" s="244"/>
      <c r="OCK55" s="245"/>
      <c r="OCL55" s="245"/>
      <c r="OCM55" s="244"/>
      <c r="OCN55" s="246"/>
      <c r="OCO55" s="247"/>
      <c r="OCP55" s="275"/>
      <c r="OCQ55" s="275"/>
      <c r="OCR55" s="275"/>
      <c r="OCS55" s="275"/>
      <c r="OCT55" s="275"/>
      <c r="OCU55" s="275"/>
      <c r="OCV55" s="137"/>
      <c r="OCW55" s="137"/>
      <c r="OCX55" s="135"/>
      <c r="OCY55" s="137"/>
      <c r="ODA55" s="250"/>
      <c r="ODB55" s="250"/>
      <c r="ODC55" s="243"/>
      <c r="ODD55" s="276"/>
      <c r="ODE55" s="276"/>
      <c r="ODF55" s="276"/>
      <c r="ODG55" s="244"/>
      <c r="ODH55" s="244"/>
      <c r="ODI55" s="244"/>
      <c r="ODJ55" s="245"/>
      <c r="ODK55" s="245"/>
      <c r="ODL55" s="244"/>
      <c r="ODM55" s="246"/>
      <c r="ODN55" s="247"/>
      <c r="ODO55" s="275"/>
      <c r="ODP55" s="275"/>
      <c r="ODQ55" s="275"/>
      <c r="ODR55" s="275"/>
      <c r="ODS55" s="275"/>
      <c r="ODT55" s="275"/>
      <c r="ODU55" s="137"/>
      <c r="ODV55" s="137"/>
      <c r="ODW55" s="135"/>
      <c r="ODX55" s="137"/>
      <c r="ODZ55" s="250"/>
      <c r="OEA55" s="250"/>
      <c r="OEB55" s="243"/>
      <c r="OEC55" s="276"/>
      <c r="OED55" s="276"/>
      <c r="OEE55" s="276"/>
      <c r="OEF55" s="244"/>
      <c r="OEG55" s="244"/>
      <c r="OEH55" s="244"/>
      <c r="OEI55" s="245"/>
      <c r="OEJ55" s="245"/>
      <c r="OEK55" s="244"/>
      <c r="OEL55" s="246"/>
      <c r="OEM55" s="247"/>
      <c r="OEN55" s="275"/>
      <c r="OEO55" s="275"/>
      <c r="OEP55" s="275"/>
      <c r="OEQ55" s="275"/>
      <c r="OER55" s="275"/>
      <c r="OES55" s="275"/>
      <c r="OET55" s="137"/>
      <c r="OEU55" s="137"/>
      <c r="OEV55" s="135"/>
      <c r="OEW55" s="137"/>
      <c r="OEY55" s="250"/>
      <c r="OEZ55" s="250"/>
      <c r="OFA55" s="243"/>
      <c r="OFB55" s="276"/>
      <c r="OFC55" s="276"/>
      <c r="OFD55" s="276"/>
      <c r="OFE55" s="244"/>
      <c r="OFF55" s="244"/>
      <c r="OFG55" s="244"/>
      <c r="OFH55" s="245"/>
      <c r="OFI55" s="245"/>
      <c r="OFJ55" s="244"/>
      <c r="OFK55" s="246"/>
      <c r="OFL55" s="247"/>
      <c r="OFM55" s="275"/>
      <c r="OFN55" s="275"/>
      <c r="OFO55" s="275"/>
      <c r="OFP55" s="275"/>
      <c r="OFQ55" s="275"/>
      <c r="OFR55" s="275"/>
      <c r="OFS55" s="137"/>
      <c r="OFT55" s="137"/>
      <c r="OFU55" s="135"/>
      <c r="OFV55" s="137"/>
      <c r="OFX55" s="250"/>
      <c r="OFY55" s="250"/>
      <c r="OFZ55" s="243"/>
      <c r="OGA55" s="276"/>
      <c r="OGB55" s="276"/>
      <c r="OGC55" s="276"/>
      <c r="OGD55" s="244"/>
      <c r="OGE55" s="244"/>
      <c r="OGF55" s="244"/>
      <c r="OGG55" s="245"/>
      <c r="OGH55" s="245"/>
      <c r="OGI55" s="244"/>
      <c r="OGJ55" s="246"/>
      <c r="OGK55" s="247"/>
      <c r="OGL55" s="275"/>
      <c r="OGM55" s="275"/>
      <c r="OGN55" s="275"/>
      <c r="OGO55" s="275"/>
      <c r="OGP55" s="275"/>
      <c r="OGQ55" s="275"/>
      <c r="OGR55" s="137"/>
      <c r="OGS55" s="137"/>
      <c r="OGT55" s="135"/>
      <c r="OGU55" s="137"/>
      <c r="OGW55" s="250"/>
      <c r="OGX55" s="250"/>
      <c r="OGY55" s="243"/>
      <c r="OGZ55" s="276"/>
      <c r="OHA55" s="276"/>
      <c r="OHB55" s="276"/>
      <c r="OHC55" s="244"/>
      <c r="OHD55" s="244"/>
      <c r="OHE55" s="244"/>
      <c r="OHF55" s="245"/>
      <c r="OHG55" s="245"/>
      <c r="OHH55" s="244"/>
      <c r="OHI55" s="246"/>
      <c r="OHJ55" s="247"/>
      <c r="OHK55" s="275"/>
      <c r="OHL55" s="275"/>
      <c r="OHM55" s="275"/>
      <c r="OHN55" s="275"/>
      <c r="OHO55" s="275"/>
      <c r="OHP55" s="275"/>
      <c r="OHQ55" s="137"/>
      <c r="OHR55" s="137"/>
      <c r="OHS55" s="135"/>
      <c r="OHT55" s="137"/>
      <c r="OHV55" s="250"/>
      <c r="OHW55" s="250"/>
      <c r="OHX55" s="243"/>
      <c r="OHY55" s="276"/>
      <c r="OHZ55" s="276"/>
      <c r="OIA55" s="276"/>
      <c r="OIB55" s="244"/>
      <c r="OIC55" s="244"/>
      <c r="OID55" s="244"/>
      <c r="OIE55" s="245"/>
      <c r="OIF55" s="245"/>
      <c r="OIG55" s="244"/>
      <c r="OIH55" s="246"/>
      <c r="OII55" s="247"/>
      <c r="OIJ55" s="275"/>
      <c r="OIK55" s="275"/>
      <c r="OIL55" s="275"/>
      <c r="OIM55" s="275"/>
      <c r="OIN55" s="275"/>
      <c r="OIO55" s="275"/>
      <c r="OIP55" s="137"/>
      <c r="OIQ55" s="137"/>
      <c r="OIR55" s="135"/>
      <c r="OIS55" s="137"/>
      <c r="OIU55" s="250"/>
      <c r="OIV55" s="250"/>
      <c r="OIW55" s="243"/>
      <c r="OIX55" s="276"/>
      <c r="OIY55" s="276"/>
      <c r="OIZ55" s="276"/>
      <c r="OJA55" s="244"/>
      <c r="OJB55" s="244"/>
      <c r="OJC55" s="244"/>
      <c r="OJD55" s="245"/>
      <c r="OJE55" s="245"/>
      <c r="OJF55" s="244"/>
      <c r="OJG55" s="246"/>
      <c r="OJH55" s="247"/>
      <c r="OJI55" s="275"/>
      <c r="OJJ55" s="275"/>
      <c r="OJK55" s="275"/>
      <c r="OJL55" s="275"/>
      <c r="OJM55" s="275"/>
      <c r="OJN55" s="275"/>
      <c r="OJO55" s="137"/>
      <c r="OJP55" s="137"/>
      <c r="OJQ55" s="135"/>
      <c r="OJR55" s="137"/>
      <c r="OJT55" s="250"/>
      <c r="OJU55" s="250"/>
      <c r="OJV55" s="243"/>
      <c r="OJW55" s="276"/>
      <c r="OJX55" s="276"/>
      <c r="OJY55" s="276"/>
      <c r="OJZ55" s="244"/>
      <c r="OKA55" s="244"/>
      <c r="OKB55" s="244"/>
      <c r="OKC55" s="245"/>
      <c r="OKD55" s="245"/>
      <c r="OKE55" s="244"/>
      <c r="OKF55" s="246"/>
      <c r="OKG55" s="247"/>
      <c r="OKH55" s="275"/>
      <c r="OKI55" s="275"/>
      <c r="OKJ55" s="275"/>
      <c r="OKK55" s="275"/>
      <c r="OKL55" s="275"/>
      <c r="OKM55" s="275"/>
      <c r="OKN55" s="137"/>
      <c r="OKO55" s="137"/>
      <c r="OKP55" s="135"/>
      <c r="OKQ55" s="137"/>
      <c r="OKS55" s="250"/>
      <c r="OKT55" s="250"/>
      <c r="OKU55" s="243"/>
      <c r="OKV55" s="276"/>
      <c r="OKW55" s="276"/>
      <c r="OKX55" s="276"/>
      <c r="OKY55" s="244"/>
      <c r="OKZ55" s="244"/>
      <c r="OLA55" s="244"/>
      <c r="OLB55" s="245"/>
      <c r="OLC55" s="245"/>
      <c r="OLD55" s="244"/>
      <c r="OLE55" s="246"/>
      <c r="OLF55" s="247"/>
      <c r="OLG55" s="275"/>
      <c r="OLH55" s="275"/>
      <c r="OLI55" s="275"/>
      <c r="OLJ55" s="275"/>
      <c r="OLK55" s="275"/>
      <c r="OLL55" s="275"/>
      <c r="OLM55" s="137"/>
      <c r="OLN55" s="137"/>
      <c r="OLO55" s="135"/>
      <c r="OLP55" s="137"/>
      <c r="OLR55" s="250"/>
      <c r="OLS55" s="250"/>
      <c r="OLT55" s="243"/>
      <c r="OLU55" s="276"/>
      <c r="OLV55" s="276"/>
      <c r="OLW55" s="276"/>
      <c r="OLX55" s="244"/>
      <c r="OLY55" s="244"/>
      <c r="OLZ55" s="244"/>
      <c r="OMA55" s="245"/>
      <c r="OMB55" s="245"/>
      <c r="OMC55" s="244"/>
      <c r="OMD55" s="246"/>
      <c r="OME55" s="247"/>
      <c r="OMF55" s="275"/>
      <c r="OMG55" s="275"/>
      <c r="OMH55" s="275"/>
      <c r="OMI55" s="275"/>
      <c r="OMJ55" s="275"/>
      <c r="OMK55" s="275"/>
      <c r="OML55" s="137"/>
      <c r="OMM55" s="137"/>
      <c r="OMN55" s="135"/>
      <c r="OMO55" s="137"/>
      <c r="OMQ55" s="250"/>
      <c r="OMR55" s="250"/>
      <c r="OMS55" s="243"/>
      <c r="OMT55" s="276"/>
      <c r="OMU55" s="276"/>
      <c r="OMV55" s="276"/>
      <c r="OMW55" s="244"/>
      <c r="OMX55" s="244"/>
      <c r="OMY55" s="244"/>
      <c r="OMZ55" s="245"/>
      <c r="ONA55" s="245"/>
      <c r="ONB55" s="244"/>
      <c r="ONC55" s="246"/>
      <c r="OND55" s="247"/>
      <c r="ONE55" s="275"/>
      <c r="ONF55" s="275"/>
      <c r="ONG55" s="275"/>
      <c r="ONH55" s="275"/>
      <c r="ONI55" s="275"/>
      <c r="ONJ55" s="275"/>
      <c r="ONK55" s="137"/>
      <c r="ONL55" s="137"/>
      <c r="ONM55" s="135"/>
      <c r="ONN55" s="137"/>
      <c r="ONP55" s="250"/>
      <c r="ONQ55" s="250"/>
      <c r="ONR55" s="243"/>
      <c r="ONS55" s="276"/>
      <c r="ONT55" s="276"/>
      <c r="ONU55" s="276"/>
      <c r="ONV55" s="244"/>
      <c r="ONW55" s="244"/>
      <c r="ONX55" s="244"/>
      <c r="ONY55" s="245"/>
      <c r="ONZ55" s="245"/>
      <c r="OOA55" s="244"/>
      <c r="OOB55" s="246"/>
      <c r="OOC55" s="247"/>
      <c r="OOD55" s="275"/>
      <c r="OOE55" s="275"/>
      <c r="OOF55" s="275"/>
      <c r="OOG55" s="275"/>
      <c r="OOH55" s="275"/>
      <c r="OOI55" s="275"/>
      <c r="OOJ55" s="137"/>
      <c r="OOK55" s="137"/>
      <c r="OOL55" s="135"/>
      <c r="OOM55" s="137"/>
      <c r="OOO55" s="250"/>
      <c r="OOP55" s="250"/>
      <c r="OOQ55" s="243"/>
      <c r="OOR55" s="276"/>
      <c r="OOS55" s="276"/>
      <c r="OOT55" s="276"/>
      <c r="OOU55" s="244"/>
      <c r="OOV55" s="244"/>
      <c r="OOW55" s="244"/>
      <c r="OOX55" s="245"/>
      <c r="OOY55" s="245"/>
      <c r="OOZ55" s="244"/>
      <c r="OPA55" s="246"/>
      <c r="OPB55" s="247"/>
      <c r="OPC55" s="275"/>
      <c r="OPD55" s="275"/>
      <c r="OPE55" s="275"/>
      <c r="OPF55" s="275"/>
      <c r="OPG55" s="275"/>
      <c r="OPH55" s="275"/>
      <c r="OPI55" s="137"/>
      <c r="OPJ55" s="137"/>
      <c r="OPK55" s="135"/>
      <c r="OPL55" s="137"/>
      <c r="OPN55" s="250"/>
      <c r="OPO55" s="250"/>
      <c r="OPP55" s="243"/>
      <c r="OPQ55" s="276"/>
      <c r="OPR55" s="276"/>
      <c r="OPS55" s="276"/>
      <c r="OPT55" s="244"/>
      <c r="OPU55" s="244"/>
      <c r="OPV55" s="244"/>
      <c r="OPW55" s="245"/>
      <c r="OPX55" s="245"/>
      <c r="OPY55" s="244"/>
      <c r="OPZ55" s="246"/>
      <c r="OQA55" s="247"/>
      <c r="OQB55" s="275"/>
      <c r="OQC55" s="275"/>
      <c r="OQD55" s="275"/>
      <c r="OQE55" s="275"/>
      <c r="OQF55" s="275"/>
      <c r="OQG55" s="275"/>
      <c r="OQH55" s="137"/>
      <c r="OQI55" s="137"/>
      <c r="OQJ55" s="135"/>
      <c r="OQK55" s="137"/>
      <c r="OQM55" s="250"/>
      <c r="OQN55" s="250"/>
      <c r="OQO55" s="243"/>
      <c r="OQP55" s="276"/>
      <c r="OQQ55" s="276"/>
      <c r="OQR55" s="276"/>
      <c r="OQS55" s="244"/>
      <c r="OQT55" s="244"/>
      <c r="OQU55" s="244"/>
      <c r="OQV55" s="245"/>
      <c r="OQW55" s="245"/>
      <c r="OQX55" s="244"/>
      <c r="OQY55" s="246"/>
      <c r="OQZ55" s="247"/>
      <c r="ORA55" s="275"/>
      <c r="ORB55" s="275"/>
      <c r="ORC55" s="275"/>
      <c r="ORD55" s="275"/>
      <c r="ORE55" s="275"/>
      <c r="ORF55" s="275"/>
      <c r="ORG55" s="137"/>
      <c r="ORH55" s="137"/>
      <c r="ORI55" s="135"/>
      <c r="ORJ55" s="137"/>
      <c r="ORL55" s="250"/>
      <c r="ORM55" s="250"/>
      <c r="ORN55" s="243"/>
      <c r="ORO55" s="276"/>
      <c r="ORP55" s="276"/>
      <c r="ORQ55" s="276"/>
      <c r="ORR55" s="244"/>
      <c r="ORS55" s="244"/>
      <c r="ORT55" s="244"/>
      <c r="ORU55" s="245"/>
      <c r="ORV55" s="245"/>
      <c r="ORW55" s="244"/>
      <c r="ORX55" s="246"/>
      <c r="ORY55" s="247"/>
      <c r="ORZ55" s="275"/>
      <c r="OSA55" s="275"/>
      <c r="OSB55" s="275"/>
      <c r="OSC55" s="275"/>
      <c r="OSD55" s="275"/>
      <c r="OSE55" s="275"/>
      <c r="OSF55" s="137"/>
      <c r="OSG55" s="137"/>
      <c r="OSH55" s="135"/>
      <c r="OSI55" s="137"/>
      <c r="OSK55" s="250"/>
      <c r="OSL55" s="250"/>
      <c r="OSM55" s="243"/>
      <c r="OSN55" s="276"/>
      <c r="OSO55" s="276"/>
      <c r="OSP55" s="276"/>
      <c r="OSQ55" s="244"/>
      <c r="OSR55" s="244"/>
      <c r="OSS55" s="244"/>
      <c r="OST55" s="245"/>
      <c r="OSU55" s="245"/>
      <c r="OSV55" s="244"/>
      <c r="OSW55" s="246"/>
      <c r="OSX55" s="247"/>
      <c r="OSY55" s="275"/>
      <c r="OSZ55" s="275"/>
      <c r="OTA55" s="275"/>
      <c r="OTB55" s="275"/>
      <c r="OTC55" s="275"/>
      <c r="OTD55" s="275"/>
      <c r="OTE55" s="137"/>
      <c r="OTF55" s="137"/>
      <c r="OTG55" s="135"/>
      <c r="OTH55" s="137"/>
      <c r="OTJ55" s="250"/>
      <c r="OTK55" s="250"/>
      <c r="OTL55" s="243"/>
      <c r="OTM55" s="276"/>
      <c r="OTN55" s="276"/>
      <c r="OTO55" s="276"/>
      <c r="OTP55" s="244"/>
      <c r="OTQ55" s="244"/>
      <c r="OTR55" s="244"/>
      <c r="OTS55" s="245"/>
      <c r="OTT55" s="245"/>
      <c r="OTU55" s="244"/>
      <c r="OTV55" s="246"/>
      <c r="OTW55" s="247"/>
      <c r="OTX55" s="275"/>
      <c r="OTY55" s="275"/>
      <c r="OTZ55" s="275"/>
      <c r="OUA55" s="275"/>
      <c r="OUB55" s="275"/>
      <c r="OUC55" s="275"/>
      <c r="OUD55" s="137"/>
      <c r="OUE55" s="137"/>
      <c r="OUF55" s="135"/>
      <c r="OUG55" s="137"/>
      <c r="OUI55" s="250"/>
      <c r="OUJ55" s="250"/>
      <c r="OUK55" s="243"/>
      <c r="OUL55" s="276"/>
      <c r="OUM55" s="276"/>
      <c r="OUN55" s="276"/>
      <c r="OUO55" s="244"/>
      <c r="OUP55" s="244"/>
      <c r="OUQ55" s="244"/>
      <c r="OUR55" s="245"/>
      <c r="OUS55" s="245"/>
      <c r="OUT55" s="244"/>
      <c r="OUU55" s="246"/>
      <c r="OUV55" s="247"/>
      <c r="OUW55" s="275"/>
      <c r="OUX55" s="275"/>
      <c r="OUY55" s="275"/>
      <c r="OUZ55" s="275"/>
      <c r="OVA55" s="275"/>
      <c r="OVB55" s="275"/>
      <c r="OVC55" s="137"/>
      <c r="OVD55" s="137"/>
      <c r="OVE55" s="135"/>
      <c r="OVF55" s="137"/>
      <c r="OVH55" s="250"/>
      <c r="OVI55" s="250"/>
      <c r="OVJ55" s="243"/>
      <c r="OVK55" s="276"/>
      <c r="OVL55" s="276"/>
      <c r="OVM55" s="276"/>
      <c r="OVN55" s="244"/>
      <c r="OVO55" s="244"/>
      <c r="OVP55" s="244"/>
      <c r="OVQ55" s="245"/>
      <c r="OVR55" s="245"/>
      <c r="OVS55" s="244"/>
      <c r="OVT55" s="246"/>
      <c r="OVU55" s="247"/>
      <c r="OVV55" s="275"/>
      <c r="OVW55" s="275"/>
      <c r="OVX55" s="275"/>
      <c r="OVY55" s="275"/>
      <c r="OVZ55" s="275"/>
      <c r="OWA55" s="275"/>
      <c r="OWB55" s="137"/>
      <c r="OWC55" s="137"/>
      <c r="OWD55" s="135"/>
      <c r="OWE55" s="137"/>
      <c r="OWG55" s="250"/>
      <c r="OWH55" s="250"/>
      <c r="OWI55" s="243"/>
      <c r="OWJ55" s="276"/>
      <c r="OWK55" s="276"/>
      <c r="OWL55" s="276"/>
      <c r="OWM55" s="244"/>
      <c r="OWN55" s="244"/>
      <c r="OWO55" s="244"/>
      <c r="OWP55" s="245"/>
      <c r="OWQ55" s="245"/>
      <c r="OWR55" s="244"/>
      <c r="OWS55" s="246"/>
      <c r="OWT55" s="247"/>
      <c r="OWU55" s="275"/>
      <c r="OWV55" s="275"/>
      <c r="OWW55" s="275"/>
      <c r="OWX55" s="275"/>
      <c r="OWY55" s="275"/>
      <c r="OWZ55" s="275"/>
      <c r="OXA55" s="137"/>
      <c r="OXB55" s="137"/>
      <c r="OXC55" s="135"/>
      <c r="OXD55" s="137"/>
      <c r="OXF55" s="250"/>
      <c r="OXG55" s="250"/>
      <c r="OXH55" s="243"/>
      <c r="OXI55" s="276"/>
      <c r="OXJ55" s="276"/>
      <c r="OXK55" s="276"/>
      <c r="OXL55" s="244"/>
      <c r="OXM55" s="244"/>
      <c r="OXN55" s="244"/>
      <c r="OXO55" s="245"/>
      <c r="OXP55" s="245"/>
      <c r="OXQ55" s="244"/>
      <c r="OXR55" s="246"/>
      <c r="OXS55" s="247"/>
      <c r="OXT55" s="275"/>
      <c r="OXU55" s="275"/>
      <c r="OXV55" s="275"/>
      <c r="OXW55" s="275"/>
      <c r="OXX55" s="275"/>
      <c r="OXY55" s="275"/>
      <c r="OXZ55" s="137"/>
      <c r="OYA55" s="137"/>
      <c r="OYB55" s="135"/>
      <c r="OYC55" s="137"/>
      <c r="OYE55" s="250"/>
      <c r="OYF55" s="250"/>
      <c r="OYG55" s="243"/>
      <c r="OYH55" s="276"/>
      <c r="OYI55" s="276"/>
      <c r="OYJ55" s="276"/>
      <c r="OYK55" s="244"/>
      <c r="OYL55" s="244"/>
      <c r="OYM55" s="244"/>
      <c r="OYN55" s="245"/>
      <c r="OYO55" s="245"/>
      <c r="OYP55" s="244"/>
      <c r="OYQ55" s="246"/>
      <c r="OYR55" s="247"/>
      <c r="OYS55" s="275"/>
      <c r="OYT55" s="275"/>
      <c r="OYU55" s="275"/>
      <c r="OYV55" s="275"/>
      <c r="OYW55" s="275"/>
      <c r="OYX55" s="275"/>
      <c r="OYY55" s="137"/>
      <c r="OYZ55" s="137"/>
      <c r="OZA55" s="135"/>
      <c r="OZB55" s="137"/>
      <c r="OZD55" s="250"/>
      <c r="OZE55" s="250"/>
      <c r="OZF55" s="243"/>
      <c r="OZG55" s="276"/>
      <c r="OZH55" s="276"/>
      <c r="OZI55" s="276"/>
      <c r="OZJ55" s="244"/>
      <c r="OZK55" s="244"/>
      <c r="OZL55" s="244"/>
      <c r="OZM55" s="245"/>
      <c r="OZN55" s="245"/>
      <c r="OZO55" s="244"/>
      <c r="OZP55" s="246"/>
      <c r="OZQ55" s="247"/>
      <c r="OZR55" s="275"/>
      <c r="OZS55" s="275"/>
      <c r="OZT55" s="275"/>
      <c r="OZU55" s="275"/>
      <c r="OZV55" s="275"/>
      <c r="OZW55" s="275"/>
      <c r="OZX55" s="137"/>
      <c r="OZY55" s="137"/>
      <c r="OZZ55" s="135"/>
      <c r="PAA55" s="137"/>
      <c r="PAC55" s="250"/>
      <c r="PAD55" s="250"/>
      <c r="PAE55" s="243"/>
      <c r="PAF55" s="276"/>
      <c r="PAG55" s="276"/>
      <c r="PAH55" s="276"/>
      <c r="PAI55" s="244"/>
      <c r="PAJ55" s="244"/>
      <c r="PAK55" s="244"/>
      <c r="PAL55" s="245"/>
      <c r="PAM55" s="245"/>
      <c r="PAN55" s="244"/>
      <c r="PAO55" s="246"/>
      <c r="PAP55" s="247"/>
      <c r="PAQ55" s="275"/>
      <c r="PAR55" s="275"/>
      <c r="PAS55" s="275"/>
      <c r="PAT55" s="275"/>
      <c r="PAU55" s="275"/>
      <c r="PAV55" s="275"/>
      <c r="PAW55" s="137"/>
      <c r="PAX55" s="137"/>
      <c r="PAY55" s="135"/>
      <c r="PAZ55" s="137"/>
      <c r="PBB55" s="250"/>
      <c r="PBC55" s="250"/>
      <c r="PBD55" s="243"/>
      <c r="PBE55" s="276"/>
      <c r="PBF55" s="276"/>
      <c r="PBG55" s="276"/>
      <c r="PBH55" s="244"/>
      <c r="PBI55" s="244"/>
      <c r="PBJ55" s="244"/>
      <c r="PBK55" s="245"/>
      <c r="PBL55" s="245"/>
      <c r="PBM55" s="244"/>
      <c r="PBN55" s="246"/>
      <c r="PBO55" s="247"/>
      <c r="PBP55" s="275"/>
      <c r="PBQ55" s="275"/>
      <c r="PBR55" s="275"/>
      <c r="PBS55" s="275"/>
      <c r="PBT55" s="275"/>
      <c r="PBU55" s="275"/>
      <c r="PBV55" s="137"/>
      <c r="PBW55" s="137"/>
      <c r="PBX55" s="135"/>
      <c r="PBY55" s="137"/>
      <c r="PCA55" s="250"/>
      <c r="PCB55" s="250"/>
      <c r="PCC55" s="243"/>
      <c r="PCD55" s="276"/>
      <c r="PCE55" s="276"/>
      <c r="PCF55" s="276"/>
      <c r="PCG55" s="244"/>
      <c r="PCH55" s="244"/>
      <c r="PCI55" s="244"/>
      <c r="PCJ55" s="245"/>
      <c r="PCK55" s="245"/>
      <c r="PCL55" s="244"/>
      <c r="PCM55" s="246"/>
      <c r="PCN55" s="247"/>
      <c r="PCO55" s="275"/>
      <c r="PCP55" s="275"/>
      <c r="PCQ55" s="275"/>
      <c r="PCR55" s="275"/>
      <c r="PCS55" s="275"/>
      <c r="PCT55" s="275"/>
      <c r="PCU55" s="137"/>
      <c r="PCV55" s="137"/>
      <c r="PCW55" s="135"/>
      <c r="PCX55" s="137"/>
      <c r="PCZ55" s="250"/>
      <c r="PDA55" s="250"/>
      <c r="PDB55" s="243"/>
      <c r="PDC55" s="276"/>
      <c r="PDD55" s="276"/>
      <c r="PDE55" s="276"/>
      <c r="PDF55" s="244"/>
      <c r="PDG55" s="244"/>
      <c r="PDH55" s="244"/>
      <c r="PDI55" s="245"/>
      <c r="PDJ55" s="245"/>
      <c r="PDK55" s="244"/>
      <c r="PDL55" s="246"/>
      <c r="PDM55" s="247"/>
      <c r="PDN55" s="275"/>
      <c r="PDO55" s="275"/>
      <c r="PDP55" s="275"/>
      <c r="PDQ55" s="275"/>
      <c r="PDR55" s="275"/>
      <c r="PDS55" s="275"/>
      <c r="PDT55" s="137"/>
      <c r="PDU55" s="137"/>
      <c r="PDV55" s="135"/>
      <c r="PDW55" s="137"/>
      <c r="PDY55" s="250"/>
      <c r="PDZ55" s="250"/>
      <c r="PEA55" s="243"/>
      <c r="PEB55" s="276"/>
      <c r="PEC55" s="276"/>
      <c r="PED55" s="276"/>
      <c r="PEE55" s="244"/>
      <c r="PEF55" s="244"/>
      <c r="PEG55" s="244"/>
      <c r="PEH55" s="245"/>
      <c r="PEI55" s="245"/>
      <c r="PEJ55" s="244"/>
      <c r="PEK55" s="246"/>
      <c r="PEL55" s="247"/>
      <c r="PEM55" s="275"/>
      <c r="PEN55" s="275"/>
      <c r="PEO55" s="275"/>
      <c r="PEP55" s="275"/>
      <c r="PEQ55" s="275"/>
      <c r="PER55" s="275"/>
      <c r="PES55" s="137"/>
      <c r="PET55" s="137"/>
      <c r="PEU55" s="135"/>
      <c r="PEV55" s="137"/>
      <c r="PEX55" s="250"/>
      <c r="PEY55" s="250"/>
      <c r="PEZ55" s="243"/>
      <c r="PFA55" s="276"/>
      <c r="PFB55" s="276"/>
      <c r="PFC55" s="276"/>
      <c r="PFD55" s="244"/>
      <c r="PFE55" s="244"/>
      <c r="PFF55" s="244"/>
      <c r="PFG55" s="245"/>
      <c r="PFH55" s="245"/>
      <c r="PFI55" s="244"/>
      <c r="PFJ55" s="246"/>
      <c r="PFK55" s="247"/>
      <c r="PFL55" s="275"/>
      <c r="PFM55" s="275"/>
      <c r="PFN55" s="275"/>
      <c r="PFO55" s="275"/>
      <c r="PFP55" s="275"/>
      <c r="PFQ55" s="275"/>
      <c r="PFR55" s="137"/>
      <c r="PFS55" s="137"/>
      <c r="PFT55" s="135"/>
      <c r="PFU55" s="137"/>
      <c r="PFW55" s="250"/>
      <c r="PFX55" s="250"/>
      <c r="PFY55" s="243"/>
      <c r="PFZ55" s="276"/>
      <c r="PGA55" s="276"/>
      <c r="PGB55" s="276"/>
      <c r="PGC55" s="244"/>
      <c r="PGD55" s="244"/>
      <c r="PGE55" s="244"/>
      <c r="PGF55" s="245"/>
      <c r="PGG55" s="245"/>
      <c r="PGH55" s="244"/>
      <c r="PGI55" s="246"/>
      <c r="PGJ55" s="247"/>
      <c r="PGK55" s="275"/>
      <c r="PGL55" s="275"/>
      <c r="PGM55" s="275"/>
      <c r="PGN55" s="275"/>
      <c r="PGO55" s="275"/>
      <c r="PGP55" s="275"/>
      <c r="PGQ55" s="137"/>
      <c r="PGR55" s="137"/>
      <c r="PGS55" s="135"/>
      <c r="PGT55" s="137"/>
      <c r="PGV55" s="250"/>
      <c r="PGW55" s="250"/>
      <c r="PGX55" s="243"/>
      <c r="PGY55" s="276"/>
      <c r="PGZ55" s="276"/>
      <c r="PHA55" s="276"/>
      <c r="PHB55" s="244"/>
      <c r="PHC55" s="244"/>
      <c r="PHD55" s="244"/>
      <c r="PHE55" s="245"/>
      <c r="PHF55" s="245"/>
      <c r="PHG55" s="244"/>
      <c r="PHH55" s="246"/>
      <c r="PHI55" s="247"/>
      <c r="PHJ55" s="275"/>
      <c r="PHK55" s="275"/>
      <c r="PHL55" s="275"/>
      <c r="PHM55" s="275"/>
      <c r="PHN55" s="275"/>
      <c r="PHO55" s="275"/>
      <c r="PHP55" s="137"/>
      <c r="PHQ55" s="137"/>
      <c r="PHR55" s="135"/>
      <c r="PHS55" s="137"/>
      <c r="PHU55" s="250"/>
      <c r="PHV55" s="250"/>
      <c r="PHW55" s="243"/>
      <c r="PHX55" s="276"/>
      <c r="PHY55" s="276"/>
      <c r="PHZ55" s="276"/>
      <c r="PIA55" s="244"/>
      <c r="PIB55" s="244"/>
      <c r="PIC55" s="244"/>
      <c r="PID55" s="245"/>
      <c r="PIE55" s="245"/>
      <c r="PIF55" s="244"/>
      <c r="PIG55" s="246"/>
      <c r="PIH55" s="247"/>
      <c r="PII55" s="275"/>
      <c r="PIJ55" s="275"/>
      <c r="PIK55" s="275"/>
      <c r="PIL55" s="275"/>
      <c r="PIM55" s="275"/>
      <c r="PIN55" s="275"/>
      <c r="PIO55" s="137"/>
      <c r="PIP55" s="137"/>
      <c r="PIQ55" s="135"/>
      <c r="PIR55" s="137"/>
      <c r="PIT55" s="250"/>
      <c r="PIU55" s="250"/>
      <c r="PIV55" s="243"/>
      <c r="PIW55" s="276"/>
      <c r="PIX55" s="276"/>
      <c r="PIY55" s="276"/>
      <c r="PIZ55" s="244"/>
      <c r="PJA55" s="244"/>
      <c r="PJB55" s="244"/>
      <c r="PJC55" s="245"/>
      <c r="PJD55" s="245"/>
      <c r="PJE55" s="244"/>
      <c r="PJF55" s="246"/>
      <c r="PJG55" s="247"/>
      <c r="PJH55" s="275"/>
      <c r="PJI55" s="275"/>
      <c r="PJJ55" s="275"/>
      <c r="PJK55" s="275"/>
      <c r="PJL55" s="275"/>
      <c r="PJM55" s="275"/>
      <c r="PJN55" s="137"/>
      <c r="PJO55" s="137"/>
      <c r="PJP55" s="135"/>
      <c r="PJQ55" s="137"/>
      <c r="PJS55" s="250"/>
      <c r="PJT55" s="250"/>
      <c r="PJU55" s="243"/>
      <c r="PJV55" s="276"/>
      <c r="PJW55" s="276"/>
      <c r="PJX55" s="276"/>
      <c r="PJY55" s="244"/>
      <c r="PJZ55" s="244"/>
      <c r="PKA55" s="244"/>
      <c r="PKB55" s="245"/>
      <c r="PKC55" s="245"/>
      <c r="PKD55" s="244"/>
      <c r="PKE55" s="246"/>
      <c r="PKF55" s="247"/>
      <c r="PKG55" s="275"/>
      <c r="PKH55" s="275"/>
      <c r="PKI55" s="275"/>
      <c r="PKJ55" s="275"/>
      <c r="PKK55" s="275"/>
      <c r="PKL55" s="275"/>
      <c r="PKM55" s="137"/>
      <c r="PKN55" s="137"/>
      <c r="PKO55" s="135"/>
      <c r="PKP55" s="137"/>
      <c r="PKR55" s="250"/>
      <c r="PKS55" s="250"/>
      <c r="PKT55" s="243"/>
      <c r="PKU55" s="276"/>
      <c r="PKV55" s="276"/>
      <c r="PKW55" s="276"/>
      <c r="PKX55" s="244"/>
      <c r="PKY55" s="244"/>
      <c r="PKZ55" s="244"/>
      <c r="PLA55" s="245"/>
      <c r="PLB55" s="245"/>
      <c r="PLC55" s="244"/>
      <c r="PLD55" s="246"/>
      <c r="PLE55" s="247"/>
      <c r="PLF55" s="275"/>
      <c r="PLG55" s="275"/>
      <c r="PLH55" s="275"/>
      <c r="PLI55" s="275"/>
      <c r="PLJ55" s="275"/>
      <c r="PLK55" s="275"/>
      <c r="PLL55" s="137"/>
      <c r="PLM55" s="137"/>
      <c r="PLN55" s="135"/>
      <c r="PLO55" s="137"/>
      <c r="PLQ55" s="250"/>
      <c r="PLR55" s="250"/>
      <c r="PLS55" s="243"/>
      <c r="PLT55" s="276"/>
      <c r="PLU55" s="276"/>
      <c r="PLV55" s="276"/>
      <c r="PLW55" s="244"/>
      <c r="PLX55" s="244"/>
      <c r="PLY55" s="244"/>
      <c r="PLZ55" s="245"/>
      <c r="PMA55" s="245"/>
      <c r="PMB55" s="244"/>
      <c r="PMC55" s="246"/>
      <c r="PMD55" s="247"/>
      <c r="PME55" s="275"/>
      <c r="PMF55" s="275"/>
      <c r="PMG55" s="275"/>
      <c r="PMH55" s="275"/>
      <c r="PMI55" s="275"/>
      <c r="PMJ55" s="275"/>
      <c r="PMK55" s="137"/>
      <c r="PML55" s="137"/>
      <c r="PMM55" s="135"/>
      <c r="PMN55" s="137"/>
      <c r="PMP55" s="250"/>
      <c r="PMQ55" s="250"/>
      <c r="PMR55" s="243"/>
      <c r="PMS55" s="276"/>
      <c r="PMT55" s="276"/>
      <c r="PMU55" s="276"/>
      <c r="PMV55" s="244"/>
      <c r="PMW55" s="244"/>
      <c r="PMX55" s="244"/>
      <c r="PMY55" s="245"/>
      <c r="PMZ55" s="245"/>
      <c r="PNA55" s="244"/>
      <c r="PNB55" s="246"/>
      <c r="PNC55" s="247"/>
      <c r="PND55" s="275"/>
      <c r="PNE55" s="275"/>
      <c r="PNF55" s="275"/>
      <c r="PNG55" s="275"/>
      <c r="PNH55" s="275"/>
      <c r="PNI55" s="275"/>
      <c r="PNJ55" s="137"/>
      <c r="PNK55" s="137"/>
      <c r="PNL55" s="135"/>
      <c r="PNM55" s="137"/>
      <c r="PNO55" s="250"/>
      <c r="PNP55" s="250"/>
      <c r="PNQ55" s="243"/>
      <c r="PNR55" s="276"/>
      <c r="PNS55" s="276"/>
      <c r="PNT55" s="276"/>
      <c r="PNU55" s="244"/>
      <c r="PNV55" s="244"/>
      <c r="PNW55" s="244"/>
      <c r="PNX55" s="245"/>
      <c r="PNY55" s="245"/>
      <c r="PNZ55" s="244"/>
      <c r="POA55" s="246"/>
      <c r="POB55" s="247"/>
      <c r="POC55" s="275"/>
      <c r="POD55" s="275"/>
      <c r="POE55" s="275"/>
      <c r="POF55" s="275"/>
      <c r="POG55" s="275"/>
      <c r="POH55" s="275"/>
      <c r="POI55" s="137"/>
      <c r="POJ55" s="137"/>
      <c r="POK55" s="135"/>
      <c r="POL55" s="137"/>
      <c r="PON55" s="250"/>
      <c r="POO55" s="250"/>
      <c r="POP55" s="243"/>
      <c r="POQ55" s="276"/>
      <c r="POR55" s="276"/>
      <c r="POS55" s="276"/>
      <c r="POT55" s="244"/>
      <c r="POU55" s="244"/>
      <c r="POV55" s="244"/>
      <c r="POW55" s="245"/>
      <c r="POX55" s="245"/>
      <c r="POY55" s="244"/>
      <c r="POZ55" s="246"/>
      <c r="PPA55" s="247"/>
      <c r="PPB55" s="275"/>
      <c r="PPC55" s="275"/>
      <c r="PPD55" s="275"/>
      <c r="PPE55" s="275"/>
      <c r="PPF55" s="275"/>
      <c r="PPG55" s="275"/>
      <c r="PPH55" s="137"/>
      <c r="PPI55" s="137"/>
      <c r="PPJ55" s="135"/>
      <c r="PPK55" s="137"/>
      <c r="PPM55" s="250"/>
      <c r="PPN55" s="250"/>
      <c r="PPO55" s="243"/>
      <c r="PPP55" s="276"/>
      <c r="PPQ55" s="276"/>
      <c r="PPR55" s="276"/>
      <c r="PPS55" s="244"/>
      <c r="PPT55" s="244"/>
      <c r="PPU55" s="244"/>
      <c r="PPV55" s="245"/>
      <c r="PPW55" s="245"/>
      <c r="PPX55" s="244"/>
      <c r="PPY55" s="246"/>
      <c r="PPZ55" s="247"/>
      <c r="PQA55" s="275"/>
      <c r="PQB55" s="275"/>
      <c r="PQC55" s="275"/>
      <c r="PQD55" s="275"/>
      <c r="PQE55" s="275"/>
      <c r="PQF55" s="275"/>
      <c r="PQG55" s="137"/>
      <c r="PQH55" s="137"/>
      <c r="PQI55" s="135"/>
      <c r="PQJ55" s="137"/>
      <c r="PQL55" s="250"/>
      <c r="PQM55" s="250"/>
      <c r="PQN55" s="243"/>
      <c r="PQO55" s="276"/>
      <c r="PQP55" s="276"/>
      <c r="PQQ55" s="276"/>
      <c r="PQR55" s="244"/>
      <c r="PQS55" s="244"/>
      <c r="PQT55" s="244"/>
      <c r="PQU55" s="245"/>
      <c r="PQV55" s="245"/>
      <c r="PQW55" s="244"/>
      <c r="PQX55" s="246"/>
      <c r="PQY55" s="247"/>
      <c r="PQZ55" s="275"/>
      <c r="PRA55" s="275"/>
      <c r="PRB55" s="275"/>
      <c r="PRC55" s="275"/>
      <c r="PRD55" s="275"/>
      <c r="PRE55" s="275"/>
      <c r="PRF55" s="137"/>
      <c r="PRG55" s="137"/>
      <c r="PRH55" s="135"/>
      <c r="PRI55" s="137"/>
      <c r="PRK55" s="250"/>
      <c r="PRL55" s="250"/>
      <c r="PRM55" s="243"/>
      <c r="PRN55" s="276"/>
      <c r="PRO55" s="276"/>
      <c r="PRP55" s="276"/>
      <c r="PRQ55" s="244"/>
      <c r="PRR55" s="244"/>
      <c r="PRS55" s="244"/>
      <c r="PRT55" s="245"/>
      <c r="PRU55" s="245"/>
      <c r="PRV55" s="244"/>
      <c r="PRW55" s="246"/>
      <c r="PRX55" s="247"/>
      <c r="PRY55" s="275"/>
      <c r="PRZ55" s="275"/>
      <c r="PSA55" s="275"/>
      <c r="PSB55" s="275"/>
      <c r="PSC55" s="275"/>
      <c r="PSD55" s="275"/>
      <c r="PSE55" s="137"/>
      <c r="PSF55" s="137"/>
      <c r="PSG55" s="135"/>
      <c r="PSH55" s="137"/>
      <c r="PSJ55" s="250"/>
      <c r="PSK55" s="250"/>
      <c r="PSL55" s="243"/>
      <c r="PSM55" s="276"/>
      <c r="PSN55" s="276"/>
      <c r="PSO55" s="276"/>
      <c r="PSP55" s="244"/>
      <c r="PSQ55" s="244"/>
      <c r="PSR55" s="244"/>
      <c r="PSS55" s="245"/>
      <c r="PST55" s="245"/>
      <c r="PSU55" s="244"/>
      <c r="PSV55" s="246"/>
      <c r="PSW55" s="247"/>
      <c r="PSX55" s="275"/>
      <c r="PSY55" s="275"/>
      <c r="PSZ55" s="275"/>
      <c r="PTA55" s="275"/>
      <c r="PTB55" s="275"/>
      <c r="PTC55" s="275"/>
      <c r="PTD55" s="137"/>
      <c r="PTE55" s="137"/>
      <c r="PTF55" s="135"/>
      <c r="PTG55" s="137"/>
      <c r="PTI55" s="250"/>
      <c r="PTJ55" s="250"/>
      <c r="PTK55" s="243"/>
      <c r="PTL55" s="276"/>
      <c r="PTM55" s="276"/>
      <c r="PTN55" s="276"/>
      <c r="PTO55" s="244"/>
      <c r="PTP55" s="244"/>
      <c r="PTQ55" s="244"/>
      <c r="PTR55" s="245"/>
      <c r="PTS55" s="245"/>
      <c r="PTT55" s="244"/>
      <c r="PTU55" s="246"/>
      <c r="PTV55" s="247"/>
      <c r="PTW55" s="275"/>
      <c r="PTX55" s="275"/>
      <c r="PTY55" s="275"/>
      <c r="PTZ55" s="275"/>
      <c r="PUA55" s="275"/>
      <c r="PUB55" s="275"/>
      <c r="PUC55" s="137"/>
      <c r="PUD55" s="137"/>
      <c r="PUE55" s="135"/>
      <c r="PUF55" s="137"/>
      <c r="PUH55" s="250"/>
      <c r="PUI55" s="250"/>
      <c r="PUJ55" s="243"/>
      <c r="PUK55" s="276"/>
      <c r="PUL55" s="276"/>
      <c r="PUM55" s="276"/>
      <c r="PUN55" s="244"/>
      <c r="PUO55" s="244"/>
      <c r="PUP55" s="244"/>
      <c r="PUQ55" s="245"/>
      <c r="PUR55" s="245"/>
      <c r="PUS55" s="244"/>
      <c r="PUT55" s="246"/>
      <c r="PUU55" s="247"/>
      <c r="PUV55" s="275"/>
      <c r="PUW55" s="275"/>
      <c r="PUX55" s="275"/>
      <c r="PUY55" s="275"/>
      <c r="PUZ55" s="275"/>
      <c r="PVA55" s="275"/>
      <c r="PVB55" s="137"/>
      <c r="PVC55" s="137"/>
      <c r="PVD55" s="135"/>
      <c r="PVE55" s="137"/>
      <c r="PVG55" s="250"/>
      <c r="PVH55" s="250"/>
      <c r="PVI55" s="243"/>
      <c r="PVJ55" s="276"/>
      <c r="PVK55" s="276"/>
      <c r="PVL55" s="276"/>
      <c r="PVM55" s="244"/>
      <c r="PVN55" s="244"/>
      <c r="PVO55" s="244"/>
      <c r="PVP55" s="245"/>
      <c r="PVQ55" s="245"/>
      <c r="PVR55" s="244"/>
      <c r="PVS55" s="246"/>
      <c r="PVT55" s="247"/>
      <c r="PVU55" s="275"/>
      <c r="PVV55" s="275"/>
      <c r="PVW55" s="275"/>
      <c r="PVX55" s="275"/>
      <c r="PVY55" s="275"/>
      <c r="PVZ55" s="275"/>
      <c r="PWA55" s="137"/>
      <c r="PWB55" s="137"/>
      <c r="PWC55" s="135"/>
      <c r="PWD55" s="137"/>
      <c r="PWF55" s="250"/>
      <c r="PWG55" s="250"/>
      <c r="PWH55" s="243"/>
      <c r="PWI55" s="276"/>
      <c r="PWJ55" s="276"/>
      <c r="PWK55" s="276"/>
      <c r="PWL55" s="244"/>
      <c r="PWM55" s="244"/>
      <c r="PWN55" s="244"/>
      <c r="PWO55" s="245"/>
      <c r="PWP55" s="245"/>
      <c r="PWQ55" s="244"/>
      <c r="PWR55" s="246"/>
      <c r="PWS55" s="247"/>
      <c r="PWT55" s="275"/>
      <c r="PWU55" s="275"/>
      <c r="PWV55" s="275"/>
      <c r="PWW55" s="275"/>
      <c r="PWX55" s="275"/>
      <c r="PWY55" s="275"/>
      <c r="PWZ55" s="137"/>
      <c r="PXA55" s="137"/>
      <c r="PXB55" s="135"/>
      <c r="PXC55" s="137"/>
      <c r="PXE55" s="250"/>
      <c r="PXF55" s="250"/>
      <c r="PXG55" s="243"/>
      <c r="PXH55" s="276"/>
      <c r="PXI55" s="276"/>
      <c r="PXJ55" s="276"/>
      <c r="PXK55" s="244"/>
      <c r="PXL55" s="244"/>
      <c r="PXM55" s="244"/>
      <c r="PXN55" s="245"/>
      <c r="PXO55" s="245"/>
      <c r="PXP55" s="244"/>
      <c r="PXQ55" s="246"/>
      <c r="PXR55" s="247"/>
      <c r="PXS55" s="275"/>
      <c r="PXT55" s="275"/>
      <c r="PXU55" s="275"/>
      <c r="PXV55" s="275"/>
      <c r="PXW55" s="275"/>
      <c r="PXX55" s="275"/>
      <c r="PXY55" s="137"/>
      <c r="PXZ55" s="137"/>
      <c r="PYA55" s="135"/>
      <c r="PYB55" s="137"/>
      <c r="PYD55" s="250"/>
      <c r="PYE55" s="250"/>
      <c r="PYF55" s="243"/>
      <c r="PYG55" s="276"/>
      <c r="PYH55" s="276"/>
      <c r="PYI55" s="276"/>
      <c r="PYJ55" s="244"/>
      <c r="PYK55" s="244"/>
      <c r="PYL55" s="244"/>
      <c r="PYM55" s="245"/>
      <c r="PYN55" s="245"/>
      <c r="PYO55" s="244"/>
      <c r="PYP55" s="246"/>
      <c r="PYQ55" s="247"/>
      <c r="PYR55" s="275"/>
      <c r="PYS55" s="275"/>
      <c r="PYT55" s="275"/>
      <c r="PYU55" s="275"/>
      <c r="PYV55" s="275"/>
      <c r="PYW55" s="275"/>
      <c r="PYX55" s="137"/>
      <c r="PYY55" s="137"/>
      <c r="PYZ55" s="135"/>
      <c r="PZA55" s="137"/>
      <c r="PZC55" s="250"/>
      <c r="PZD55" s="250"/>
      <c r="PZE55" s="243"/>
      <c r="PZF55" s="276"/>
      <c r="PZG55" s="276"/>
      <c r="PZH55" s="276"/>
      <c r="PZI55" s="244"/>
      <c r="PZJ55" s="244"/>
      <c r="PZK55" s="244"/>
      <c r="PZL55" s="245"/>
      <c r="PZM55" s="245"/>
      <c r="PZN55" s="244"/>
      <c r="PZO55" s="246"/>
      <c r="PZP55" s="247"/>
      <c r="PZQ55" s="275"/>
      <c r="PZR55" s="275"/>
      <c r="PZS55" s="275"/>
      <c r="PZT55" s="275"/>
      <c r="PZU55" s="275"/>
      <c r="PZV55" s="275"/>
      <c r="PZW55" s="137"/>
      <c r="PZX55" s="137"/>
      <c r="PZY55" s="135"/>
      <c r="PZZ55" s="137"/>
      <c r="QAB55" s="250"/>
      <c r="QAC55" s="250"/>
      <c r="QAD55" s="243"/>
      <c r="QAE55" s="276"/>
      <c r="QAF55" s="276"/>
      <c r="QAG55" s="276"/>
      <c r="QAH55" s="244"/>
      <c r="QAI55" s="244"/>
      <c r="QAJ55" s="244"/>
      <c r="QAK55" s="245"/>
      <c r="QAL55" s="245"/>
      <c r="QAM55" s="244"/>
      <c r="QAN55" s="246"/>
      <c r="QAO55" s="247"/>
      <c r="QAP55" s="275"/>
      <c r="QAQ55" s="275"/>
      <c r="QAR55" s="275"/>
      <c r="QAS55" s="275"/>
      <c r="QAT55" s="275"/>
      <c r="QAU55" s="275"/>
      <c r="QAV55" s="137"/>
      <c r="QAW55" s="137"/>
      <c r="QAX55" s="135"/>
      <c r="QAY55" s="137"/>
      <c r="QBA55" s="250"/>
      <c r="QBB55" s="250"/>
      <c r="QBC55" s="243"/>
      <c r="QBD55" s="276"/>
      <c r="QBE55" s="276"/>
      <c r="QBF55" s="276"/>
      <c r="QBG55" s="244"/>
      <c r="QBH55" s="244"/>
      <c r="QBI55" s="244"/>
      <c r="QBJ55" s="245"/>
      <c r="QBK55" s="245"/>
      <c r="QBL55" s="244"/>
      <c r="QBM55" s="246"/>
      <c r="QBN55" s="247"/>
      <c r="QBO55" s="275"/>
      <c r="QBP55" s="275"/>
      <c r="QBQ55" s="275"/>
      <c r="QBR55" s="275"/>
      <c r="QBS55" s="275"/>
      <c r="QBT55" s="275"/>
      <c r="QBU55" s="137"/>
      <c r="QBV55" s="137"/>
      <c r="QBW55" s="135"/>
      <c r="QBX55" s="137"/>
      <c r="QBZ55" s="250"/>
      <c r="QCA55" s="250"/>
      <c r="QCB55" s="243"/>
      <c r="QCC55" s="276"/>
      <c r="QCD55" s="276"/>
      <c r="QCE55" s="276"/>
      <c r="QCF55" s="244"/>
      <c r="QCG55" s="244"/>
      <c r="QCH55" s="244"/>
      <c r="QCI55" s="245"/>
      <c r="QCJ55" s="245"/>
      <c r="QCK55" s="244"/>
      <c r="QCL55" s="246"/>
      <c r="QCM55" s="247"/>
      <c r="QCN55" s="275"/>
      <c r="QCO55" s="275"/>
      <c r="QCP55" s="275"/>
      <c r="QCQ55" s="275"/>
      <c r="QCR55" s="275"/>
      <c r="QCS55" s="275"/>
      <c r="QCT55" s="137"/>
      <c r="QCU55" s="137"/>
      <c r="QCV55" s="135"/>
      <c r="QCW55" s="137"/>
      <c r="QCY55" s="250"/>
      <c r="QCZ55" s="250"/>
      <c r="QDA55" s="243"/>
      <c r="QDB55" s="276"/>
      <c r="QDC55" s="276"/>
      <c r="QDD55" s="276"/>
      <c r="QDE55" s="244"/>
      <c r="QDF55" s="244"/>
      <c r="QDG55" s="244"/>
      <c r="QDH55" s="245"/>
      <c r="QDI55" s="245"/>
      <c r="QDJ55" s="244"/>
      <c r="QDK55" s="246"/>
      <c r="QDL55" s="247"/>
      <c r="QDM55" s="275"/>
      <c r="QDN55" s="275"/>
      <c r="QDO55" s="275"/>
      <c r="QDP55" s="275"/>
      <c r="QDQ55" s="275"/>
      <c r="QDR55" s="275"/>
      <c r="QDS55" s="137"/>
      <c r="QDT55" s="137"/>
      <c r="QDU55" s="135"/>
      <c r="QDV55" s="137"/>
      <c r="QDX55" s="250"/>
      <c r="QDY55" s="250"/>
      <c r="QDZ55" s="243"/>
      <c r="QEA55" s="276"/>
      <c r="QEB55" s="276"/>
      <c r="QEC55" s="276"/>
      <c r="QED55" s="244"/>
      <c r="QEE55" s="244"/>
      <c r="QEF55" s="244"/>
      <c r="QEG55" s="245"/>
      <c r="QEH55" s="245"/>
      <c r="QEI55" s="244"/>
      <c r="QEJ55" s="246"/>
      <c r="QEK55" s="247"/>
      <c r="QEL55" s="275"/>
      <c r="QEM55" s="275"/>
      <c r="QEN55" s="275"/>
      <c r="QEO55" s="275"/>
      <c r="QEP55" s="275"/>
      <c r="QEQ55" s="275"/>
      <c r="QER55" s="137"/>
      <c r="QES55" s="137"/>
      <c r="QET55" s="135"/>
      <c r="QEU55" s="137"/>
      <c r="QEW55" s="250"/>
      <c r="QEX55" s="250"/>
      <c r="QEY55" s="243"/>
      <c r="QEZ55" s="276"/>
      <c r="QFA55" s="276"/>
      <c r="QFB55" s="276"/>
      <c r="QFC55" s="244"/>
      <c r="QFD55" s="244"/>
      <c r="QFE55" s="244"/>
      <c r="QFF55" s="245"/>
      <c r="QFG55" s="245"/>
      <c r="QFH55" s="244"/>
      <c r="QFI55" s="246"/>
      <c r="QFJ55" s="247"/>
      <c r="QFK55" s="275"/>
      <c r="QFL55" s="275"/>
      <c r="QFM55" s="275"/>
      <c r="QFN55" s="275"/>
      <c r="QFO55" s="275"/>
      <c r="QFP55" s="275"/>
      <c r="QFQ55" s="137"/>
      <c r="QFR55" s="137"/>
      <c r="QFS55" s="135"/>
      <c r="QFT55" s="137"/>
      <c r="QFV55" s="250"/>
      <c r="QFW55" s="250"/>
      <c r="QFX55" s="243"/>
      <c r="QFY55" s="276"/>
      <c r="QFZ55" s="276"/>
      <c r="QGA55" s="276"/>
      <c r="QGB55" s="244"/>
      <c r="QGC55" s="244"/>
      <c r="QGD55" s="244"/>
      <c r="QGE55" s="245"/>
      <c r="QGF55" s="245"/>
      <c r="QGG55" s="244"/>
      <c r="QGH55" s="246"/>
      <c r="QGI55" s="247"/>
      <c r="QGJ55" s="275"/>
      <c r="QGK55" s="275"/>
      <c r="QGL55" s="275"/>
      <c r="QGM55" s="275"/>
      <c r="QGN55" s="275"/>
      <c r="QGO55" s="275"/>
      <c r="QGP55" s="137"/>
      <c r="QGQ55" s="137"/>
      <c r="QGR55" s="135"/>
      <c r="QGS55" s="137"/>
      <c r="QGU55" s="250"/>
      <c r="QGV55" s="250"/>
      <c r="QGW55" s="243"/>
      <c r="QGX55" s="276"/>
      <c r="QGY55" s="276"/>
      <c r="QGZ55" s="276"/>
      <c r="QHA55" s="244"/>
      <c r="QHB55" s="244"/>
      <c r="QHC55" s="244"/>
      <c r="QHD55" s="245"/>
      <c r="QHE55" s="245"/>
      <c r="QHF55" s="244"/>
      <c r="QHG55" s="246"/>
      <c r="QHH55" s="247"/>
      <c r="QHI55" s="275"/>
      <c r="QHJ55" s="275"/>
      <c r="QHK55" s="275"/>
      <c r="QHL55" s="275"/>
      <c r="QHM55" s="275"/>
      <c r="QHN55" s="275"/>
      <c r="QHO55" s="137"/>
      <c r="QHP55" s="137"/>
      <c r="QHQ55" s="135"/>
      <c r="QHR55" s="137"/>
      <c r="QHT55" s="250"/>
      <c r="QHU55" s="250"/>
      <c r="QHV55" s="243"/>
      <c r="QHW55" s="276"/>
      <c r="QHX55" s="276"/>
      <c r="QHY55" s="276"/>
      <c r="QHZ55" s="244"/>
      <c r="QIA55" s="244"/>
      <c r="QIB55" s="244"/>
      <c r="QIC55" s="245"/>
      <c r="QID55" s="245"/>
      <c r="QIE55" s="244"/>
      <c r="QIF55" s="246"/>
      <c r="QIG55" s="247"/>
      <c r="QIH55" s="275"/>
      <c r="QII55" s="275"/>
      <c r="QIJ55" s="275"/>
      <c r="QIK55" s="275"/>
      <c r="QIL55" s="275"/>
      <c r="QIM55" s="275"/>
      <c r="QIN55" s="137"/>
      <c r="QIO55" s="137"/>
      <c r="QIP55" s="135"/>
      <c r="QIQ55" s="137"/>
      <c r="QIS55" s="250"/>
      <c r="QIT55" s="250"/>
      <c r="QIU55" s="243"/>
      <c r="QIV55" s="276"/>
      <c r="QIW55" s="276"/>
      <c r="QIX55" s="276"/>
      <c r="QIY55" s="244"/>
      <c r="QIZ55" s="244"/>
      <c r="QJA55" s="244"/>
      <c r="QJB55" s="245"/>
      <c r="QJC55" s="245"/>
      <c r="QJD55" s="244"/>
      <c r="QJE55" s="246"/>
      <c r="QJF55" s="247"/>
      <c r="QJG55" s="275"/>
      <c r="QJH55" s="275"/>
      <c r="QJI55" s="275"/>
      <c r="QJJ55" s="275"/>
      <c r="QJK55" s="275"/>
      <c r="QJL55" s="275"/>
      <c r="QJM55" s="137"/>
      <c r="QJN55" s="137"/>
      <c r="QJO55" s="135"/>
      <c r="QJP55" s="137"/>
      <c r="QJR55" s="250"/>
      <c r="QJS55" s="250"/>
      <c r="QJT55" s="243"/>
      <c r="QJU55" s="276"/>
      <c r="QJV55" s="276"/>
      <c r="QJW55" s="276"/>
      <c r="QJX55" s="244"/>
      <c r="QJY55" s="244"/>
      <c r="QJZ55" s="244"/>
      <c r="QKA55" s="245"/>
      <c r="QKB55" s="245"/>
      <c r="QKC55" s="244"/>
      <c r="QKD55" s="246"/>
      <c r="QKE55" s="247"/>
      <c r="QKF55" s="275"/>
      <c r="QKG55" s="275"/>
      <c r="QKH55" s="275"/>
      <c r="QKI55" s="275"/>
      <c r="QKJ55" s="275"/>
      <c r="QKK55" s="275"/>
      <c r="QKL55" s="137"/>
      <c r="QKM55" s="137"/>
      <c r="QKN55" s="135"/>
      <c r="QKO55" s="137"/>
      <c r="QKQ55" s="250"/>
      <c r="QKR55" s="250"/>
      <c r="QKS55" s="243"/>
      <c r="QKT55" s="276"/>
      <c r="QKU55" s="276"/>
      <c r="QKV55" s="276"/>
      <c r="QKW55" s="244"/>
      <c r="QKX55" s="244"/>
      <c r="QKY55" s="244"/>
      <c r="QKZ55" s="245"/>
      <c r="QLA55" s="245"/>
      <c r="QLB55" s="244"/>
      <c r="QLC55" s="246"/>
      <c r="QLD55" s="247"/>
      <c r="QLE55" s="275"/>
      <c r="QLF55" s="275"/>
      <c r="QLG55" s="275"/>
      <c r="QLH55" s="275"/>
      <c r="QLI55" s="275"/>
      <c r="QLJ55" s="275"/>
      <c r="QLK55" s="137"/>
      <c r="QLL55" s="137"/>
      <c r="QLM55" s="135"/>
      <c r="QLN55" s="137"/>
      <c r="QLP55" s="250"/>
      <c r="QLQ55" s="250"/>
      <c r="QLR55" s="243"/>
      <c r="QLS55" s="276"/>
      <c r="QLT55" s="276"/>
      <c r="QLU55" s="276"/>
      <c r="QLV55" s="244"/>
      <c r="QLW55" s="244"/>
      <c r="QLX55" s="244"/>
      <c r="QLY55" s="245"/>
      <c r="QLZ55" s="245"/>
      <c r="QMA55" s="244"/>
      <c r="QMB55" s="246"/>
      <c r="QMC55" s="247"/>
      <c r="QMD55" s="275"/>
      <c r="QME55" s="275"/>
      <c r="QMF55" s="275"/>
      <c r="QMG55" s="275"/>
      <c r="QMH55" s="275"/>
      <c r="QMI55" s="275"/>
      <c r="QMJ55" s="137"/>
      <c r="QMK55" s="137"/>
      <c r="QML55" s="135"/>
      <c r="QMM55" s="137"/>
      <c r="QMO55" s="250"/>
      <c r="QMP55" s="250"/>
      <c r="QMQ55" s="243"/>
      <c r="QMR55" s="276"/>
      <c r="QMS55" s="276"/>
      <c r="QMT55" s="276"/>
      <c r="QMU55" s="244"/>
      <c r="QMV55" s="244"/>
      <c r="QMW55" s="244"/>
      <c r="QMX55" s="245"/>
      <c r="QMY55" s="245"/>
      <c r="QMZ55" s="244"/>
      <c r="QNA55" s="246"/>
      <c r="QNB55" s="247"/>
      <c r="QNC55" s="275"/>
      <c r="QND55" s="275"/>
      <c r="QNE55" s="275"/>
      <c r="QNF55" s="275"/>
      <c r="QNG55" s="275"/>
      <c r="QNH55" s="275"/>
      <c r="QNI55" s="137"/>
      <c r="QNJ55" s="137"/>
      <c r="QNK55" s="135"/>
      <c r="QNL55" s="137"/>
      <c r="QNN55" s="250"/>
      <c r="QNO55" s="250"/>
      <c r="QNP55" s="243"/>
      <c r="QNQ55" s="276"/>
      <c r="QNR55" s="276"/>
      <c r="QNS55" s="276"/>
      <c r="QNT55" s="244"/>
      <c r="QNU55" s="244"/>
      <c r="QNV55" s="244"/>
      <c r="QNW55" s="245"/>
      <c r="QNX55" s="245"/>
      <c r="QNY55" s="244"/>
      <c r="QNZ55" s="246"/>
      <c r="QOA55" s="247"/>
      <c r="QOB55" s="275"/>
      <c r="QOC55" s="275"/>
      <c r="QOD55" s="275"/>
      <c r="QOE55" s="275"/>
      <c r="QOF55" s="275"/>
      <c r="QOG55" s="275"/>
      <c r="QOH55" s="137"/>
      <c r="QOI55" s="137"/>
      <c r="QOJ55" s="135"/>
      <c r="QOK55" s="137"/>
      <c r="QOM55" s="250"/>
      <c r="QON55" s="250"/>
      <c r="QOO55" s="243"/>
      <c r="QOP55" s="276"/>
      <c r="QOQ55" s="276"/>
      <c r="QOR55" s="276"/>
      <c r="QOS55" s="244"/>
      <c r="QOT55" s="244"/>
      <c r="QOU55" s="244"/>
      <c r="QOV55" s="245"/>
      <c r="QOW55" s="245"/>
      <c r="QOX55" s="244"/>
      <c r="QOY55" s="246"/>
      <c r="QOZ55" s="247"/>
      <c r="QPA55" s="275"/>
      <c r="QPB55" s="275"/>
      <c r="QPC55" s="275"/>
      <c r="QPD55" s="275"/>
      <c r="QPE55" s="275"/>
      <c r="QPF55" s="275"/>
      <c r="QPG55" s="137"/>
      <c r="QPH55" s="137"/>
      <c r="QPI55" s="135"/>
      <c r="QPJ55" s="137"/>
      <c r="QPL55" s="250"/>
      <c r="QPM55" s="250"/>
      <c r="QPN55" s="243"/>
      <c r="QPO55" s="276"/>
      <c r="QPP55" s="276"/>
      <c r="QPQ55" s="276"/>
      <c r="QPR55" s="244"/>
      <c r="QPS55" s="244"/>
      <c r="QPT55" s="244"/>
      <c r="QPU55" s="245"/>
      <c r="QPV55" s="245"/>
      <c r="QPW55" s="244"/>
      <c r="QPX55" s="246"/>
      <c r="QPY55" s="247"/>
      <c r="QPZ55" s="275"/>
      <c r="QQA55" s="275"/>
      <c r="QQB55" s="275"/>
      <c r="QQC55" s="275"/>
      <c r="QQD55" s="275"/>
      <c r="QQE55" s="275"/>
      <c r="QQF55" s="137"/>
      <c r="QQG55" s="137"/>
      <c r="QQH55" s="135"/>
      <c r="QQI55" s="137"/>
      <c r="QQK55" s="250"/>
      <c r="QQL55" s="250"/>
      <c r="QQM55" s="243"/>
      <c r="QQN55" s="276"/>
      <c r="QQO55" s="276"/>
      <c r="QQP55" s="276"/>
      <c r="QQQ55" s="244"/>
      <c r="QQR55" s="244"/>
      <c r="QQS55" s="244"/>
      <c r="QQT55" s="245"/>
      <c r="QQU55" s="245"/>
      <c r="QQV55" s="244"/>
      <c r="QQW55" s="246"/>
      <c r="QQX55" s="247"/>
      <c r="QQY55" s="275"/>
      <c r="QQZ55" s="275"/>
      <c r="QRA55" s="275"/>
      <c r="QRB55" s="275"/>
      <c r="QRC55" s="275"/>
      <c r="QRD55" s="275"/>
      <c r="QRE55" s="137"/>
      <c r="QRF55" s="137"/>
      <c r="QRG55" s="135"/>
      <c r="QRH55" s="137"/>
      <c r="QRJ55" s="250"/>
      <c r="QRK55" s="250"/>
      <c r="QRL55" s="243"/>
      <c r="QRM55" s="276"/>
      <c r="QRN55" s="276"/>
      <c r="QRO55" s="276"/>
      <c r="QRP55" s="244"/>
      <c r="QRQ55" s="244"/>
      <c r="QRR55" s="244"/>
      <c r="QRS55" s="245"/>
      <c r="QRT55" s="245"/>
      <c r="QRU55" s="244"/>
      <c r="QRV55" s="246"/>
      <c r="QRW55" s="247"/>
      <c r="QRX55" s="275"/>
      <c r="QRY55" s="275"/>
      <c r="QRZ55" s="275"/>
      <c r="QSA55" s="275"/>
      <c r="QSB55" s="275"/>
      <c r="QSC55" s="275"/>
      <c r="QSD55" s="137"/>
      <c r="QSE55" s="137"/>
      <c r="QSF55" s="135"/>
      <c r="QSG55" s="137"/>
      <c r="QSI55" s="250"/>
      <c r="QSJ55" s="250"/>
      <c r="QSK55" s="243"/>
      <c r="QSL55" s="276"/>
      <c r="QSM55" s="276"/>
      <c r="QSN55" s="276"/>
      <c r="QSO55" s="244"/>
      <c r="QSP55" s="244"/>
      <c r="QSQ55" s="244"/>
      <c r="QSR55" s="245"/>
      <c r="QSS55" s="245"/>
      <c r="QST55" s="244"/>
      <c r="QSU55" s="246"/>
      <c r="QSV55" s="247"/>
      <c r="QSW55" s="275"/>
      <c r="QSX55" s="275"/>
      <c r="QSY55" s="275"/>
      <c r="QSZ55" s="275"/>
      <c r="QTA55" s="275"/>
      <c r="QTB55" s="275"/>
      <c r="QTC55" s="137"/>
      <c r="QTD55" s="137"/>
      <c r="QTE55" s="135"/>
      <c r="QTF55" s="137"/>
      <c r="QTH55" s="250"/>
      <c r="QTI55" s="250"/>
      <c r="QTJ55" s="243"/>
      <c r="QTK55" s="276"/>
      <c r="QTL55" s="276"/>
      <c r="QTM55" s="276"/>
      <c r="QTN55" s="244"/>
      <c r="QTO55" s="244"/>
      <c r="QTP55" s="244"/>
      <c r="QTQ55" s="245"/>
      <c r="QTR55" s="245"/>
      <c r="QTS55" s="244"/>
      <c r="QTT55" s="246"/>
      <c r="QTU55" s="247"/>
      <c r="QTV55" s="275"/>
      <c r="QTW55" s="275"/>
      <c r="QTX55" s="275"/>
      <c r="QTY55" s="275"/>
      <c r="QTZ55" s="275"/>
      <c r="QUA55" s="275"/>
      <c r="QUB55" s="137"/>
      <c r="QUC55" s="137"/>
      <c r="QUD55" s="135"/>
      <c r="QUE55" s="137"/>
      <c r="QUG55" s="250"/>
      <c r="QUH55" s="250"/>
      <c r="QUI55" s="243"/>
      <c r="QUJ55" s="276"/>
      <c r="QUK55" s="276"/>
      <c r="QUL55" s="276"/>
      <c r="QUM55" s="244"/>
      <c r="QUN55" s="244"/>
      <c r="QUO55" s="244"/>
      <c r="QUP55" s="245"/>
      <c r="QUQ55" s="245"/>
      <c r="QUR55" s="244"/>
      <c r="QUS55" s="246"/>
      <c r="QUT55" s="247"/>
      <c r="QUU55" s="275"/>
      <c r="QUV55" s="275"/>
      <c r="QUW55" s="275"/>
      <c r="QUX55" s="275"/>
      <c r="QUY55" s="275"/>
      <c r="QUZ55" s="275"/>
      <c r="QVA55" s="137"/>
      <c r="QVB55" s="137"/>
      <c r="QVC55" s="135"/>
      <c r="QVD55" s="137"/>
      <c r="QVF55" s="250"/>
      <c r="QVG55" s="250"/>
      <c r="QVH55" s="243"/>
      <c r="QVI55" s="276"/>
      <c r="QVJ55" s="276"/>
      <c r="QVK55" s="276"/>
      <c r="QVL55" s="244"/>
      <c r="QVM55" s="244"/>
      <c r="QVN55" s="244"/>
      <c r="QVO55" s="245"/>
      <c r="QVP55" s="245"/>
      <c r="QVQ55" s="244"/>
      <c r="QVR55" s="246"/>
      <c r="QVS55" s="247"/>
      <c r="QVT55" s="275"/>
      <c r="QVU55" s="275"/>
      <c r="QVV55" s="275"/>
      <c r="QVW55" s="275"/>
      <c r="QVX55" s="275"/>
      <c r="QVY55" s="275"/>
      <c r="QVZ55" s="137"/>
      <c r="QWA55" s="137"/>
      <c r="QWB55" s="135"/>
      <c r="QWC55" s="137"/>
      <c r="QWE55" s="250"/>
      <c r="QWF55" s="250"/>
      <c r="QWG55" s="243"/>
      <c r="QWH55" s="276"/>
      <c r="QWI55" s="276"/>
      <c r="QWJ55" s="276"/>
      <c r="QWK55" s="244"/>
      <c r="QWL55" s="244"/>
      <c r="QWM55" s="244"/>
      <c r="QWN55" s="245"/>
      <c r="QWO55" s="245"/>
      <c r="QWP55" s="244"/>
      <c r="QWQ55" s="246"/>
      <c r="QWR55" s="247"/>
      <c r="QWS55" s="275"/>
      <c r="QWT55" s="275"/>
      <c r="QWU55" s="275"/>
      <c r="QWV55" s="275"/>
      <c r="QWW55" s="275"/>
      <c r="QWX55" s="275"/>
      <c r="QWY55" s="137"/>
      <c r="QWZ55" s="137"/>
      <c r="QXA55" s="135"/>
      <c r="QXB55" s="137"/>
      <c r="QXD55" s="250"/>
      <c r="QXE55" s="250"/>
      <c r="QXF55" s="243"/>
      <c r="QXG55" s="276"/>
      <c r="QXH55" s="276"/>
      <c r="QXI55" s="276"/>
      <c r="QXJ55" s="244"/>
      <c r="QXK55" s="244"/>
      <c r="QXL55" s="244"/>
      <c r="QXM55" s="245"/>
      <c r="QXN55" s="245"/>
      <c r="QXO55" s="244"/>
      <c r="QXP55" s="246"/>
      <c r="QXQ55" s="247"/>
      <c r="QXR55" s="275"/>
      <c r="QXS55" s="275"/>
      <c r="QXT55" s="275"/>
      <c r="QXU55" s="275"/>
      <c r="QXV55" s="275"/>
      <c r="QXW55" s="275"/>
      <c r="QXX55" s="137"/>
      <c r="QXY55" s="137"/>
      <c r="QXZ55" s="135"/>
      <c r="QYA55" s="137"/>
      <c r="QYC55" s="250"/>
      <c r="QYD55" s="250"/>
      <c r="QYE55" s="243"/>
      <c r="QYF55" s="276"/>
      <c r="QYG55" s="276"/>
      <c r="QYH55" s="276"/>
      <c r="QYI55" s="244"/>
      <c r="QYJ55" s="244"/>
      <c r="QYK55" s="244"/>
      <c r="QYL55" s="245"/>
      <c r="QYM55" s="245"/>
      <c r="QYN55" s="244"/>
      <c r="QYO55" s="246"/>
      <c r="QYP55" s="247"/>
      <c r="QYQ55" s="275"/>
      <c r="QYR55" s="275"/>
      <c r="QYS55" s="275"/>
      <c r="QYT55" s="275"/>
      <c r="QYU55" s="275"/>
      <c r="QYV55" s="275"/>
      <c r="QYW55" s="137"/>
      <c r="QYX55" s="137"/>
      <c r="QYY55" s="135"/>
      <c r="QYZ55" s="137"/>
      <c r="QZB55" s="250"/>
      <c r="QZC55" s="250"/>
      <c r="QZD55" s="243"/>
      <c r="QZE55" s="276"/>
      <c r="QZF55" s="276"/>
      <c r="QZG55" s="276"/>
      <c r="QZH55" s="244"/>
      <c r="QZI55" s="244"/>
      <c r="QZJ55" s="244"/>
      <c r="QZK55" s="245"/>
      <c r="QZL55" s="245"/>
      <c r="QZM55" s="244"/>
      <c r="QZN55" s="246"/>
      <c r="QZO55" s="247"/>
      <c r="QZP55" s="275"/>
      <c r="QZQ55" s="275"/>
      <c r="QZR55" s="275"/>
      <c r="QZS55" s="275"/>
      <c r="QZT55" s="275"/>
      <c r="QZU55" s="275"/>
      <c r="QZV55" s="137"/>
      <c r="QZW55" s="137"/>
      <c r="QZX55" s="135"/>
      <c r="QZY55" s="137"/>
      <c r="RAA55" s="250"/>
      <c r="RAB55" s="250"/>
      <c r="RAC55" s="243"/>
      <c r="RAD55" s="276"/>
      <c r="RAE55" s="276"/>
      <c r="RAF55" s="276"/>
      <c r="RAG55" s="244"/>
      <c r="RAH55" s="244"/>
      <c r="RAI55" s="244"/>
      <c r="RAJ55" s="245"/>
      <c r="RAK55" s="245"/>
      <c r="RAL55" s="244"/>
      <c r="RAM55" s="246"/>
      <c r="RAN55" s="247"/>
      <c r="RAO55" s="275"/>
      <c r="RAP55" s="275"/>
      <c r="RAQ55" s="275"/>
      <c r="RAR55" s="275"/>
      <c r="RAS55" s="275"/>
      <c r="RAT55" s="275"/>
      <c r="RAU55" s="137"/>
      <c r="RAV55" s="137"/>
      <c r="RAW55" s="135"/>
      <c r="RAX55" s="137"/>
      <c r="RAZ55" s="250"/>
      <c r="RBA55" s="250"/>
      <c r="RBB55" s="243"/>
      <c r="RBC55" s="276"/>
      <c r="RBD55" s="276"/>
      <c r="RBE55" s="276"/>
      <c r="RBF55" s="244"/>
      <c r="RBG55" s="244"/>
      <c r="RBH55" s="244"/>
      <c r="RBI55" s="245"/>
      <c r="RBJ55" s="245"/>
      <c r="RBK55" s="244"/>
      <c r="RBL55" s="246"/>
      <c r="RBM55" s="247"/>
      <c r="RBN55" s="275"/>
      <c r="RBO55" s="275"/>
      <c r="RBP55" s="275"/>
      <c r="RBQ55" s="275"/>
      <c r="RBR55" s="275"/>
      <c r="RBS55" s="275"/>
      <c r="RBT55" s="137"/>
      <c r="RBU55" s="137"/>
      <c r="RBV55" s="135"/>
      <c r="RBW55" s="137"/>
      <c r="RBY55" s="250"/>
      <c r="RBZ55" s="250"/>
      <c r="RCA55" s="243"/>
      <c r="RCB55" s="276"/>
      <c r="RCC55" s="276"/>
      <c r="RCD55" s="276"/>
      <c r="RCE55" s="244"/>
      <c r="RCF55" s="244"/>
      <c r="RCG55" s="244"/>
      <c r="RCH55" s="245"/>
      <c r="RCI55" s="245"/>
      <c r="RCJ55" s="244"/>
      <c r="RCK55" s="246"/>
      <c r="RCL55" s="247"/>
      <c r="RCM55" s="275"/>
      <c r="RCN55" s="275"/>
      <c r="RCO55" s="275"/>
      <c r="RCP55" s="275"/>
      <c r="RCQ55" s="275"/>
      <c r="RCR55" s="275"/>
      <c r="RCS55" s="137"/>
      <c r="RCT55" s="137"/>
      <c r="RCU55" s="135"/>
      <c r="RCV55" s="137"/>
      <c r="RCX55" s="250"/>
      <c r="RCY55" s="250"/>
      <c r="RCZ55" s="243"/>
      <c r="RDA55" s="276"/>
      <c r="RDB55" s="276"/>
      <c r="RDC55" s="276"/>
      <c r="RDD55" s="244"/>
      <c r="RDE55" s="244"/>
      <c r="RDF55" s="244"/>
      <c r="RDG55" s="245"/>
      <c r="RDH55" s="245"/>
      <c r="RDI55" s="244"/>
      <c r="RDJ55" s="246"/>
      <c r="RDK55" s="247"/>
      <c r="RDL55" s="275"/>
      <c r="RDM55" s="275"/>
      <c r="RDN55" s="275"/>
      <c r="RDO55" s="275"/>
      <c r="RDP55" s="275"/>
      <c r="RDQ55" s="275"/>
      <c r="RDR55" s="137"/>
      <c r="RDS55" s="137"/>
      <c r="RDT55" s="135"/>
      <c r="RDU55" s="137"/>
      <c r="RDW55" s="250"/>
      <c r="RDX55" s="250"/>
      <c r="RDY55" s="243"/>
      <c r="RDZ55" s="276"/>
      <c r="REA55" s="276"/>
      <c r="REB55" s="276"/>
      <c r="REC55" s="244"/>
      <c r="RED55" s="244"/>
      <c r="REE55" s="244"/>
      <c r="REF55" s="245"/>
      <c r="REG55" s="245"/>
      <c r="REH55" s="244"/>
      <c r="REI55" s="246"/>
      <c r="REJ55" s="247"/>
      <c r="REK55" s="275"/>
      <c r="REL55" s="275"/>
      <c r="REM55" s="275"/>
      <c r="REN55" s="275"/>
      <c r="REO55" s="275"/>
      <c r="REP55" s="275"/>
      <c r="REQ55" s="137"/>
      <c r="RER55" s="137"/>
      <c r="RES55" s="135"/>
      <c r="RET55" s="137"/>
      <c r="REV55" s="250"/>
      <c r="REW55" s="250"/>
      <c r="REX55" s="243"/>
      <c r="REY55" s="276"/>
      <c r="REZ55" s="276"/>
      <c r="RFA55" s="276"/>
      <c r="RFB55" s="244"/>
      <c r="RFC55" s="244"/>
      <c r="RFD55" s="244"/>
      <c r="RFE55" s="245"/>
      <c r="RFF55" s="245"/>
      <c r="RFG55" s="244"/>
      <c r="RFH55" s="246"/>
      <c r="RFI55" s="247"/>
      <c r="RFJ55" s="275"/>
      <c r="RFK55" s="275"/>
      <c r="RFL55" s="275"/>
      <c r="RFM55" s="275"/>
      <c r="RFN55" s="275"/>
      <c r="RFO55" s="275"/>
      <c r="RFP55" s="137"/>
      <c r="RFQ55" s="137"/>
      <c r="RFR55" s="135"/>
      <c r="RFS55" s="137"/>
      <c r="RFU55" s="250"/>
      <c r="RFV55" s="250"/>
      <c r="RFW55" s="243"/>
      <c r="RFX55" s="276"/>
      <c r="RFY55" s="276"/>
      <c r="RFZ55" s="276"/>
      <c r="RGA55" s="244"/>
      <c r="RGB55" s="244"/>
      <c r="RGC55" s="244"/>
      <c r="RGD55" s="245"/>
      <c r="RGE55" s="245"/>
      <c r="RGF55" s="244"/>
      <c r="RGG55" s="246"/>
      <c r="RGH55" s="247"/>
      <c r="RGI55" s="275"/>
      <c r="RGJ55" s="275"/>
      <c r="RGK55" s="275"/>
      <c r="RGL55" s="275"/>
      <c r="RGM55" s="275"/>
      <c r="RGN55" s="275"/>
      <c r="RGO55" s="137"/>
      <c r="RGP55" s="137"/>
      <c r="RGQ55" s="135"/>
      <c r="RGR55" s="137"/>
      <c r="RGT55" s="250"/>
      <c r="RGU55" s="250"/>
      <c r="RGV55" s="243"/>
      <c r="RGW55" s="276"/>
      <c r="RGX55" s="276"/>
      <c r="RGY55" s="276"/>
      <c r="RGZ55" s="244"/>
      <c r="RHA55" s="244"/>
      <c r="RHB55" s="244"/>
      <c r="RHC55" s="245"/>
      <c r="RHD55" s="245"/>
      <c r="RHE55" s="244"/>
      <c r="RHF55" s="246"/>
      <c r="RHG55" s="247"/>
      <c r="RHH55" s="275"/>
      <c r="RHI55" s="275"/>
      <c r="RHJ55" s="275"/>
      <c r="RHK55" s="275"/>
      <c r="RHL55" s="275"/>
      <c r="RHM55" s="275"/>
      <c r="RHN55" s="137"/>
      <c r="RHO55" s="137"/>
      <c r="RHP55" s="135"/>
      <c r="RHQ55" s="137"/>
      <c r="RHS55" s="250"/>
      <c r="RHT55" s="250"/>
      <c r="RHU55" s="243"/>
      <c r="RHV55" s="276"/>
      <c r="RHW55" s="276"/>
      <c r="RHX55" s="276"/>
      <c r="RHY55" s="244"/>
      <c r="RHZ55" s="244"/>
      <c r="RIA55" s="244"/>
      <c r="RIB55" s="245"/>
      <c r="RIC55" s="245"/>
      <c r="RID55" s="244"/>
      <c r="RIE55" s="246"/>
      <c r="RIF55" s="247"/>
      <c r="RIG55" s="275"/>
      <c r="RIH55" s="275"/>
      <c r="RII55" s="275"/>
      <c r="RIJ55" s="275"/>
      <c r="RIK55" s="275"/>
      <c r="RIL55" s="275"/>
      <c r="RIM55" s="137"/>
      <c r="RIN55" s="137"/>
      <c r="RIO55" s="135"/>
      <c r="RIP55" s="137"/>
      <c r="RIR55" s="250"/>
      <c r="RIS55" s="250"/>
      <c r="RIT55" s="243"/>
      <c r="RIU55" s="276"/>
      <c r="RIV55" s="276"/>
      <c r="RIW55" s="276"/>
      <c r="RIX55" s="244"/>
      <c r="RIY55" s="244"/>
      <c r="RIZ55" s="244"/>
      <c r="RJA55" s="245"/>
      <c r="RJB55" s="245"/>
      <c r="RJC55" s="244"/>
      <c r="RJD55" s="246"/>
      <c r="RJE55" s="247"/>
      <c r="RJF55" s="275"/>
      <c r="RJG55" s="275"/>
      <c r="RJH55" s="275"/>
      <c r="RJI55" s="275"/>
      <c r="RJJ55" s="275"/>
      <c r="RJK55" s="275"/>
      <c r="RJL55" s="137"/>
      <c r="RJM55" s="137"/>
      <c r="RJN55" s="135"/>
      <c r="RJO55" s="137"/>
      <c r="RJQ55" s="250"/>
      <c r="RJR55" s="250"/>
      <c r="RJS55" s="243"/>
      <c r="RJT55" s="276"/>
      <c r="RJU55" s="276"/>
      <c r="RJV55" s="276"/>
      <c r="RJW55" s="244"/>
      <c r="RJX55" s="244"/>
      <c r="RJY55" s="244"/>
      <c r="RJZ55" s="245"/>
      <c r="RKA55" s="245"/>
      <c r="RKB55" s="244"/>
      <c r="RKC55" s="246"/>
      <c r="RKD55" s="247"/>
      <c r="RKE55" s="275"/>
      <c r="RKF55" s="275"/>
      <c r="RKG55" s="275"/>
      <c r="RKH55" s="275"/>
      <c r="RKI55" s="275"/>
      <c r="RKJ55" s="275"/>
      <c r="RKK55" s="137"/>
      <c r="RKL55" s="137"/>
      <c r="RKM55" s="135"/>
      <c r="RKN55" s="137"/>
      <c r="RKP55" s="250"/>
      <c r="RKQ55" s="250"/>
      <c r="RKR55" s="243"/>
      <c r="RKS55" s="276"/>
      <c r="RKT55" s="276"/>
      <c r="RKU55" s="276"/>
      <c r="RKV55" s="244"/>
      <c r="RKW55" s="244"/>
      <c r="RKX55" s="244"/>
      <c r="RKY55" s="245"/>
      <c r="RKZ55" s="245"/>
      <c r="RLA55" s="244"/>
      <c r="RLB55" s="246"/>
      <c r="RLC55" s="247"/>
      <c r="RLD55" s="275"/>
      <c r="RLE55" s="275"/>
      <c r="RLF55" s="275"/>
      <c r="RLG55" s="275"/>
      <c r="RLH55" s="275"/>
      <c r="RLI55" s="275"/>
      <c r="RLJ55" s="137"/>
      <c r="RLK55" s="137"/>
      <c r="RLL55" s="135"/>
      <c r="RLM55" s="137"/>
      <c r="RLO55" s="250"/>
      <c r="RLP55" s="250"/>
      <c r="RLQ55" s="243"/>
      <c r="RLR55" s="276"/>
      <c r="RLS55" s="276"/>
      <c r="RLT55" s="276"/>
      <c r="RLU55" s="244"/>
      <c r="RLV55" s="244"/>
      <c r="RLW55" s="244"/>
      <c r="RLX55" s="245"/>
      <c r="RLY55" s="245"/>
      <c r="RLZ55" s="244"/>
      <c r="RMA55" s="246"/>
      <c r="RMB55" s="247"/>
      <c r="RMC55" s="275"/>
      <c r="RMD55" s="275"/>
      <c r="RME55" s="275"/>
      <c r="RMF55" s="275"/>
      <c r="RMG55" s="275"/>
      <c r="RMH55" s="275"/>
      <c r="RMI55" s="137"/>
      <c r="RMJ55" s="137"/>
      <c r="RMK55" s="135"/>
      <c r="RML55" s="137"/>
      <c r="RMN55" s="250"/>
      <c r="RMO55" s="250"/>
      <c r="RMP55" s="243"/>
      <c r="RMQ55" s="276"/>
      <c r="RMR55" s="276"/>
      <c r="RMS55" s="276"/>
      <c r="RMT55" s="244"/>
      <c r="RMU55" s="244"/>
      <c r="RMV55" s="244"/>
      <c r="RMW55" s="245"/>
      <c r="RMX55" s="245"/>
      <c r="RMY55" s="244"/>
      <c r="RMZ55" s="246"/>
      <c r="RNA55" s="247"/>
      <c r="RNB55" s="275"/>
      <c r="RNC55" s="275"/>
      <c r="RND55" s="275"/>
      <c r="RNE55" s="275"/>
      <c r="RNF55" s="275"/>
      <c r="RNG55" s="275"/>
      <c r="RNH55" s="137"/>
      <c r="RNI55" s="137"/>
      <c r="RNJ55" s="135"/>
      <c r="RNK55" s="137"/>
      <c r="RNM55" s="250"/>
      <c r="RNN55" s="250"/>
      <c r="RNO55" s="243"/>
      <c r="RNP55" s="276"/>
      <c r="RNQ55" s="276"/>
      <c r="RNR55" s="276"/>
      <c r="RNS55" s="244"/>
      <c r="RNT55" s="244"/>
      <c r="RNU55" s="244"/>
      <c r="RNV55" s="245"/>
      <c r="RNW55" s="245"/>
      <c r="RNX55" s="244"/>
      <c r="RNY55" s="246"/>
      <c r="RNZ55" s="247"/>
      <c r="ROA55" s="275"/>
      <c r="ROB55" s="275"/>
      <c r="ROC55" s="275"/>
      <c r="ROD55" s="275"/>
      <c r="ROE55" s="275"/>
      <c r="ROF55" s="275"/>
      <c r="ROG55" s="137"/>
      <c r="ROH55" s="137"/>
      <c r="ROI55" s="135"/>
      <c r="ROJ55" s="137"/>
      <c r="ROL55" s="250"/>
      <c r="ROM55" s="250"/>
      <c r="RON55" s="243"/>
      <c r="ROO55" s="276"/>
      <c r="ROP55" s="276"/>
      <c r="ROQ55" s="276"/>
      <c r="ROR55" s="244"/>
      <c r="ROS55" s="244"/>
      <c r="ROT55" s="244"/>
      <c r="ROU55" s="245"/>
      <c r="ROV55" s="245"/>
      <c r="ROW55" s="244"/>
      <c r="ROX55" s="246"/>
      <c r="ROY55" s="247"/>
      <c r="ROZ55" s="275"/>
      <c r="RPA55" s="275"/>
      <c r="RPB55" s="275"/>
      <c r="RPC55" s="275"/>
      <c r="RPD55" s="275"/>
      <c r="RPE55" s="275"/>
      <c r="RPF55" s="137"/>
      <c r="RPG55" s="137"/>
      <c r="RPH55" s="135"/>
      <c r="RPI55" s="137"/>
      <c r="RPK55" s="250"/>
      <c r="RPL55" s="250"/>
      <c r="RPM55" s="243"/>
      <c r="RPN55" s="276"/>
      <c r="RPO55" s="276"/>
      <c r="RPP55" s="276"/>
      <c r="RPQ55" s="244"/>
      <c r="RPR55" s="244"/>
      <c r="RPS55" s="244"/>
      <c r="RPT55" s="245"/>
      <c r="RPU55" s="245"/>
      <c r="RPV55" s="244"/>
      <c r="RPW55" s="246"/>
      <c r="RPX55" s="247"/>
      <c r="RPY55" s="275"/>
      <c r="RPZ55" s="275"/>
      <c r="RQA55" s="275"/>
      <c r="RQB55" s="275"/>
      <c r="RQC55" s="275"/>
      <c r="RQD55" s="275"/>
      <c r="RQE55" s="137"/>
      <c r="RQF55" s="137"/>
      <c r="RQG55" s="135"/>
      <c r="RQH55" s="137"/>
      <c r="RQJ55" s="250"/>
      <c r="RQK55" s="250"/>
      <c r="RQL55" s="243"/>
      <c r="RQM55" s="276"/>
      <c r="RQN55" s="276"/>
      <c r="RQO55" s="276"/>
      <c r="RQP55" s="244"/>
      <c r="RQQ55" s="244"/>
      <c r="RQR55" s="244"/>
      <c r="RQS55" s="245"/>
      <c r="RQT55" s="245"/>
      <c r="RQU55" s="244"/>
      <c r="RQV55" s="246"/>
      <c r="RQW55" s="247"/>
      <c r="RQX55" s="275"/>
      <c r="RQY55" s="275"/>
      <c r="RQZ55" s="275"/>
      <c r="RRA55" s="275"/>
      <c r="RRB55" s="275"/>
      <c r="RRC55" s="275"/>
      <c r="RRD55" s="137"/>
      <c r="RRE55" s="137"/>
      <c r="RRF55" s="135"/>
      <c r="RRG55" s="137"/>
      <c r="RRI55" s="250"/>
      <c r="RRJ55" s="250"/>
      <c r="RRK55" s="243"/>
      <c r="RRL55" s="276"/>
      <c r="RRM55" s="276"/>
      <c r="RRN55" s="276"/>
      <c r="RRO55" s="244"/>
      <c r="RRP55" s="244"/>
      <c r="RRQ55" s="244"/>
      <c r="RRR55" s="245"/>
      <c r="RRS55" s="245"/>
      <c r="RRT55" s="244"/>
      <c r="RRU55" s="246"/>
      <c r="RRV55" s="247"/>
      <c r="RRW55" s="275"/>
      <c r="RRX55" s="275"/>
      <c r="RRY55" s="275"/>
      <c r="RRZ55" s="275"/>
      <c r="RSA55" s="275"/>
      <c r="RSB55" s="275"/>
      <c r="RSC55" s="137"/>
      <c r="RSD55" s="137"/>
      <c r="RSE55" s="135"/>
      <c r="RSF55" s="137"/>
      <c r="RSH55" s="250"/>
      <c r="RSI55" s="250"/>
      <c r="RSJ55" s="243"/>
      <c r="RSK55" s="276"/>
      <c r="RSL55" s="276"/>
      <c r="RSM55" s="276"/>
      <c r="RSN55" s="244"/>
      <c r="RSO55" s="244"/>
      <c r="RSP55" s="244"/>
      <c r="RSQ55" s="245"/>
      <c r="RSR55" s="245"/>
      <c r="RSS55" s="244"/>
      <c r="RST55" s="246"/>
      <c r="RSU55" s="247"/>
      <c r="RSV55" s="275"/>
      <c r="RSW55" s="275"/>
      <c r="RSX55" s="275"/>
      <c r="RSY55" s="275"/>
      <c r="RSZ55" s="275"/>
      <c r="RTA55" s="275"/>
      <c r="RTB55" s="137"/>
      <c r="RTC55" s="137"/>
      <c r="RTD55" s="135"/>
      <c r="RTE55" s="137"/>
      <c r="RTG55" s="250"/>
      <c r="RTH55" s="250"/>
      <c r="RTI55" s="243"/>
      <c r="RTJ55" s="276"/>
      <c r="RTK55" s="276"/>
      <c r="RTL55" s="276"/>
      <c r="RTM55" s="244"/>
      <c r="RTN55" s="244"/>
      <c r="RTO55" s="244"/>
      <c r="RTP55" s="245"/>
      <c r="RTQ55" s="245"/>
      <c r="RTR55" s="244"/>
      <c r="RTS55" s="246"/>
      <c r="RTT55" s="247"/>
      <c r="RTU55" s="275"/>
      <c r="RTV55" s="275"/>
      <c r="RTW55" s="275"/>
      <c r="RTX55" s="275"/>
      <c r="RTY55" s="275"/>
      <c r="RTZ55" s="275"/>
      <c r="RUA55" s="137"/>
      <c r="RUB55" s="137"/>
      <c r="RUC55" s="135"/>
      <c r="RUD55" s="137"/>
      <c r="RUF55" s="250"/>
      <c r="RUG55" s="250"/>
      <c r="RUH55" s="243"/>
      <c r="RUI55" s="276"/>
      <c r="RUJ55" s="276"/>
      <c r="RUK55" s="276"/>
      <c r="RUL55" s="244"/>
      <c r="RUM55" s="244"/>
      <c r="RUN55" s="244"/>
      <c r="RUO55" s="245"/>
      <c r="RUP55" s="245"/>
      <c r="RUQ55" s="244"/>
      <c r="RUR55" s="246"/>
      <c r="RUS55" s="247"/>
      <c r="RUT55" s="275"/>
      <c r="RUU55" s="275"/>
      <c r="RUV55" s="275"/>
      <c r="RUW55" s="275"/>
      <c r="RUX55" s="275"/>
      <c r="RUY55" s="275"/>
      <c r="RUZ55" s="137"/>
      <c r="RVA55" s="137"/>
      <c r="RVB55" s="135"/>
      <c r="RVC55" s="137"/>
      <c r="RVE55" s="250"/>
      <c r="RVF55" s="250"/>
      <c r="RVG55" s="243"/>
      <c r="RVH55" s="276"/>
      <c r="RVI55" s="276"/>
      <c r="RVJ55" s="276"/>
      <c r="RVK55" s="244"/>
      <c r="RVL55" s="244"/>
      <c r="RVM55" s="244"/>
      <c r="RVN55" s="245"/>
      <c r="RVO55" s="245"/>
      <c r="RVP55" s="244"/>
      <c r="RVQ55" s="246"/>
      <c r="RVR55" s="247"/>
      <c r="RVS55" s="275"/>
      <c r="RVT55" s="275"/>
      <c r="RVU55" s="275"/>
      <c r="RVV55" s="275"/>
      <c r="RVW55" s="275"/>
      <c r="RVX55" s="275"/>
      <c r="RVY55" s="137"/>
      <c r="RVZ55" s="137"/>
      <c r="RWA55" s="135"/>
      <c r="RWB55" s="137"/>
      <c r="RWD55" s="250"/>
      <c r="RWE55" s="250"/>
      <c r="RWF55" s="243"/>
      <c r="RWG55" s="276"/>
      <c r="RWH55" s="276"/>
      <c r="RWI55" s="276"/>
      <c r="RWJ55" s="244"/>
      <c r="RWK55" s="244"/>
      <c r="RWL55" s="244"/>
      <c r="RWM55" s="245"/>
      <c r="RWN55" s="245"/>
      <c r="RWO55" s="244"/>
      <c r="RWP55" s="246"/>
      <c r="RWQ55" s="247"/>
      <c r="RWR55" s="275"/>
      <c r="RWS55" s="275"/>
      <c r="RWT55" s="275"/>
      <c r="RWU55" s="275"/>
      <c r="RWV55" s="275"/>
      <c r="RWW55" s="275"/>
      <c r="RWX55" s="137"/>
      <c r="RWY55" s="137"/>
      <c r="RWZ55" s="135"/>
      <c r="RXA55" s="137"/>
      <c r="RXC55" s="250"/>
      <c r="RXD55" s="250"/>
      <c r="RXE55" s="243"/>
      <c r="RXF55" s="276"/>
      <c r="RXG55" s="276"/>
      <c r="RXH55" s="276"/>
      <c r="RXI55" s="244"/>
      <c r="RXJ55" s="244"/>
      <c r="RXK55" s="244"/>
      <c r="RXL55" s="245"/>
      <c r="RXM55" s="245"/>
      <c r="RXN55" s="244"/>
      <c r="RXO55" s="246"/>
      <c r="RXP55" s="247"/>
      <c r="RXQ55" s="275"/>
      <c r="RXR55" s="275"/>
      <c r="RXS55" s="275"/>
      <c r="RXT55" s="275"/>
      <c r="RXU55" s="275"/>
      <c r="RXV55" s="275"/>
      <c r="RXW55" s="137"/>
      <c r="RXX55" s="137"/>
      <c r="RXY55" s="135"/>
      <c r="RXZ55" s="137"/>
      <c r="RYB55" s="250"/>
      <c r="RYC55" s="250"/>
      <c r="RYD55" s="243"/>
      <c r="RYE55" s="276"/>
      <c r="RYF55" s="276"/>
      <c r="RYG55" s="276"/>
      <c r="RYH55" s="244"/>
      <c r="RYI55" s="244"/>
      <c r="RYJ55" s="244"/>
      <c r="RYK55" s="245"/>
      <c r="RYL55" s="245"/>
      <c r="RYM55" s="244"/>
      <c r="RYN55" s="246"/>
      <c r="RYO55" s="247"/>
      <c r="RYP55" s="275"/>
      <c r="RYQ55" s="275"/>
      <c r="RYR55" s="275"/>
      <c r="RYS55" s="275"/>
      <c r="RYT55" s="275"/>
      <c r="RYU55" s="275"/>
      <c r="RYV55" s="137"/>
      <c r="RYW55" s="137"/>
      <c r="RYX55" s="135"/>
      <c r="RYY55" s="137"/>
      <c r="RZA55" s="250"/>
      <c r="RZB55" s="250"/>
      <c r="RZC55" s="243"/>
      <c r="RZD55" s="276"/>
      <c r="RZE55" s="276"/>
      <c r="RZF55" s="276"/>
      <c r="RZG55" s="244"/>
      <c r="RZH55" s="244"/>
      <c r="RZI55" s="244"/>
      <c r="RZJ55" s="245"/>
      <c r="RZK55" s="245"/>
      <c r="RZL55" s="244"/>
      <c r="RZM55" s="246"/>
      <c r="RZN55" s="247"/>
      <c r="RZO55" s="275"/>
      <c r="RZP55" s="275"/>
      <c r="RZQ55" s="275"/>
      <c r="RZR55" s="275"/>
      <c r="RZS55" s="275"/>
      <c r="RZT55" s="275"/>
      <c r="RZU55" s="137"/>
      <c r="RZV55" s="137"/>
      <c r="RZW55" s="135"/>
      <c r="RZX55" s="137"/>
      <c r="RZZ55" s="250"/>
      <c r="SAA55" s="250"/>
      <c r="SAB55" s="243"/>
      <c r="SAC55" s="276"/>
      <c r="SAD55" s="276"/>
      <c r="SAE55" s="276"/>
      <c r="SAF55" s="244"/>
      <c r="SAG55" s="244"/>
      <c r="SAH55" s="244"/>
      <c r="SAI55" s="245"/>
      <c r="SAJ55" s="245"/>
      <c r="SAK55" s="244"/>
      <c r="SAL55" s="246"/>
      <c r="SAM55" s="247"/>
      <c r="SAN55" s="275"/>
      <c r="SAO55" s="275"/>
      <c r="SAP55" s="275"/>
      <c r="SAQ55" s="275"/>
      <c r="SAR55" s="275"/>
      <c r="SAS55" s="275"/>
      <c r="SAT55" s="137"/>
      <c r="SAU55" s="137"/>
      <c r="SAV55" s="135"/>
      <c r="SAW55" s="137"/>
      <c r="SAY55" s="250"/>
      <c r="SAZ55" s="250"/>
      <c r="SBA55" s="243"/>
      <c r="SBB55" s="276"/>
      <c r="SBC55" s="276"/>
      <c r="SBD55" s="276"/>
      <c r="SBE55" s="244"/>
      <c r="SBF55" s="244"/>
      <c r="SBG55" s="244"/>
      <c r="SBH55" s="245"/>
      <c r="SBI55" s="245"/>
      <c r="SBJ55" s="244"/>
      <c r="SBK55" s="246"/>
      <c r="SBL55" s="247"/>
      <c r="SBM55" s="275"/>
      <c r="SBN55" s="275"/>
      <c r="SBO55" s="275"/>
      <c r="SBP55" s="275"/>
      <c r="SBQ55" s="275"/>
      <c r="SBR55" s="275"/>
      <c r="SBS55" s="137"/>
      <c r="SBT55" s="137"/>
      <c r="SBU55" s="135"/>
      <c r="SBV55" s="137"/>
      <c r="SBX55" s="250"/>
      <c r="SBY55" s="250"/>
      <c r="SBZ55" s="243"/>
      <c r="SCA55" s="276"/>
      <c r="SCB55" s="276"/>
      <c r="SCC55" s="276"/>
      <c r="SCD55" s="244"/>
      <c r="SCE55" s="244"/>
      <c r="SCF55" s="244"/>
      <c r="SCG55" s="245"/>
      <c r="SCH55" s="245"/>
      <c r="SCI55" s="244"/>
      <c r="SCJ55" s="246"/>
      <c r="SCK55" s="247"/>
      <c r="SCL55" s="275"/>
      <c r="SCM55" s="275"/>
      <c r="SCN55" s="275"/>
      <c r="SCO55" s="275"/>
      <c r="SCP55" s="275"/>
      <c r="SCQ55" s="275"/>
      <c r="SCR55" s="137"/>
      <c r="SCS55" s="137"/>
      <c r="SCT55" s="135"/>
      <c r="SCU55" s="137"/>
      <c r="SCW55" s="250"/>
      <c r="SCX55" s="250"/>
      <c r="SCY55" s="243"/>
      <c r="SCZ55" s="276"/>
      <c r="SDA55" s="276"/>
      <c r="SDB55" s="276"/>
      <c r="SDC55" s="244"/>
      <c r="SDD55" s="244"/>
      <c r="SDE55" s="244"/>
      <c r="SDF55" s="245"/>
      <c r="SDG55" s="245"/>
      <c r="SDH55" s="244"/>
      <c r="SDI55" s="246"/>
      <c r="SDJ55" s="247"/>
      <c r="SDK55" s="275"/>
      <c r="SDL55" s="275"/>
      <c r="SDM55" s="275"/>
      <c r="SDN55" s="275"/>
      <c r="SDO55" s="275"/>
      <c r="SDP55" s="275"/>
      <c r="SDQ55" s="137"/>
      <c r="SDR55" s="137"/>
      <c r="SDS55" s="135"/>
      <c r="SDT55" s="137"/>
      <c r="SDV55" s="250"/>
      <c r="SDW55" s="250"/>
      <c r="SDX55" s="243"/>
      <c r="SDY55" s="276"/>
      <c r="SDZ55" s="276"/>
      <c r="SEA55" s="276"/>
      <c r="SEB55" s="244"/>
      <c r="SEC55" s="244"/>
      <c r="SED55" s="244"/>
      <c r="SEE55" s="245"/>
      <c r="SEF55" s="245"/>
      <c r="SEG55" s="244"/>
      <c r="SEH55" s="246"/>
      <c r="SEI55" s="247"/>
      <c r="SEJ55" s="275"/>
      <c r="SEK55" s="275"/>
      <c r="SEL55" s="275"/>
      <c r="SEM55" s="275"/>
      <c r="SEN55" s="275"/>
      <c r="SEO55" s="275"/>
      <c r="SEP55" s="137"/>
      <c r="SEQ55" s="137"/>
      <c r="SER55" s="135"/>
      <c r="SES55" s="137"/>
      <c r="SEU55" s="250"/>
      <c r="SEV55" s="250"/>
      <c r="SEW55" s="243"/>
      <c r="SEX55" s="276"/>
      <c r="SEY55" s="276"/>
      <c r="SEZ55" s="276"/>
      <c r="SFA55" s="244"/>
      <c r="SFB55" s="244"/>
      <c r="SFC55" s="244"/>
      <c r="SFD55" s="245"/>
      <c r="SFE55" s="245"/>
      <c r="SFF55" s="244"/>
      <c r="SFG55" s="246"/>
      <c r="SFH55" s="247"/>
      <c r="SFI55" s="275"/>
      <c r="SFJ55" s="275"/>
      <c r="SFK55" s="275"/>
      <c r="SFL55" s="275"/>
      <c r="SFM55" s="275"/>
      <c r="SFN55" s="275"/>
      <c r="SFO55" s="137"/>
      <c r="SFP55" s="137"/>
      <c r="SFQ55" s="135"/>
      <c r="SFR55" s="137"/>
      <c r="SFT55" s="250"/>
      <c r="SFU55" s="250"/>
      <c r="SFV55" s="243"/>
      <c r="SFW55" s="276"/>
      <c r="SFX55" s="276"/>
      <c r="SFY55" s="276"/>
      <c r="SFZ55" s="244"/>
      <c r="SGA55" s="244"/>
      <c r="SGB55" s="244"/>
      <c r="SGC55" s="245"/>
      <c r="SGD55" s="245"/>
      <c r="SGE55" s="244"/>
      <c r="SGF55" s="246"/>
      <c r="SGG55" s="247"/>
      <c r="SGH55" s="275"/>
      <c r="SGI55" s="275"/>
      <c r="SGJ55" s="275"/>
      <c r="SGK55" s="275"/>
      <c r="SGL55" s="275"/>
      <c r="SGM55" s="275"/>
      <c r="SGN55" s="137"/>
      <c r="SGO55" s="137"/>
      <c r="SGP55" s="135"/>
      <c r="SGQ55" s="137"/>
      <c r="SGS55" s="250"/>
      <c r="SGT55" s="250"/>
      <c r="SGU55" s="243"/>
      <c r="SGV55" s="276"/>
      <c r="SGW55" s="276"/>
      <c r="SGX55" s="276"/>
      <c r="SGY55" s="244"/>
      <c r="SGZ55" s="244"/>
      <c r="SHA55" s="244"/>
      <c r="SHB55" s="245"/>
      <c r="SHC55" s="245"/>
      <c r="SHD55" s="244"/>
      <c r="SHE55" s="246"/>
      <c r="SHF55" s="247"/>
      <c r="SHG55" s="275"/>
      <c r="SHH55" s="275"/>
      <c r="SHI55" s="275"/>
      <c r="SHJ55" s="275"/>
      <c r="SHK55" s="275"/>
      <c r="SHL55" s="275"/>
      <c r="SHM55" s="137"/>
      <c r="SHN55" s="137"/>
      <c r="SHO55" s="135"/>
      <c r="SHP55" s="137"/>
      <c r="SHR55" s="250"/>
      <c r="SHS55" s="250"/>
      <c r="SHT55" s="243"/>
      <c r="SHU55" s="276"/>
      <c r="SHV55" s="276"/>
      <c r="SHW55" s="276"/>
      <c r="SHX55" s="244"/>
      <c r="SHY55" s="244"/>
      <c r="SHZ55" s="244"/>
      <c r="SIA55" s="245"/>
      <c r="SIB55" s="245"/>
      <c r="SIC55" s="244"/>
      <c r="SID55" s="246"/>
      <c r="SIE55" s="247"/>
      <c r="SIF55" s="275"/>
      <c r="SIG55" s="275"/>
      <c r="SIH55" s="275"/>
      <c r="SII55" s="275"/>
      <c r="SIJ55" s="275"/>
      <c r="SIK55" s="275"/>
      <c r="SIL55" s="137"/>
      <c r="SIM55" s="137"/>
      <c r="SIN55" s="135"/>
      <c r="SIO55" s="137"/>
      <c r="SIQ55" s="250"/>
      <c r="SIR55" s="250"/>
      <c r="SIS55" s="243"/>
      <c r="SIT55" s="276"/>
      <c r="SIU55" s="276"/>
      <c r="SIV55" s="276"/>
      <c r="SIW55" s="244"/>
      <c r="SIX55" s="244"/>
      <c r="SIY55" s="244"/>
      <c r="SIZ55" s="245"/>
      <c r="SJA55" s="245"/>
      <c r="SJB55" s="244"/>
      <c r="SJC55" s="246"/>
      <c r="SJD55" s="247"/>
      <c r="SJE55" s="275"/>
      <c r="SJF55" s="275"/>
      <c r="SJG55" s="275"/>
      <c r="SJH55" s="275"/>
      <c r="SJI55" s="275"/>
      <c r="SJJ55" s="275"/>
      <c r="SJK55" s="137"/>
      <c r="SJL55" s="137"/>
      <c r="SJM55" s="135"/>
      <c r="SJN55" s="137"/>
      <c r="SJP55" s="250"/>
      <c r="SJQ55" s="250"/>
      <c r="SJR55" s="243"/>
      <c r="SJS55" s="276"/>
      <c r="SJT55" s="276"/>
      <c r="SJU55" s="276"/>
      <c r="SJV55" s="244"/>
      <c r="SJW55" s="244"/>
      <c r="SJX55" s="244"/>
      <c r="SJY55" s="245"/>
      <c r="SJZ55" s="245"/>
      <c r="SKA55" s="244"/>
      <c r="SKB55" s="246"/>
      <c r="SKC55" s="247"/>
      <c r="SKD55" s="275"/>
      <c r="SKE55" s="275"/>
      <c r="SKF55" s="275"/>
      <c r="SKG55" s="275"/>
      <c r="SKH55" s="275"/>
      <c r="SKI55" s="275"/>
      <c r="SKJ55" s="137"/>
      <c r="SKK55" s="137"/>
      <c r="SKL55" s="135"/>
      <c r="SKM55" s="137"/>
      <c r="SKO55" s="250"/>
      <c r="SKP55" s="250"/>
      <c r="SKQ55" s="243"/>
      <c r="SKR55" s="276"/>
      <c r="SKS55" s="276"/>
      <c r="SKT55" s="276"/>
      <c r="SKU55" s="244"/>
      <c r="SKV55" s="244"/>
      <c r="SKW55" s="244"/>
      <c r="SKX55" s="245"/>
      <c r="SKY55" s="245"/>
      <c r="SKZ55" s="244"/>
      <c r="SLA55" s="246"/>
      <c r="SLB55" s="247"/>
      <c r="SLC55" s="275"/>
      <c r="SLD55" s="275"/>
      <c r="SLE55" s="275"/>
      <c r="SLF55" s="275"/>
      <c r="SLG55" s="275"/>
      <c r="SLH55" s="275"/>
      <c r="SLI55" s="137"/>
      <c r="SLJ55" s="137"/>
      <c r="SLK55" s="135"/>
      <c r="SLL55" s="137"/>
      <c r="SLN55" s="250"/>
      <c r="SLO55" s="250"/>
      <c r="SLP55" s="243"/>
      <c r="SLQ55" s="276"/>
      <c r="SLR55" s="276"/>
      <c r="SLS55" s="276"/>
      <c r="SLT55" s="244"/>
      <c r="SLU55" s="244"/>
      <c r="SLV55" s="244"/>
      <c r="SLW55" s="245"/>
      <c r="SLX55" s="245"/>
      <c r="SLY55" s="244"/>
      <c r="SLZ55" s="246"/>
      <c r="SMA55" s="247"/>
      <c r="SMB55" s="275"/>
      <c r="SMC55" s="275"/>
      <c r="SMD55" s="275"/>
      <c r="SME55" s="275"/>
      <c r="SMF55" s="275"/>
      <c r="SMG55" s="275"/>
      <c r="SMH55" s="137"/>
      <c r="SMI55" s="137"/>
      <c r="SMJ55" s="135"/>
      <c r="SMK55" s="137"/>
      <c r="SMM55" s="250"/>
      <c r="SMN55" s="250"/>
      <c r="SMO55" s="243"/>
      <c r="SMP55" s="276"/>
      <c r="SMQ55" s="276"/>
      <c r="SMR55" s="276"/>
      <c r="SMS55" s="244"/>
      <c r="SMT55" s="244"/>
      <c r="SMU55" s="244"/>
      <c r="SMV55" s="245"/>
      <c r="SMW55" s="245"/>
      <c r="SMX55" s="244"/>
      <c r="SMY55" s="246"/>
      <c r="SMZ55" s="247"/>
      <c r="SNA55" s="275"/>
      <c r="SNB55" s="275"/>
      <c r="SNC55" s="275"/>
      <c r="SND55" s="275"/>
      <c r="SNE55" s="275"/>
      <c r="SNF55" s="275"/>
      <c r="SNG55" s="137"/>
      <c r="SNH55" s="137"/>
      <c r="SNI55" s="135"/>
      <c r="SNJ55" s="137"/>
      <c r="SNL55" s="250"/>
      <c r="SNM55" s="250"/>
      <c r="SNN55" s="243"/>
      <c r="SNO55" s="276"/>
      <c r="SNP55" s="276"/>
      <c r="SNQ55" s="276"/>
      <c r="SNR55" s="244"/>
      <c r="SNS55" s="244"/>
      <c r="SNT55" s="244"/>
      <c r="SNU55" s="245"/>
      <c r="SNV55" s="245"/>
      <c r="SNW55" s="244"/>
      <c r="SNX55" s="246"/>
      <c r="SNY55" s="247"/>
      <c r="SNZ55" s="275"/>
      <c r="SOA55" s="275"/>
      <c r="SOB55" s="275"/>
      <c r="SOC55" s="275"/>
      <c r="SOD55" s="275"/>
      <c r="SOE55" s="275"/>
      <c r="SOF55" s="137"/>
      <c r="SOG55" s="137"/>
      <c r="SOH55" s="135"/>
      <c r="SOI55" s="137"/>
      <c r="SOK55" s="250"/>
      <c r="SOL55" s="250"/>
      <c r="SOM55" s="243"/>
      <c r="SON55" s="276"/>
      <c r="SOO55" s="276"/>
      <c r="SOP55" s="276"/>
      <c r="SOQ55" s="244"/>
      <c r="SOR55" s="244"/>
      <c r="SOS55" s="244"/>
      <c r="SOT55" s="245"/>
      <c r="SOU55" s="245"/>
      <c r="SOV55" s="244"/>
      <c r="SOW55" s="246"/>
      <c r="SOX55" s="247"/>
      <c r="SOY55" s="275"/>
      <c r="SOZ55" s="275"/>
      <c r="SPA55" s="275"/>
      <c r="SPB55" s="275"/>
      <c r="SPC55" s="275"/>
      <c r="SPD55" s="275"/>
      <c r="SPE55" s="137"/>
      <c r="SPF55" s="137"/>
      <c r="SPG55" s="135"/>
      <c r="SPH55" s="137"/>
      <c r="SPJ55" s="250"/>
      <c r="SPK55" s="250"/>
      <c r="SPL55" s="243"/>
      <c r="SPM55" s="276"/>
      <c r="SPN55" s="276"/>
      <c r="SPO55" s="276"/>
      <c r="SPP55" s="244"/>
      <c r="SPQ55" s="244"/>
      <c r="SPR55" s="244"/>
      <c r="SPS55" s="245"/>
      <c r="SPT55" s="245"/>
      <c r="SPU55" s="244"/>
      <c r="SPV55" s="246"/>
      <c r="SPW55" s="247"/>
      <c r="SPX55" s="275"/>
      <c r="SPY55" s="275"/>
      <c r="SPZ55" s="275"/>
      <c r="SQA55" s="275"/>
      <c r="SQB55" s="275"/>
      <c r="SQC55" s="275"/>
      <c r="SQD55" s="137"/>
      <c r="SQE55" s="137"/>
      <c r="SQF55" s="135"/>
      <c r="SQG55" s="137"/>
      <c r="SQI55" s="250"/>
      <c r="SQJ55" s="250"/>
      <c r="SQK55" s="243"/>
      <c r="SQL55" s="276"/>
      <c r="SQM55" s="276"/>
      <c r="SQN55" s="276"/>
      <c r="SQO55" s="244"/>
      <c r="SQP55" s="244"/>
      <c r="SQQ55" s="244"/>
      <c r="SQR55" s="245"/>
      <c r="SQS55" s="245"/>
      <c r="SQT55" s="244"/>
      <c r="SQU55" s="246"/>
      <c r="SQV55" s="247"/>
      <c r="SQW55" s="275"/>
      <c r="SQX55" s="275"/>
      <c r="SQY55" s="275"/>
      <c r="SQZ55" s="275"/>
      <c r="SRA55" s="275"/>
      <c r="SRB55" s="275"/>
      <c r="SRC55" s="137"/>
      <c r="SRD55" s="137"/>
      <c r="SRE55" s="135"/>
      <c r="SRF55" s="137"/>
      <c r="SRH55" s="250"/>
      <c r="SRI55" s="250"/>
      <c r="SRJ55" s="243"/>
      <c r="SRK55" s="276"/>
      <c r="SRL55" s="276"/>
      <c r="SRM55" s="276"/>
      <c r="SRN55" s="244"/>
      <c r="SRO55" s="244"/>
      <c r="SRP55" s="244"/>
      <c r="SRQ55" s="245"/>
      <c r="SRR55" s="245"/>
      <c r="SRS55" s="244"/>
      <c r="SRT55" s="246"/>
      <c r="SRU55" s="247"/>
      <c r="SRV55" s="275"/>
      <c r="SRW55" s="275"/>
      <c r="SRX55" s="275"/>
      <c r="SRY55" s="275"/>
      <c r="SRZ55" s="275"/>
      <c r="SSA55" s="275"/>
      <c r="SSB55" s="137"/>
      <c r="SSC55" s="137"/>
      <c r="SSD55" s="135"/>
      <c r="SSE55" s="137"/>
      <c r="SSG55" s="250"/>
      <c r="SSH55" s="250"/>
      <c r="SSI55" s="243"/>
      <c r="SSJ55" s="276"/>
      <c r="SSK55" s="276"/>
      <c r="SSL55" s="276"/>
      <c r="SSM55" s="244"/>
      <c r="SSN55" s="244"/>
      <c r="SSO55" s="244"/>
      <c r="SSP55" s="245"/>
      <c r="SSQ55" s="245"/>
      <c r="SSR55" s="244"/>
      <c r="SSS55" s="246"/>
      <c r="SST55" s="247"/>
      <c r="SSU55" s="275"/>
      <c r="SSV55" s="275"/>
      <c r="SSW55" s="275"/>
      <c r="SSX55" s="275"/>
      <c r="SSY55" s="275"/>
      <c r="SSZ55" s="275"/>
      <c r="STA55" s="137"/>
      <c r="STB55" s="137"/>
      <c r="STC55" s="135"/>
      <c r="STD55" s="137"/>
      <c r="STF55" s="250"/>
      <c r="STG55" s="250"/>
      <c r="STH55" s="243"/>
      <c r="STI55" s="276"/>
      <c r="STJ55" s="276"/>
      <c r="STK55" s="276"/>
      <c r="STL55" s="244"/>
      <c r="STM55" s="244"/>
      <c r="STN55" s="244"/>
      <c r="STO55" s="245"/>
      <c r="STP55" s="245"/>
      <c r="STQ55" s="244"/>
      <c r="STR55" s="246"/>
      <c r="STS55" s="247"/>
      <c r="STT55" s="275"/>
      <c r="STU55" s="275"/>
      <c r="STV55" s="275"/>
      <c r="STW55" s="275"/>
      <c r="STX55" s="275"/>
      <c r="STY55" s="275"/>
      <c r="STZ55" s="137"/>
      <c r="SUA55" s="137"/>
      <c r="SUB55" s="135"/>
      <c r="SUC55" s="137"/>
      <c r="SUE55" s="250"/>
      <c r="SUF55" s="250"/>
      <c r="SUG55" s="243"/>
      <c r="SUH55" s="276"/>
      <c r="SUI55" s="276"/>
      <c r="SUJ55" s="276"/>
      <c r="SUK55" s="244"/>
      <c r="SUL55" s="244"/>
      <c r="SUM55" s="244"/>
      <c r="SUN55" s="245"/>
      <c r="SUO55" s="245"/>
      <c r="SUP55" s="244"/>
      <c r="SUQ55" s="246"/>
      <c r="SUR55" s="247"/>
      <c r="SUS55" s="275"/>
      <c r="SUT55" s="275"/>
      <c r="SUU55" s="275"/>
      <c r="SUV55" s="275"/>
      <c r="SUW55" s="275"/>
      <c r="SUX55" s="275"/>
      <c r="SUY55" s="137"/>
      <c r="SUZ55" s="137"/>
      <c r="SVA55" s="135"/>
      <c r="SVB55" s="137"/>
      <c r="SVD55" s="250"/>
      <c r="SVE55" s="250"/>
      <c r="SVF55" s="243"/>
      <c r="SVG55" s="276"/>
      <c r="SVH55" s="276"/>
      <c r="SVI55" s="276"/>
      <c r="SVJ55" s="244"/>
      <c r="SVK55" s="244"/>
      <c r="SVL55" s="244"/>
      <c r="SVM55" s="245"/>
      <c r="SVN55" s="245"/>
      <c r="SVO55" s="244"/>
      <c r="SVP55" s="246"/>
      <c r="SVQ55" s="247"/>
      <c r="SVR55" s="275"/>
      <c r="SVS55" s="275"/>
      <c r="SVT55" s="275"/>
      <c r="SVU55" s="275"/>
      <c r="SVV55" s="275"/>
      <c r="SVW55" s="275"/>
      <c r="SVX55" s="137"/>
      <c r="SVY55" s="137"/>
      <c r="SVZ55" s="135"/>
      <c r="SWA55" s="137"/>
      <c r="SWC55" s="250"/>
      <c r="SWD55" s="250"/>
      <c r="SWE55" s="243"/>
      <c r="SWF55" s="276"/>
      <c r="SWG55" s="276"/>
      <c r="SWH55" s="276"/>
      <c r="SWI55" s="244"/>
      <c r="SWJ55" s="244"/>
      <c r="SWK55" s="244"/>
      <c r="SWL55" s="245"/>
      <c r="SWM55" s="245"/>
      <c r="SWN55" s="244"/>
      <c r="SWO55" s="246"/>
      <c r="SWP55" s="247"/>
      <c r="SWQ55" s="275"/>
      <c r="SWR55" s="275"/>
      <c r="SWS55" s="275"/>
      <c r="SWT55" s="275"/>
      <c r="SWU55" s="275"/>
      <c r="SWV55" s="275"/>
      <c r="SWW55" s="137"/>
      <c r="SWX55" s="137"/>
      <c r="SWY55" s="135"/>
      <c r="SWZ55" s="137"/>
      <c r="SXB55" s="250"/>
      <c r="SXC55" s="250"/>
      <c r="SXD55" s="243"/>
      <c r="SXE55" s="276"/>
      <c r="SXF55" s="276"/>
      <c r="SXG55" s="276"/>
      <c r="SXH55" s="244"/>
      <c r="SXI55" s="244"/>
      <c r="SXJ55" s="244"/>
      <c r="SXK55" s="245"/>
      <c r="SXL55" s="245"/>
      <c r="SXM55" s="244"/>
      <c r="SXN55" s="246"/>
      <c r="SXO55" s="247"/>
      <c r="SXP55" s="275"/>
      <c r="SXQ55" s="275"/>
      <c r="SXR55" s="275"/>
      <c r="SXS55" s="275"/>
      <c r="SXT55" s="275"/>
      <c r="SXU55" s="275"/>
      <c r="SXV55" s="137"/>
      <c r="SXW55" s="137"/>
      <c r="SXX55" s="135"/>
      <c r="SXY55" s="137"/>
      <c r="SYA55" s="250"/>
      <c r="SYB55" s="250"/>
      <c r="SYC55" s="243"/>
      <c r="SYD55" s="276"/>
      <c r="SYE55" s="276"/>
      <c r="SYF55" s="276"/>
      <c r="SYG55" s="244"/>
      <c r="SYH55" s="244"/>
      <c r="SYI55" s="244"/>
      <c r="SYJ55" s="245"/>
      <c r="SYK55" s="245"/>
      <c r="SYL55" s="244"/>
      <c r="SYM55" s="246"/>
      <c r="SYN55" s="247"/>
      <c r="SYO55" s="275"/>
      <c r="SYP55" s="275"/>
      <c r="SYQ55" s="275"/>
      <c r="SYR55" s="275"/>
      <c r="SYS55" s="275"/>
      <c r="SYT55" s="275"/>
      <c r="SYU55" s="137"/>
      <c r="SYV55" s="137"/>
      <c r="SYW55" s="135"/>
      <c r="SYX55" s="137"/>
      <c r="SYZ55" s="250"/>
      <c r="SZA55" s="250"/>
      <c r="SZB55" s="243"/>
      <c r="SZC55" s="276"/>
      <c r="SZD55" s="276"/>
      <c r="SZE55" s="276"/>
      <c r="SZF55" s="244"/>
      <c r="SZG55" s="244"/>
      <c r="SZH55" s="244"/>
      <c r="SZI55" s="245"/>
      <c r="SZJ55" s="245"/>
      <c r="SZK55" s="244"/>
      <c r="SZL55" s="246"/>
      <c r="SZM55" s="247"/>
      <c r="SZN55" s="275"/>
      <c r="SZO55" s="275"/>
      <c r="SZP55" s="275"/>
      <c r="SZQ55" s="275"/>
      <c r="SZR55" s="275"/>
      <c r="SZS55" s="275"/>
      <c r="SZT55" s="137"/>
      <c r="SZU55" s="137"/>
      <c r="SZV55" s="135"/>
      <c r="SZW55" s="137"/>
      <c r="SZY55" s="250"/>
      <c r="SZZ55" s="250"/>
      <c r="TAA55" s="243"/>
      <c r="TAB55" s="276"/>
      <c r="TAC55" s="276"/>
      <c r="TAD55" s="276"/>
      <c r="TAE55" s="244"/>
      <c r="TAF55" s="244"/>
      <c r="TAG55" s="244"/>
      <c r="TAH55" s="245"/>
      <c r="TAI55" s="245"/>
      <c r="TAJ55" s="244"/>
      <c r="TAK55" s="246"/>
      <c r="TAL55" s="247"/>
      <c r="TAM55" s="275"/>
      <c r="TAN55" s="275"/>
      <c r="TAO55" s="275"/>
      <c r="TAP55" s="275"/>
      <c r="TAQ55" s="275"/>
      <c r="TAR55" s="275"/>
      <c r="TAS55" s="137"/>
      <c r="TAT55" s="137"/>
      <c r="TAU55" s="135"/>
      <c r="TAV55" s="137"/>
      <c r="TAX55" s="250"/>
      <c r="TAY55" s="250"/>
      <c r="TAZ55" s="243"/>
      <c r="TBA55" s="276"/>
      <c r="TBB55" s="276"/>
      <c r="TBC55" s="276"/>
      <c r="TBD55" s="244"/>
      <c r="TBE55" s="244"/>
      <c r="TBF55" s="244"/>
      <c r="TBG55" s="245"/>
      <c r="TBH55" s="245"/>
      <c r="TBI55" s="244"/>
      <c r="TBJ55" s="246"/>
      <c r="TBK55" s="247"/>
      <c r="TBL55" s="275"/>
      <c r="TBM55" s="275"/>
      <c r="TBN55" s="275"/>
      <c r="TBO55" s="275"/>
      <c r="TBP55" s="275"/>
      <c r="TBQ55" s="275"/>
      <c r="TBR55" s="137"/>
      <c r="TBS55" s="137"/>
      <c r="TBT55" s="135"/>
      <c r="TBU55" s="137"/>
      <c r="TBW55" s="250"/>
      <c r="TBX55" s="250"/>
      <c r="TBY55" s="243"/>
      <c r="TBZ55" s="276"/>
      <c r="TCA55" s="276"/>
      <c r="TCB55" s="276"/>
      <c r="TCC55" s="244"/>
      <c r="TCD55" s="244"/>
      <c r="TCE55" s="244"/>
      <c r="TCF55" s="245"/>
      <c r="TCG55" s="245"/>
      <c r="TCH55" s="244"/>
      <c r="TCI55" s="246"/>
      <c r="TCJ55" s="247"/>
      <c r="TCK55" s="275"/>
      <c r="TCL55" s="275"/>
      <c r="TCM55" s="275"/>
      <c r="TCN55" s="275"/>
      <c r="TCO55" s="275"/>
      <c r="TCP55" s="275"/>
      <c r="TCQ55" s="137"/>
      <c r="TCR55" s="137"/>
      <c r="TCS55" s="135"/>
      <c r="TCT55" s="137"/>
      <c r="TCV55" s="250"/>
      <c r="TCW55" s="250"/>
      <c r="TCX55" s="243"/>
      <c r="TCY55" s="276"/>
      <c r="TCZ55" s="276"/>
      <c r="TDA55" s="276"/>
      <c r="TDB55" s="244"/>
      <c r="TDC55" s="244"/>
      <c r="TDD55" s="244"/>
      <c r="TDE55" s="245"/>
      <c r="TDF55" s="245"/>
      <c r="TDG55" s="244"/>
      <c r="TDH55" s="246"/>
      <c r="TDI55" s="247"/>
      <c r="TDJ55" s="275"/>
      <c r="TDK55" s="275"/>
      <c r="TDL55" s="275"/>
      <c r="TDM55" s="275"/>
      <c r="TDN55" s="275"/>
      <c r="TDO55" s="275"/>
      <c r="TDP55" s="137"/>
      <c r="TDQ55" s="137"/>
      <c r="TDR55" s="135"/>
      <c r="TDS55" s="137"/>
      <c r="TDU55" s="250"/>
      <c r="TDV55" s="250"/>
      <c r="TDW55" s="243"/>
      <c r="TDX55" s="276"/>
      <c r="TDY55" s="276"/>
      <c r="TDZ55" s="276"/>
      <c r="TEA55" s="244"/>
      <c r="TEB55" s="244"/>
      <c r="TEC55" s="244"/>
      <c r="TED55" s="245"/>
      <c r="TEE55" s="245"/>
      <c r="TEF55" s="244"/>
      <c r="TEG55" s="246"/>
      <c r="TEH55" s="247"/>
      <c r="TEI55" s="275"/>
      <c r="TEJ55" s="275"/>
      <c r="TEK55" s="275"/>
      <c r="TEL55" s="275"/>
      <c r="TEM55" s="275"/>
      <c r="TEN55" s="275"/>
      <c r="TEO55" s="137"/>
      <c r="TEP55" s="137"/>
      <c r="TEQ55" s="135"/>
      <c r="TER55" s="137"/>
      <c r="TET55" s="250"/>
      <c r="TEU55" s="250"/>
      <c r="TEV55" s="243"/>
      <c r="TEW55" s="276"/>
      <c r="TEX55" s="276"/>
      <c r="TEY55" s="276"/>
      <c r="TEZ55" s="244"/>
      <c r="TFA55" s="244"/>
      <c r="TFB55" s="244"/>
      <c r="TFC55" s="245"/>
      <c r="TFD55" s="245"/>
      <c r="TFE55" s="244"/>
      <c r="TFF55" s="246"/>
      <c r="TFG55" s="247"/>
      <c r="TFH55" s="275"/>
      <c r="TFI55" s="275"/>
      <c r="TFJ55" s="275"/>
      <c r="TFK55" s="275"/>
      <c r="TFL55" s="275"/>
      <c r="TFM55" s="275"/>
      <c r="TFN55" s="137"/>
      <c r="TFO55" s="137"/>
      <c r="TFP55" s="135"/>
      <c r="TFQ55" s="137"/>
      <c r="TFS55" s="250"/>
      <c r="TFT55" s="250"/>
      <c r="TFU55" s="243"/>
      <c r="TFV55" s="276"/>
      <c r="TFW55" s="276"/>
      <c r="TFX55" s="276"/>
      <c r="TFY55" s="244"/>
      <c r="TFZ55" s="244"/>
      <c r="TGA55" s="244"/>
      <c r="TGB55" s="245"/>
      <c r="TGC55" s="245"/>
      <c r="TGD55" s="244"/>
      <c r="TGE55" s="246"/>
      <c r="TGF55" s="247"/>
      <c r="TGG55" s="275"/>
      <c r="TGH55" s="275"/>
      <c r="TGI55" s="275"/>
      <c r="TGJ55" s="275"/>
      <c r="TGK55" s="275"/>
      <c r="TGL55" s="275"/>
      <c r="TGM55" s="137"/>
      <c r="TGN55" s="137"/>
      <c r="TGO55" s="135"/>
      <c r="TGP55" s="137"/>
      <c r="TGR55" s="250"/>
      <c r="TGS55" s="250"/>
      <c r="TGT55" s="243"/>
      <c r="TGU55" s="276"/>
      <c r="TGV55" s="276"/>
      <c r="TGW55" s="276"/>
      <c r="TGX55" s="244"/>
      <c r="TGY55" s="244"/>
      <c r="TGZ55" s="244"/>
      <c r="THA55" s="245"/>
      <c r="THB55" s="245"/>
      <c r="THC55" s="244"/>
      <c r="THD55" s="246"/>
      <c r="THE55" s="247"/>
      <c r="THF55" s="275"/>
      <c r="THG55" s="275"/>
      <c r="THH55" s="275"/>
      <c r="THI55" s="275"/>
      <c r="THJ55" s="275"/>
      <c r="THK55" s="275"/>
      <c r="THL55" s="137"/>
      <c r="THM55" s="137"/>
      <c r="THN55" s="135"/>
      <c r="THO55" s="137"/>
      <c r="THQ55" s="250"/>
      <c r="THR55" s="250"/>
      <c r="THS55" s="243"/>
      <c r="THT55" s="276"/>
      <c r="THU55" s="276"/>
      <c r="THV55" s="276"/>
      <c r="THW55" s="244"/>
      <c r="THX55" s="244"/>
      <c r="THY55" s="244"/>
      <c r="THZ55" s="245"/>
      <c r="TIA55" s="245"/>
      <c r="TIB55" s="244"/>
      <c r="TIC55" s="246"/>
      <c r="TID55" s="247"/>
      <c r="TIE55" s="275"/>
      <c r="TIF55" s="275"/>
      <c r="TIG55" s="275"/>
      <c r="TIH55" s="275"/>
      <c r="TII55" s="275"/>
      <c r="TIJ55" s="275"/>
      <c r="TIK55" s="137"/>
      <c r="TIL55" s="137"/>
      <c r="TIM55" s="135"/>
      <c r="TIN55" s="137"/>
      <c r="TIP55" s="250"/>
      <c r="TIQ55" s="250"/>
      <c r="TIR55" s="243"/>
      <c r="TIS55" s="276"/>
      <c r="TIT55" s="276"/>
      <c r="TIU55" s="276"/>
      <c r="TIV55" s="244"/>
      <c r="TIW55" s="244"/>
      <c r="TIX55" s="244"/>
      <c r="TIY55" s="245"/>
      <c r="TIZ55" s="245"/>
      <c r="TJA55" s="244"/>
      <c r="TJB55" s="246"/>
      <c r="TJC55" s="247"/>
      <c r="TJD55" s="275"/>
      <c r="TJE55" s="275"/>
      <c r="TJF55" s="275"/>
      <c r="TJG55" s="275"/>
      <c r="TJH55" s="275"/>
      <c r="TJI55" s="275"/>
      <c r="TJJ55" s="137"/>
      <c r="TJK55" s="137"/>
      <c r="TJL55" s="135"/>
      <c r="TJM55" s="137"/>
      <c r="TJO55" s="250"/>
      <c r="TJP55" s="250"/>
      <c r="TJQ55" s="243"/>
      <c r="TJR55" s="276"/>
      <c r="TJS55" s="276"/>
      <c r="TJT55" s="276"/>
      <c r="TJU55" s="244"/>
      <c r="TJV55" s="244"/>
      <c r="TJW55" s="244"/>
      <c r="TJX55" s="245"/>
      <c r="TJY55" s="245"/>
      <c r="TJZ55" s="244"/>
      <c r="TKA55" s="246"/>
      <c r="TKB55" s="247"/>
      <c r="TKC55" s="275"/>
      <c r="TKD55" s="275"/>
      <c r="TKE55" s="275"/>
      <c r="TKF55" s="275"/>
      <c r="TKG55" s="275"/>
      <c r="TKH55" s="275"/>
      <c r="TKI55" s="137"/>
      <c r="TKJ55" s="137"/>
      <c r="TKK55" s="135"/>
      <c r="TKL55" s="137"/>
      <c r="TKN55" s="250"/>
      <c r="TKO55" s="250"/>
      <c r="TKP55" s="243"/>
      <c r="TKQ55" s="276"/>
      <c r="TKR55" s="276"/>
      <c r="TKS55" s="276"/>
      <c r="TKT55" s="244"/>
      <c r="TKU55" s="244"/>
      <c r="TKV55" s="244"/>
      <c r="TKW55" s="245"/>
      <c r="TKX55" s="245"/>
      <c r="TKY55" s="244"/>
      <c r="TKZ55" s="246"/>
      <c r="TLA55" s="247"/>
      <c r="TLB55" s="275"/>
      <c r="TLC55" s="275"/>
      <c r="TLD55" s="275"/>
      <c r="TLE55" s="275"/>
      <c r="TLF55" s="275"/>
      <c r="TLG55" s="275"/>
      <c r="TLH55" s="137"/>
      <c r="TLI55" s="137"/>
      <c r="TLJ55" s="135"/>
      <c r="TLK55" s="137"/>
      <c r="TLM55" s="250"/>
      <c r="TLN55" s="250"/>
      <c r="TLO55" s="243"/>
      <c r="TLP55" s="276"/>
      <c r="TLQ55" s="276"/>
      <c r="TLR55" s="276"/>
      <c r="TLS55" s="244"/>
      <c r="TLT55" s="244"/>
      <c r="TLU55" s="244"/>
      <c r="TLV55" s="245"/>
      <c r="TLW55" s="245"/>
      <c r="TLX55" s="244"/>
      <c r="TLY55" s="246"/>
      <c r="TLZ55" s="247"/>
      <c r="TMA55" s="275"/>
      <c r="TMB55" s="275"/>
      <c r="TMC55" s="275"/>
      <c r="TMD55" s="275"/>
      <c r="TME55" s="275"/>
      <c r="TMF55" s="275"/>
      <c r="TMG55" s="137"/>
      <c r="TMH55" s="137"/>
      <c r="TMI55" s="135"/>
      <c r="TMJ55" s="137"/>
      <c r="TML55" s="250"/>
      <c r="TMM55" s="250"/>
      <c r="TMN55" s="243"/>
      <c r="TMO55" s="276"/>
      <c r="TMP55" s="276"/>
      <c r="TMQ55" s="276"/>
      <c r="TMR55" s="244"/>
      <c r="TMS55" s="244"/>
      <c r="TMT55" s="244"/>
      <c r="TMU55" s="245"/>
      <c r="TMV55" s="245"/>
      <c r="TMW55" s="244"/>
      <c r="TMX55" s="246"/>
      <c r="TMY55" s="247"/>
      <c r="TMZ55" s="275"/>
      <c r="TNA55" s="275"/>
      <c r="TNB55" s="275"/>
      <c r="TNC55" s="275"/>
      <c r="TND55" s="275"/>
      <c r="TNE55" s="275"/>
      <c r="TNF55" s="137"/>
      <c r="TNG55" s="137"/>
      <c r="TNH55" s="135"/>
      <c r="TNI55" s="137"/>
      <c r="TNK55" s="250"/>
      <c r="TNL55" s="250"/>
      <c r="TNM55" s="243"/>
      <c r="TNN55" s="276"/>
      <c r="TNO55" s="276"/>
      <c r="TNP55" s="276"/>
      <c r="TNQ55" s="244"/>
      <c r="TNR55" s="244"/>
      <c r="TNS55" s="244"/>
      <c r="TNT55" s="245"/>
      <c r="TNU55" s="245"/>
      <c r="TNV55" s="244"/>
      <c r="TNW55" s="246"/>
      <c r="TNX55" s="247"/>
      <c r="TNY55" s="275"/>
      <c r="TNZ55" s="275"/>
      <c r="TOA55" s="275"/>
      <c r="TOB55" s="275"/>
      <c r="TOC55" s="275"/>
      <c r="TOD55" s="275"/>
      <c r="TOE55" s="137"/>
      <c r="TOF55" s="137"/>
      <c r="TOG55" s="135"/>
      <c r="TOH55" s="137"/>
      <c r="TOJ55" s="250"/>
      <c r="TOK55" s="250"/>
      <c r="TOL55" s="243"/>
      <c r="TOM55" s="276"/>
      <c r="TON55" s="276"/>
      <c r="TOO55" s="276"/>
      <c r="TOP55" s="244"/>
      <c r="TOQ55" s="244"/>
      <c r="TOR55" s="244"/>
      <c r="TOS55" s="245"/>
      <c r="TOT55" s="245"/>
      <c r="TOU55" s="244"/>
      <c r="TOV55" s="246"/>
      <c r="TOW55" s="247"/>
      <c r="TOX55" s="275"/>
      <c r="TOY55" s="275"/>
      <c r="TOZ55" s="275"/>
      <c r="TPA55" s="275"/>
      <c r="TPB55" s="275"/>
      <c r="TPC55" s="275"/>
      <c r="TPD55" s="137"/>
      <c r="TPE55" s="137"/>
      <c r="TPF55" s="135"/>
      <c r="TPG55" s="137"/>
      <c r="TPI55" s="250"/>
      <c r="TPJ55" s="250"/>
      <c r="TPK55" s="243"/>
      <c r="TPL55" s="276"/>
      <c r="TPM55" s="276"/>
      <c r="TPN55" s="276"/>
      <c r="TPO55" s="244"/>
      <c r="TPP55" s="244"/>
      <c r="TPQ55" s="244"/>
      <c r="TPR55" s="245"/>
      <c r="TPS55" s="245"/>
      <c r="TPT55" s="244"/>
      <c r="TPU55" s="246"/>
      <c r="TPV55" s="247"/>
      <c r="TPW55" s="275"/>
      <c r="TPX55" s="275"/>
      <c r="TPY55" s="275"/>
      <c r="TPZ55" s="275"/>
      <c r="TQA55" s="275"/>
      <c r="TQB55" s="275"/>
      <c r="TQC55" s="137"/>
      <c r="TQD55" s="137"/>
      <c r="TQE55" s="135"/>
      <c r="TQF55" s="137"/>
      <c r="TQH55" s="250"/>
      <c r="TQI55" s="250"/>
      <c r="TQJ55" s="243"/>
      <c r="TQK55" s="276"/>
      <c r="TQL55" s="276"/>
      <c r="TQM55" s="276"/>
      <c r="TQN55" s="244"/>
      <c r="TQO55" s="244"/>
      <c r="TQP55" s="244"/>
      <c r="TQQ55" s="245"/>
      <c r="TQR55" s="245"/>
      <c r="TQS55" s="244"/>
      <c r="TQT55" s="246"/>
      <c r="TQU55" s="247"/>
      <c r="TQV55" s="275"/>
      <c r="TQW55" s="275"/>
      <c r="TQX55" s="275"/>
      <c r="TQY55" s="275"/>
      <c r="TQZ55" s="275"/>
      <c r="TRA55" s="275"/>
      <c r="TRB55" s="137"/>
      <c r="TRC55" s="137"/>
      <c r="TRD55" s="135"/>
      <c r="TRE55" s="137"/>
      <c r="TRG55" s="250"/>
      <c r="TRH55" s="250"/>
      <c r="TRI55" s="243"/>
      <c r="TRJ55" s="276"/>
      <c r="TRK55" s="276"/>
      <c r="TRL55" s="276"/>
      <c r="TRM55" s="244"/>
      <c r="TRN55" s="244"/>
      <c r="TRO55" s="244"/>
      <c r="TRP55" s="245"/>
      <c r="TRQ55" s="245"/>
      <c r="TRR55" s="244"/>
      <c r="TRS55" s="246"/>
      <c r="TRT55" s="247"/>
      <c r="TRU55" s="275"/>
      <c r="TRV55" s="275"/>
      <c r="TRW55" s="275"/>
      <c r="TRX55" s="275"/>
      <c r="TRY55" s="275"/>
      <c r="TRZ55" s="275"/>
      <c r="TSA55" s="137"/>
      <c r="TSB55" s="137"/>
      <c r="TSC55" s="135"/>
      <c r="TSD55" s="137"/>
      <c r="TSF55" s="250"/>
      <c r="TSG55" s="250"/>
      <c r="TSH55" s="243"/>
      <c r="TSI55" s="276"/>
      <c r="TSJ55" s="276"/>
      <c r="TSK55" s="276"/>
      <c r="TSL55" s="244"/>
      <c r="TSM55" s="244"/>
      <c r="TSN55" s="244"/>
      <c r="TSO55" s="245"/>
      <c r="TSP55" s="245"/>
      <c r="TSQ55" s="244"/>
      <c r="TSR55" s="246"/>
      <c r="TSS55" s="247"/>
      <c r="TST55" s="275"/>
      <c r="TSU55" s="275"/>
      <c r="TSV55" s="275"/>
      <c r="TSW55" s="275"/>
      <c r="TSX55" s="275"/>
      <c r="TSY55" s="275"/>
      <c r="TSZ55" s="137"/>
      <c r="TTA55" s="137"/>
      <c r="TTB55" s="135"/>
      <c r="TTC55" s="137"/>
      <c r="TTE55" s="250"/>
      <c r="TTF55" s="250"/>
      <c r="TTG55" s="243"/>
      <c r="TTH55" s="276"/>
      <c r="TTI55" s="276"/>
      <c r="TTJ55" s="276"/>
      <c r="TTK55" s="244"/>
      <c r="TTL55" s="244"/>
      <c r="TTM55" s="244"/>
      <c r="TTN55" s="245"/>
      <c r="TTO55" s="245"/>
      <c r="TTP55" s="244"/>
      <c r="TTQ55" s="246"/>
      <c r="TTR55" s="247"/>
      <c r="TTS55" s="275"/>
      <c r="TTT55" s="275"/>
      <c r="TTU55" s="275"/>
      <c r="TTV55" s="275"/>
      <c r="TTW55" s="275"/>
      <c r="TTX55" s="275"/>
      <c r="TTY55" s="137"/>
      <c r="TTZ55" s="137"/>
      <c r="TUA55" s="135"/>
      <c r="TUB55" s="137"/>
      <c r="TUD55" s="250"/>
      <c r="TUE55" s="250"/>
      <c r="TUF55" s="243"/>
      <c r="TUG55" s="276"/>
      <c r="TUH55" s="276"/>
      <c r="TUI55" s="276"/>
      <c r="TUJ55" s="244"/>
      <c r="TUK55" s="244"/>
      <c r="TUL55" s="244"/>
      <c r="TUM55" s="245"/>
      <c r="TUN55" s="245"/>
      <c r="TUO55" s="244"/>
      <c r="TUP55" s="246"/>
      <c r="TUQ55" s="247"/>
      <c r="TUR55" s="275"/>
      <c r="TUS55" s="275"/>
      <c r="TUT55" s="275"/>
      <c r="TUU55" s="275"/>
      <c r="TUV55" s="275"/>
      <c r="TUW55" s="275"/>
      <c r="TUX55" s="137"/>
      <c r="TUY55" s="137"/>
      <c r="TUZ55" s="135"/>
      <c r="TVA55" s="137"/>
      <c r="TVC55" s="250"/>
      <c r="TVD55" s="250"/>
      <c r="TVE55" s="243"/>
      <c r="TVF55" s="276"/>
      <c r="TVG55" s="276"/>
      <c r="TVH55" s="276"/>
      <c r="TVI55" s="244"/>
      <c r="TVJ55" s="244"/>
      <c r="TVK55" s="244"/>
      <c r="TVL55" s="245"/>
      <c r="TVM55" s="245"/>
      <c r="TVN55" s="244"/>
      <c r="TVO55" s="246"/>
      <c r="TVP55" s="247"/>
      <c r="TVQ55" s="275"/>
      <c r="TVR55" s="275"/>
      <c r="TVS55" s="275"/>
      <c r="TVT55" s="275"/>
      <c r="TVU55" s="275"/>
      <c r="TVV55" s="275"/>
      <c r="TVW55" s="137"/>
      <c r="TVX55" s="137"/>
      <c r="TVY55" s="135"/>
      <c r="TVZ55" s="137"/>
      <c r="TWB55" s="250"/>
      <c r="TWC55" s="250"/>
      <c r="TWD55" s="243"/>
      <c r="TWE55" s="276"/>
      <c r="TWF55" s="276"/>
      <c r="TWG55" s="276"/>
      <c r="TWH55" s="244"/>
      <c r="TWI55" s="244"/>
      <c r="TWJ55" s="244"/>
      <c r="TWK55" s="245"/>
      <c r="TWL55" s="245"/>
      <c r="TWM55" s="244"/>
      <c r="TWN55" s="246"/>
      <c r="TWO55" s="247"/>
      <c r="TWP55" s="275"/>
      <c r="TWQ55" s="275"/>
      <c r="TWR55" s="275"/>
      <c r="TWS55" s="275"/>
      <c r="TWT55" s="275"/>
      <c r="TWU55" s="275"/>
      <c r="TWV55" s="137"/>
      <c r="TWW55" s="137"/>
      <c r="TWX55" s="135"/>
      <c r="TWY55" s="137"/>
      <c r="TXA55" s="250"/>
      <c r="TXB55" s="250"/>
      <c r="TXC55" s="243"/>
      <c r="TXD55" s="276"/>
      <c r="TXE55" s="276"/>
      <c r="TXF55" s="276"/>
      <c r="TXG55" s="244"/>
      <c r="TXH55" s="244"/>
      <c r="TXI55" s="244"/>
      <c r="TXJ55" s="245"/>
      <c r="TXK55" s="245"/>
      <c r="TXL55" s="244"/>
      <c r="TXM55" s="246"/>
      <c r="TXN55" s="247"/>
      <c r="TXO55" s="275"/>
      <c r="TXP55" s="275"/>
      <c r="TXQ55" s="275"/>
      <c r="TXR55" s="275"/>
      <c r="TXS55" s="275"/>
      <c r="TXT55" s="275"/>
      <c r="TXU55" s="137"/>
      <c r="TXV55" s="137"/>
      <c r="TXW55" s="135"/>
      <c r="TXX55" s="137"/>
      <c r="TXZ55" s="250"/>
      <c r="TYA55" s="250"/>
      <c r="TYB55" s="243"/>
      <c r="TYC55" s="276"/>
      <c r="TYD55" s="276"/>
      <c r="TYE55" s="276"/>
      <c r="TYF55" s="244"/>
      <c r="TYG55" s="244"/>
      <c r="TYH55" s="244"/>
      <c r="TYI55" s="245"/>
      <c r="TYJ55" s="245"/>
      <c r="TYK55" s="244"/>
      <c r="TYL55" s="246"/>
      <c r="TYM55" s="247"/>
      <c r="TYN55" s="275"/>
      <c r="TYO55" s="275"/>
      <c r="TYP55" s="275"/>
      <c r="TYQ55" s="275"/>
      <c r="TYR55" s="275"/>
      <c r="TYS55" s="275"/>
      <c r="TYT55" s="137"/>
      <c r="TYU55" s="137"/>
      <c r="TYV55" s="135"/>
      <c r="TYW55" s="137"/>
      <c r="TYY55" s="250"/>
      <c r="TYZ55" s="250"/>
      <c r="TZA55" s="243"/>
      <c r="TZB55" s="276"/>
      <c r="TZC55" s="276"/>
      <c r="TZD55" s="276"/>
      <c r="TZE55" s="244"/>
      <c r="TZF55" s="244"/>
      <c r="TZG55" s="244"/>
      <c r="TZH55" s="245"/>
      <c r="TZI55" s="245"/>
      <c r="TZJ55" s="244"/>
      <c r="TZK55" s="246"/>
      <c r="TZL55" s="247"/>
      <c r="TZM55" s="275"/>
      <c r="TZN55" s="275"/>
      <c r="TZO55" s="275"/>
      <c r="TZP55" s="275"/>
      <c r="TZQ55" s="275"/>
      <c r="TZR55" s="275"/>
      <c r="TZS55" s="137"/>
      <c r="TZT55" s="137"/>
      <c r="TZU55" s="135"/>
      <c r="TZV55" s="137"/>
      <c r="TZX55" s="250"/>
      <c r="TZY55" s="250"/>
      <c r="TZZ55" s="243"/>
      <c r="UAA55" s="276"/>
      <c r="UAB55" s="276"/>
      <c r="UAC55" s="276"/>
      <c r="UAD55" s="244"/>
      <c r="UAE55" s="244"/>
      <c r="UAF55" s="244"/>
      <c r="UAG55" s="245"/>
      <c r="UAH55" s="245"/>
      <c r="UAI55" s="244"/>
      <c r="UAJ55" s="246"/>
      <c r="UAK55" s="247"/>
      <c r="UAL55" s="275"/>
      <c r="UAM55" s="275"/>
      <c r="UAN55" s="275"/>
      <c r="UAO55" s="275"/>
      <c r="UAP55" s="275"/>
      <c r="UAQ55" s="275"/>
      <c r="UAR55" s="137"/>
      <c r="UAS55" s="137"/>
      <c r="UAT55" s="135"/>
      <c r="UAU55" s="137"/>
      <c r="UAW55" s="250"/>
      <c r="UAX55" s="250"/>
      <c r="UAY55" s="243"/>
      <c r="UAZ55" s="276"/>
      <c r="UBA55" s="276"/>
      <c r="UBB55" s="276"/>
      <c r="UBC55" s="244"/>
      <c r="UBD55" s="244"/>
      <c r="UBE55" s="244"/>
      <c r="UBF55" s="245"/>
      <c r="UBG55" s="245"/>
      <c r="UBH55" s="244"/>
      <c r="UBI55" s="246"/>
      <c r="UBJ55" s="247"/>
      <c r="UBK55" s="275"/>
      <c r="UBL55" s="275"/>
      <c r="UBM55" s="275"/>
      <c r="UBN55" s="275"/>
      <c r="UBO55" s="275"/>
      <c r="UBP55" s="275"/>
      <c r="UBQ55" s="137"/>
      <c r="UBR55" s="137"/>
      <c r="UBS55" s="135"/>
      <c r="UBT55" s="137"/>
      <c r="UBV55" s="250"/>
      <c r="UBW55" s="250"/>
      <c r="UBX55" s="243"/>
      <c r="UBY55" s="276"/>
      <c r="UBZ55" s="276"/>
      <c r="UCA55" s="276"/>
      <c r="UCB55" s="244"/>
      <c r="UCC55" s="244"/>
      <c r="UCD55" s="244"/>
      <c r="UCE55" s="245"/>
      <c r="UCF55" s="245"/>
      <c r="UCG55" s="244"/>
      <c r="UCH55" s="246"/>
      <c r="UCI55" s="247"/>
      <c r="UCJ55" s="275"/>
      <c r="UCK55" s="275"/>
      <c r="UCL55" s="275"/>
      <c r="UCM55" s="275"/>
      <c r="UCN55" s="275"/>
      <c r="UCO55" s="275"/>
      <c r="UCP55" s="137"/>
      <c r="UCQ55" s="137"/>
      <c r="UCR55" s="135"/>
      <c r="UCS55" s="137"/>
      <c r="UCU55" s="250"/>
      <c r="UCV55" s="250"/>
      <c r="UCW55" s="243"/>
      <c r="UCX55" s="276"/>
      <c r="UCY55" s="276"/>
      <c r="UCZ55" s="276"/>
      <c r="UDA55" s="244"/>
      <c r="UDB55" s="244"/>
      <c r="UDC55" s="244"/>
      <c r="UDD55" s="245"/>
      <c r="UDE55" s="245"/>
      <c r="UDF55" s="244"/>
      <c r="UDG55" s="246"/>
      <c r="UDH55" s="247"/>
      <c r="UDI55" s="275"/>
      <c r="UDJ55" s="275"/>
      <c r="UDK55" s="275"/>
      <c r="UDL55" s="275"/>
      <c r="UDM55" s="275"/>
      <c r="UDN55" s="275"/>
      <c r="UDO55" s="137"/>
      <c r="UDP55" s="137"/>
      <c r="UDQ55" s="135"/>
      <c r="UDR55" s="137"/>
      <c r="UDT55" s="250"/>
      <c r="UDU55" s="250"/>
      <c r="UDV55" s="243"/>
      <c r="UDW55" s="276"/>
      <c r="UDX55" s="276"/>
      <c r="UDY55" s="276"/>
      <c r="UDZ55" s="244"/>
      <c r="UEA55" s="244"/>
      <c r="UEB55" s="244"/>
      <c r="UEC55" s="245"/>
      <c r="UED55" s="245"/>
      <c r="UEE55" s="244"/>
      <c r="UEF55" s="246"/>
      <c r="UEG55" s="247"/>
      <c r="UEH55" s="275"/>
      <c r="UEI55" s="275"/>
      <c r="UEJ55" s="275"/>
      <c r="UEK55" s="275"/>
      <c r="UEL55" s="275"/>
      <c r="UEM55" s="275"/>
      <c r="UEN55" s="137"/>
      <c r="UEO55" s="137"/>
      <c r="UEP55" s="135"/>
      <c r="UEQ55" s="137"/>
      <c r="UES55" s="250"/>
      <c r="UET55" s="250"/>
      <c r="UEU55" s="243"/>
      <c r="UEV55" s="276"/>
      <c r="UEW55" s="276"/>
      <c r="UEX55" s="276"/>
      <c r="UEY55" s="244"/>
      <c r="UEZ55" s="244"/>
      <c r="UFA55" s="244"/>
      <c r="UFB55" s="245"/>
      <c r="UFC55" s="245"/>
      <c r="UFD55" s="244"/>
      <c r="UFE55" s="246"/>
      <c r="UFF55" s="247"/>
      <c r="UFG55" s="275"/>
      <c r="UFH55" s="275"/>
      <c r="UFI55" s="275"/>
      <c r="UFJ55" s="275"/>
      <c r="UFK55" s="275"/>
      <c r="UFL55" s="275"/>
      <c r="UFM55" s="137"/>
      <c r="UFN55" s="137"/>
      <c r="UFO55" s="135"/>
      <c r="UFP55" s="137"/>
      <c r="UFR55" s="250"/>
      <c r="UFS55" s="250"/>
      <c r="UFT55" s="243"/>
      <c r="UFU55" s="276"/>
      <c r="UFV55" s="276"/>
      <c r="UFW55" s="276"/>
      <c r="UFX55" s="244"/>
      <c r="UFY55" s="244"/>
      <c r="UFZ55" s="244"/>
      <c r="UGA55" s="245"/>
      <c r="UGB55" s="245"/>
      <c r="UGC55" s="244"/>
      <c r="UGD55" s="246"/>
      <c r="UGE55" s="247"/>
      <c r="UGF55" s="275"/>
      <c r="UGG55" s="275"/>
      <c r="UGH55" s="275"/>
      <c r="UGI55" s="275"/>
      <c r="UGJ55" s="275"/>
      <c r="UGK55" s="275"/>
      <c r="UGL55" s="137"/>
      <c r="UGM55" s="137"/>
      <c r="UGN55" s="135"/>
      <c r="UGO55" s="137"/>
      <c r="UGQ55" s="250"/>
      <c r="UGR55" s="250"/>
      <c r="UGS55" s="243"/>
      <c r="UGT55" s="276"/>
      <c r="UGU55" s="276"/>
      <c r="UGV55" s="276"/>
      <c r="UGW55" s="244"/>
      <c r="UGX55" s="244"/>
      <c r="UGY55" s="244"/>
      <c r="UGZ55" s="245"/>
      <c r="UHA55" s="245"/>
      <c r="UHB55" s="244"/>
      <c r="UHC55" s="246"/>
      <c r="UHD55" s="247"/>
      <c r="UHE55" s="275"/>
      <c r="UHF55" s="275"/>
      <c r="UHG55" s="275"/>
      <c r="UHH55" s="275"/>
      <c r="UHI55" s="275"/>
      <c r="UHJ55" s="275"/>
      <c r="UHK55" s="137"/>
      <c r="UHL55" s="137"/>
      <c r="UHM55" s="135"/>
      <c r="UHN55" s="137"/>
      <c r="UHP55" s="250"/>
      <c r="UHQ55" s="250"/>
      <c r="UHR55" s="243"/>
      <c r="UHS55" s="276"/>
      <c r="UHT55" s="276"/>
      <c r="UHU55" s="276"/>
      <c r="UHV55" s="244"/>
      <c r="UHW55" s="244"/>
      <c r="UHX55" s="244"/>
      <c r="UHY55" s="245"/>
      <c r="UHZ55" s="245"/>
      <c r="UIA55" s="244"/>
      <c r="UIB55" s="246"/>
      <c r="UIC55" s="247"/>
      <c r="UID55" s="275"/>
      <c r="UIE55" s="275"/>
      <c r="UIF55" s="275"/>
      <c r="UIG55" s="275"/>
      <c r="UIH55" s="275"/>
      <c r="UII55" s="275"/>
      <c r="UIJ55" s="137"/>
      <c r="UIK55" s="137"/>
      <c r="UIL55" s="135"/>
      <c r="UIM55" s="137"/>
      <c r="UIO55" s="250"/>
      <c r="UIP55" s="250"/>
      <c r="UIQ55" s="243"/>
      <c r="UIR55" s="276"/>
      <c r="UIS55" s="276"/>
      <c r="UIT55" s="276"/>
      <c r="UIU55" s="244"/>
      <c r="UIV55" s="244"/>
      <c r="UIW55" s="244"/>
      <c r="UIX55" s="245"/>
      <c r="UIY55" s="245"/>
      <c r="UIZ55" s="244"/>
      <c r="UJA55" s="246"/>
      <c r="UJB55" s="247"/>
      <c r="UJC55" s="275"/>
      <c r="UJD55" s="275"/>
      <c r="UJE55" s="275"/>
      <c r="UJF55" s="275"/>
      <c r="UJG55" s="275"/>
      <c r="UJH55" s="275"/>
      <c r="UJI55" s="137"/>
      <c r="UJJ55" s="137"/>
      <c r="UJK55" s="135"/>
      <c r="UJL55" s="137"/>
      <c r="UJN55" s="250"/>
      <c r="UJO55" s="250"/>
      <c r="UJP55" s="243"/>
      <c r="UJQ55" s="276"/>
      <c r="UJR55" s="276"/>
      <c r="UJS55" s="276"/>
      <c r="UJT55" s="244"/>
      <c r="UJU55" s="244"/>
      <c r="UJV55" s="244"/>
      <c r="UJW55" s="245"/>
      <c r="UJX55" s="245"/>
      <c r="UJY55" s="244"/>
      <c r="UJZ55" s="246"/>
      <c r="UKA55" s="247"/>
      <c r="UKB55" s="275"/>
      <c r="UKC55" s="275"/>
      <c r="UKD55" s="275"/>
      <c r="UKE55" s="275"/>
      <c r="UKF55" s="275"/>
      <c r="UKG55" s="275"/>
      <c r="UKH55" s="137"/>
      <c r="UKI55" s="137"/>
      <c r="UKJ55" s="135"/>
      <c r="UKK55" s="137"/>
      <c r="UKM55" s="250"/>
      <c r="UKN55" s="250"/>
      <c r="UKO55" s="243"/>
      <c r="UKP55" s="276"/>
      <c r="UKQ55" s="276"/>
      <c r="UKR55" s="276"/>
      <c r="UKS55" s="244"/>
      <c r="UKT55" s="244"/>
      <c r="UKU55" s="244"/>
      <c r="UKV55" s="245"/>
      <c r="UKW55" s="245"/>
      <c r="UKX55" s="244"/>
      <c r="UKY55" s="246"/>
      <c r="UKZ55" s="247"/>
      <c r="ULA55" s="275"/>
      <c r="ULB55" s="275"/>
      <c r="ULC55" s="275"/>
      <c r="ULD55" s="275"/>
      <c r="ULE55" s="275"/>
      <c r="ULF55" s="275"/>
      <c r="ULG55" s="137"/>
      <c r="ULH55" s="137"/>
      <c r="ULI55" s="135"/>
      <c r="ULJ55" s="137"/>
      <c r="ULL55" s="250"/>
      <c r="ULM55" s="250"/>
      <c r="ULN55" s="243"/>
      <c r="ULO55" s="276"/>
      <c r="ULP55" s="276"/>
      <c r="ULQ55" s="276"/>
      <c r="ULR55" s="244"/>
      <c r="ULS55" s="244"/>
      <c r="ULT55" s="244"/>
      <c r="ULU55" s="245"/>
      <c r="ULV55" s="245"/>
      <c r="ULW55" s="244"/>
      <c r="ULX55" s="246"/>
      <c r="ULY55" s="247"/>
      <c r="ULZ55" s="275"/>
      <c r="UMA55" s="275"/>
      <c r="UMB55" s="275"/>
      <c r="UMC55" s="275"/>
      <c r="UMD55" s="275"/>
      <c r="UME55" s="275"/>
      <c r="UMF55" s="137"/>
      <c r="UMG55" s="137"/>
      <c r="UMH55" s="135"/>
      <c r="UMI55" s="137"/>
      <c r="UMK55" s="250"/>
      <c r="UML55" s="250"/>
      <c r="UMM55" s="243"/>
      <c r="UMN55" s="276"/>
      <c r="UMO55" s="276"/>
      <c r="UMP55" s="276"/>
      <c r="UMQ55" s="244"/>
      <c r="UMR55" s="244"/>
      <c r="UMS55" s="244"/>
      <c r="UMT55" s="245"/>
      <c r="UMU55" s="245"/>
      <c r="UMV55" s="244"/>
      <c r="UMW55" s="246"/>
      <c r="UMX55" s="247"/>
      <c r="UMY55" s="275"/>
      <c r="UMZ55" s="275"/>
      <c r="UNA55" s="275"/>
      <c r="UNB55" s="275"/>
      <c r="UNC55" s="275"/>
      <c r="UND55" s="275"/>
      <c r="UNE55" s="137"/>
      <c r="UNF55" s="137"/>
      <c r="UNG55" s="135"/>
      <c r="UNH55" s="137"/>
      <c r="UNJ55" s="250"/>
      <c r="UNK55" s="250"/>
      <c r="UNL55" s="243"/>
      <c r="UNM55" s="276"/>
      <c r="UNN55" s="276"/>
      <c r="UNO55" s="276"/>
      <c r="UNP55" s="244"/>
      <c r="UNQ55" s="244"/>
      <c r="UNR55" s="244"/>
      <c r="UNS55" s="245"/>
      <c r="UNT55" s="245"/>
      <c r="UNU55" s="244"/>
      <c r="UNV55" s="246"/>
      <c r="UNW55" s="247"/>
      <c r="UNX55" s="275"/>
      <c r="UNY55" s="275"/>
      <c r="UNZ55" s="275"/>
      <c r="UOA55" s="275"/>
      <c r="UOB55" s="275"/>
      <c r="UOC55" s="275"/>
      <c r="UOD55" s="137"/>
      <c r="UOE55" s="137"/>
      <c r="UOF55" s="135"/>
      <c r="UOG55" s="137"/>
      <c r="UOI55" s="250"/>
      <c r="UOJ55" s="250"/>
      <c r="UOK55" s="243"/>
      <c r="UOL55" s="276"/>
      <c r="UOM55" s="276"/>
      <c r="UON55" s="276"/>
      <c r="UOO55" s="244"/>
      <c r="UOP55" s="244"/>
      <c r="UOQ55" s="244"/>
      <c r="UOR55" s="245"/>
      <c r="UOS55" s="245"/>
      <c r="UOT55" s="244"/>
      <c r="UOU55" s="246"/>
      <c r="UOV55" s="247"/>
      <c r="UOW55" s="275"/>
      <c r="UOX55" s="275"/>
      <c r="UOY55" s="275"/>
      <c r="UOZ55" s="275"/>
      <c r="UPA55" s="275"/>
      <c r="UPB55" s="275"/>
      <c r="UPC55" s="137"/>
      <c r="UPD55" s="137"/>
      <c r="UPE55" s="135"/>
      <c r="UPF55" s="137"/>
      <c r="UPH55" s="250"/>
      <c r="UPI55" s="250"/>
      <c r="UPJ55" s="243"/>
      <c r="UPK55" s="276"/>
      <c r="UPL55" s="276"/>
      <c r="UPM55" s="276"/>
      <c r="UPN55" s="244"/>
      <c r="UPO55" s="244"/>
      <c r="UPP55" s="244"/>
      <c r="UPQ55" s="245"/>
      <c r="UPR55" s="245"/>
      <c r="UPS55" s="244"/>
      <c r="UPT55" s="246"/>
      <c r="UPU55" s="247"/>
      <c r="UPV55" s="275"/>
      <c r="UPW55" s="275"/>
      <c r="UPX55" s="275"/>
      <c r="UPY55" s="275"/>
      <c r="UPZ55" s="275"/>
      <c r="UQA55" s="275"/>
      <c r="UQB55" s="137"/>
      <c r="UQC55" s="137"/>
      <c r="UQD55" s="135"/>
      <c r="UQE55" s="137"/>
      <c r="UQG55" s="250"/>
      <c r="UQH55" s="250"/>
      <c r="UQI55" s="243"/>
      <c r="UQJ55" s="276"/>
      <c r="UQK55" s="276"/>
      <c r="UQL55" s="276"/>
      <c r="UQM55" s="244"/>
      <c r="UQN55" s="244"/>
      <c r="UQO55" s="244"/>
      <c r="UQP55" s="245"/>
      <c r="UQQ55" s="245"/>
      <c r="UQR55" s="244"/>
      <c r="UQS55" s="246"/>
      <c r="UQT55" s="247"/>
      <c r="UQU55" s="275"/>
      <c r="UQV55" s="275"/>
      <c r="UQW55" s="275"/>
      <c r="UQX55" s="275"/>
      <c r="UQY55" s="275"/>
      <c r="UQZ55" s="275"/>
      <c r="URA55" s="137"/>
      <c r="URB55" s="137"/>
      <c r="URC55" s="135"/>
      <c r="URD55" s="137"/>
      <c r="URF55" s="250"/>
      <c r="URG55" s="250"/>
      <c r="URH55" s="243"/>
      <c r="URI55" s="276"/>
      <c r="URJ55" s="276"/>
      <c r="URK55" s="276"/>
      <c r="URL55" s="244"/>
      <c r="URM55" s="244"/>
      <c r="URN55" s="244"/>
      <c r="URO55" s="245"/>
      <c r="URP55" s="245"/>
      <c r="URQ55" s="244"/>
      <c r="URR55" s="246"/>
      <c r="URS55" s="247"/>
      <c r="URT55" s="275"/>
      <c r="URU55" s="275"/>
      <c r="URV55" s="275"/>
      <c r="URW55" s="275"/>
      <c r="URX55" s="275"/>
      <c r="URY55" s="275"/>
      <c r="URZ55" s="137"/>
      <c r="USA55" s="137"/>
      <c r="USB55" s="135"/>
      <c r="USC55" s="137"/>
      <c r="USE55" s="250"/>
      <c r="USF55" s="250"/>
      <c r="USG55" s="243"/>
      <c r="USH55" s="276"/>
      <c r="USI55" s="276"/>
      <c r="USJ55" s="276"/>
      <c r="USK55" s="244"/>
      <c r="USL55" s="244"/>
      <c r="USM55" s="244"/>
      <c r="USN55" s="245"/>
      <c r="USO55" s="245"/>
      <c r="USP55" s="244"/>
      <c r="USQ55" s="246"/>
      <c r="USR55" s="247"/>
      <c r="USS55" s="275"/>
      <c r="UST55" s="275"/>
      <c r="USU55" s="275"/>
      <c r="USV55" s="275"/>
      <c r="USW55" s="275"/>
      <c r="USX55" s="275"/>
      <c r="USY55" s="137"/>
      <c r="USZ55" s="137"/>
      <c r="UTA55" s="135"/>
      <c r="UTB55" s="137"/>
      <c r="UTD55" s="250"/>
      <c r="UTE55" s="250"/>
      <c r="UTF55" s="243"/>
      <c r="UTG55" s="276"/>
      <c r="UTH55" s="276"/>
      <c r="UTI55" s="276"/>
      <c r="UTJ55" s="244"/>
      <c r="UTK55" s="244"/>
      <c r="UTL55" s="244"/>
      <c r="UTM55" s="245"/>
      <c r="UTN55" s="245"/>
      <c r="UTO55" s="244"/>
      <c r="UTP55" s="246"/>
      <c r="UTQ55" s="247"/>
      <c r="UTR55" s="275"/>
      <c r="UTS55" s="275"/>
      <c r="UTT55" s="275"/>
      <c r="UTU55" s="275"/>
      <c r="UTV55" s="275"/>
      <c r="UTW55" s="275"/>
      <c r="UTX55" s="137"/>
      <c r="UTY55" s="137"/>
      <c r="UTZ55" s="135"/>
      <c r="UUA55" s="137"/>
      <c r="UUC55" s="250"/>
      <c r="UUD55" s="250"/>
      <c r="UUE55" s="243"/>
      <c r="UUF55" s="276"/>
      <c r="UUG55" s="276"/>
      <c r="UUH55" s="276"/>
      <c r="UUI55" s="244"/>
      <c r="UUJ55" s="244"/>
      <c r="UUK55" s="244"/>
      <c r="UUL55" s="245"/>
      <c r="UUM55" s="245"/>
      <c r="UUN55" s="244"/>
      <c r="UUO55" s="246"/>
      <c r="UUP55" s="247"/>
      <c r="UUQ55" s="275"/>
      <c r="UUR55" s="275"/>
      <c r="UUS55" s="275"/>
      <c r="UUT55" s="275"/>
      <c r="UUU55" s="275"/>
      <c r="UUV55" s="275"/>
      <c r="UUW55" s="137"/>
      <c r="UUX55" s="137"/>
      <c r="UUY55" s="135"/>
      <c r="UUZ55" s="137"/>
      <c r="UVB55" s="250"/>
      <c r="UVC55" s="250"/>
      <c r="UVD55" s="243"/>
      <c r="UVE55" s="276"/>
      <c r="UVF55" s="276"/>
      <c r="UVG55" s="276"/>
      <c r="UVH55" s="244"/>
      <c r="UVI55" s="244"/>
      <c r="UVJ55" s="244"/>
      <c r="UVK55" s="245"/>
      <c r="UVL55" s="245"/>
      <c r="UVM55" s="244"/>
      <c r="UVN55" s="246"/>
      <c r="UVO55" s="247"/>
      <c r="UVP55" s="275"/>
      <c r="UVQ55" s="275"/>
      <c r="UVR55" s="275"/>
      <c r="UVS55" s="275"/>
      <c r="UVT55" s="275"/>
      <c r="UVU55" s="275"/>
      <c r="UVV55" s="137"/>
      <c r="UVW55" s="137"/>
      <c r="UVX55" s="135"/>
      <c r="UVY55" s="137"/>
      <c r="UWA55" s="250"/>
      <c r="UWB55" s="250"/>
      <c r="UWC55" s="243"/>
      <c r="UWD55" s="276"/>
      <c r="UWE55" s="276"/>
      <c r="UWF55" s="276"/>
      <c r="UWG55" s="244"/>
      <c r="UWH55" s="244"/>
      <c r="UWI55" s="244"/>
      <c r="UWJ55" s="245"/>
      <c r="UWK55" s="245"/>
      <c r="UWL55" s="244"/>
      <c r="UWM55" s="246"/>
      <c r="UWN55" s="247"/>
      <c r="UWO55" s="275"/>
      <c r="UWP55" s="275"/>
      <c r="UWQ55" s="275"/>
      <c r="UWR55" s="275"/>
      <c r="UWS55" s="275"/>
      <c r="UWT55" s="275"/>
      <c r="UWU55" s="137"/>
      <c r="UWV55" s="137"/>
      <c r="UWW55" s="135"/>
      <c r="UWX55" s="137"/>
      <c r="UWZ55" s="250"/>
      <c r="UXA55" s="250"/>
      <c r="UXB55" s="243"/>
      <c r="UXC55" s="276"/>
      <c r="UXD55" s="276"/>
      <c r="UXE55" s="276"/>
      <c r="UXF55" s="244"/>
      <c r="UXG55" s="244"/>
      <c r="UXH55" s="244"/>
      <c r="UXI55" s="245"/>
      <c r="UXJ55" s="245"/>
      <c r="UXK55" s="244"/>
      <c r="UXL55" s="246"/>
      <c r="UXM55" s="247"/>
      <c r="UXN55" s="275"/>
      <c r="UXO55" s="275"/>
      <c r="UXP55" s="275"/>
      <c r="UXQ55" s="275"/>
      <c r="UXR55" s="275"/>
      <c r="UXS55" s="275"/>
      <c r="UXT55" s="137"/>
      <c r="UXU55" s="137"/>
      <c r="UXV55" s="135"/>
      <c r="UXW55" s="137"/>
      <c r="UXY55" s="250"/>
      <c r="UXZ55" s="250"/>
      <c r="UYA55" s="243"/>
      <c r="UYB55" s="276"/>
      <c r="UYC55" s="276"/>
      <c r="UYD55" s="276"/>
      <c r="UYE55" s="244"/>
      <c r="UYF55" s="244"/>
      <c r="UYG55" s="244"/>
      <c r="UYH55" s="245"/>
      <c r="UYI55" s="245"/>
      <c r="UYJ55" s="244"/>
      <c r="UYK55" s="246"/>
      <c r="UYL55" s="247"/>
      <c r="UYM55" s="275"/>
      <c r="UYN55" s="275"/>
      <c r="UYO55" s="275"/>
      <c r="UYP55" s="275"/>
      <c r="UYQ55" s="275"/>
      <c r="UYR55" s="275"/>
      <c r="UYS55" s="137"/>
      <c r="UYT55" s="137"/>
      <c r="UYU55" s="135"/>
      <c r="UYV55" s="137"/>
      <c r="UYX55" s="250"/>
      <c r="UYY55" s="250"/>
      <c r="UYZ55" s="243"/>
      <c r="UZA55" s="276"/>
      <c r="UZB55" s="276"/>
      <c r="UZC55" s="276"/>
      <c r="UZD55" s="244"/>
      <c r="UZE55" s="244"/>
      <c r="UZF55" s="244"/>
      <c r="UZG55" s="245"/>
      <c r="UZH55" s="245"/>
      <c r="UZI55" s="244"/>
      <c r="UZJ55" s="246"/>
      <c r="UZK55" s="247"/>
      <c r="UZL55" s="275"/>
      <c r="UZM55" s="275"/>
      <c r="UZN55" s="275"/>
      <c r="UZO55" s="275"/>
      <c r="UZP55" s="275"/>
      <c r="UZQ55" s="275"/>
      <c r="UZR55" s="137"/>
      <c r="UZS55" s="137"/>
      <c r="UZT55" s="135"/>
      <c r="UZU55" s="137"/>
      <c r="UZW55" s="250"/>
      <c r="UZX55" s="250"/>
      <c r="UZY55" s="243"/>
      <c r="UZZ55" s="276"/>
      <c r="VAA55" s="276"/>
      <c r="VAB55" s="276"/>
      <c r="VAC55" s="244"/>
      <c r="VAD55" s="244"/>
      <c r="VAE55" s="244"/>
      <c r="VAF55" s="245"/>
      <c r="VAG55" s="245"/>
      <c r="VAH55" s="244"/>
      <c r="VAI55" s="246"/>
      <c r="VAJ55" s="247"/>
      <c r="VAK55" s="275"/>
      <c r="VAL55" s="275"/>
      <c r="VAM55" s="275"/>
      <c r="VAN55" s="275"/>
      <c r="VAO55" s="275"/>
      <c r="VAP55" s="275"/>
      <c r="VAQ55" s="137"/>
      <c r="VAR55" s="137"/>
      <c r="VAS55" s="135"/>
      <c r="VAT55" s="137"/>
      <c r="VAV55" s="250"/>
      <c r="VAW55" s="250"/>
      <c r="VAX55" s="243"/>
      <c r="VAY55" s="276"/>
      <c r="VAZ55" s="276"/>
      <c r="VBA55" s="276"/>
      <c r="VBB55" s="244"/>
      <c r="VBC55" s="244"/>
      <c r="VBD55" s="244"/>
      <c r="VBE55" s="245"/>
      <c r="VBF55" s="245"/>
      <c r="VBG55" s="244"/>
      <c r="VBH55" s="246"/>
      <c r="VBI55" s="247"/>
      <c r="VBJ55" s="275"/>
      <c r="VBK55" s="275"/>
      <c r="VBL55" s="275"/>
      <c r="VBM55" s="275"/>
      <c r="VBN55" s="275"/>
      <c r="VBO55" s="275"/>
      <c r="VBP55" s="137"/>
      <c r="VBQ55" s="137"/>
      <c r="VBR55" s="135"/>
      <c r="VBS55" s="137"/>
      <c r="VBU55" s="250"/>
      <c r="VBV55" s="250"/>
      <c r="VBW55" s="243"/>
      <c r="VBX55" s="276"/>
      <c r="VBY55" s="276"/>
      <c r="VBZ55" s="276"/>
      <c r="VCA55" s="244"/>
      <c r="VCB55" s="244"/>
      <c r="VCC55" s="244"/>
      <c r="VCD55" s="245"/>
      <c r="VCE55" s="245"/>
      <c r="VCF55" s="244"/>
      <c r="VCG55" s="246"/>
      <c r="VCH55" s="247"/>
      <c r="VCI55" s="275"/>
      <c r="VCJ55" s="275"/>
      <c r="VCK55" s="275"/>
      <c r="VCL55" s="275"/>
      <c r="VCM55" s="275"/>
      <c r="VCN55" s="275"/>
      <c r="VCO55" s="137"/>
      <c r="VCP55" s="137"/>
      <c r="VCQ55" s="135"/>
      <c r="VCR55" s="137"/>
      <c r="VCT55" s="250"/>
      <c r="VCU55" s="250"/>
      <c r="VCV55" s="243"/>
      <c r="VCW55" s="276"/>
      <c r="VCX55" s="276"/>
      <c r="VCY55" s="276"/>
      <c r="VCZ55" s="244"/>
      <c r="VDA55" s="244"/>
      <c r="VDB55" s="244"/>
      <c r="VDC55" s="245"/>
      <c r="VDD55" s="245"/>
      <c r="VDE55" s="244"/>
      <c r="VDF55" s="246"/>
      <c r="VDG55" s="247"/>
      <c r="VDH55" s="275"/>
      <c r="VDI55" s="275"/>
      <c r="VDJ55" s="275"/>
      <c r="VDK55" s="275"/>
      <c r="VDL55" s="275"/>
      <c r="VDM55" s="275"/>
      <c r="VDN55" s="137"/>
      <c r="VDO55" s="137"/>
      <c r="VDP55" s="135"/>
      <c r="VDQ55" s="137"/>
      <c r="VDS55" s="250"/>
      <c r="VDT55" s="250"/>
      <c r="VDU55" s="243"/>
      <c r="VDV55" s="276"/>
      <c r="VDW55" s="276"/>
      <c r="VDX55" s="276"/>
      <c r="VDY55" s="244"/>
      <c r="VDZ55" s="244"/>
      <c r="VEA55" s="244"/>
      <c r="VEB55" s="245"/>
      <c r="VEC55" s="245"/>
      <c r="VED55" s="244"/>
      <c r="VEE55" s="246"/>
      <c r="VEF55" s="247"/>
      <c r="VEG55" s="275"/>
      <c r="VEH55" s="275"/>
      <c r="VEI55" s="275"/>
      <c r="VEJ55" s="275"/>
      <c r="VEK55" s="275"/>
      <c r="VEL55" s="275"/>
      <c r="VEM55" s="137"/>
      <c r="VEN55" s="137"/>
      <c r="VEO55" s="135"/>
      <c r="VEP55" s="137"/>
      <c r="VER55" s="250"/>
      <c r="VES55" s="250"/>
      <c r="VET55" s="243"/>
      <c r="VEU55" s="276"/>
      <c r="VEV55" s="276"/>
      <c r="VEW55" s="276"/>
      <c r="VEX55" s="244"/>
      <c r="VEY55" s="244"/>
      <c r="VEZ55" s="244"/>
      <c r="VFA55" s="245"/>
      <c r="VFB55" s="245"/>
      <c r="VFC55" s="244"/>
      <c r="VFD55" s="246"/>
      <c r="VFE55" s="247"/>
      <c r="VFF55" s="275"/>
      <c r="VFG55" s="275"/>
      <c r="VFH55" s="275"/>
      <c r="VFI55" s="275"/>
      <c r="VFJ55" s="275"/>
      <c r="VFK55" s="275"/>
      <c r="VFL55" s="137"/>
      <c r="VFM55" s="137"/>
      <c r="VFN55" s="135"/>
      <c r="VFO55" s="137"/>
      <c r="VFQ55" s="250"/>
      <c r="VFR55" s="250"/>
      <c r="VFS55" s="243"/>
      <c r="VFT55" s="276"/>
      <c r="VFU55" s="276"/>
      <c r="VFV55" s="276"/>
      <c r="VFW55" s="244"/>
      <c r="VFX55" s="244"/>
      <c r="VFY55" s="244"/>
      <c r="VFZ55" s="245"/>
      <c r="VGA55" s="245"/>
      <c r="VGB55" s="244"/>
      <c r="VGC55" s="246"/>
      <c r="VGD55" s="247"/>
      <c r="VGE55" s="275"/>
      <c r="VGF55" s="275"/>
      <c r="VGG55" s="275"/>
      <c r="VGH55" s="275"/>
      <c r="VGI55" s="275"/>
      <c r="VGJ55" s="275"/>
      <c r="VGK55" s="137"/>
      <c r="VGL55" s="137"/>
      <c r="VGM55" s="135"/>
      <c r="VGN55" s="137"/>
      <c r="VGP55" s="250"/>
      <c r="VGQ55" s="250"/>
      <c r="VGR55" s="243"/>
      <c r="VGS55" s="276"/>
      <c r="VGT55" s="276"/>
      <c r="VGU55" s="276"/>
      <c r="VGV55" s="244"/>
      <c r="VGW55" s="244"/>
      <c r="VGX55" s="244"/>
      <c r="VGY55" s="245"/>
      <c r="VGZ55" s="245"/>
      <c r="VHA55" s="244"/>
      <c r="VHB55" s="246"/>
      <c r="VHC55" s="247"/>
      <c r="VHD55" s="275"/>
      <c r="VHE55" s="275"/>
      <c r="VHF55" s="275"/>
      <c r="VHG55" s="275"/>
      <c r="VHH55" s="275"/>
      <c r="VHI55" s="275"/>
      <c r="VHJ55" s="137"/>
      <c r="VHK55" s="137"/>
      <c r="VHL55" s="135"/>
      <c r="VHM55" s="137"/>
      <c r="VHO55" s="250"/>
      <c r="VHP55" s="250"/>
      <c r="VHQ55" s="243"/>
      <c r="VHR55" s="276"/>
      <c r="VHS55" s="276"/>
      <c r="VHT55" s="276"/>
      <c r="VHU55" s="244"/>
      <c r="VHV55" s="244"/>
      <c r="VHW55" s="244"/>
      <c r="VHX55" s="245"/>
      <c r="VHY55" s="245"/>
      <c r="VHZ55" s="244"/>
      <c r="VIA55" s="246"/>
      <c r="VIB55" s="247"/>
      <c r="VIC55" s="275"/>
      <c r="VID55" s="275"/>
      <c r="VIE55" s="275"/>
      <c r="VIF55" s="275"/>
      <c r="VIG55" s="275"/>
      <c r="VIH55" s="275"/>
      <c r="VII55" s="137"/>
      <c r="VIJ55" s="137"/>
      <c r="VIK55" s="135"/>
      <c r="VIL55" s="137"/>
      <c r="VIN55" s="250"/>
      <c r="VIO55" s="250"/>
      <c r="VIP55" s="243"/>
      <c r="VIQ55" s="276"/>
      <c r="VIR55" s="276"/>
      <c r="VIS55" s="276"/>
      <c r="VIT55" s="244"/>
      <c r="VIU55" s="244"/>
      <c r="VIV55" s="244"/>
      <c r="VIW55" s="245"/>
      <c r="VIX55" s="245"/>
      <c r="VIY55" s="244"/>
      <c r="VIZ55" s="246"/>
      <c r="VJA55" s="247"/>
      <c r="VJB55" s="275"/>
      <c r="VJC55" s="275"/>
      <c r="VJD55" s="275"/>
      <c r="VJE55" s="275"/>
      <c r="VJF55" s="275"/>
      <c r="VJG55" s="275"/>
      <c r="VJH55" s="137"/>
      <c r="VJI55" s="137"/>
      <c r="VJJ55" s="135"/>
      <c r="VJK55" s="137"/>
      <c r="VJM55" s="250"/>
      <c r="VJN55" s="250"/>
      <c r="VJO55" s="243"/>
      <c r="VJP55" s="276"/>
      <c r="VJQ55" s="276"/>
      <c r="VJR55" s="276"/>
      <c r="VJS55" s="244"/>
      <c r="VJT55" s="244"/>
      <c r="VJU55" s="244"/>
      <c r="VJV55" s="245"/>
      <c r="VJW55" s="245"/>
      <c r="VJX55" s="244"/>
      <c r="VJY55" s="246"/>
      <c r="VJZ55" s="247"/>
      <c r="VKA55" s="275"/>
      <c r="VKB55" s="275"/>
      <c r="VKC55" s="275"/>
      <c r="VKD55" s="275"/>
      <c r="VKE55" s="275"/>
      <c r="VKF55" s="275"/>
      <c r="VKG55" s="137"/>
      <c r="VKH55" s="137"/>
      <c r="VKI55" s="135"/>
      <c r="VKJ55" s="137"/>
      <c r="VKL55" s="250"/>
      <c r="VKM55" s="250"/>
      <c r="VKN55" s="243"/>
      <c r="VKO55" s="276"/>
      <c r="VKP55" s="276"/>
      <c r="VKQ55" s="276"/>
      <c r="VKR55" s="244"/>
      <c r="VKS55" s="244"/>
      <c r="VKT55" s="244"/>
      <c r="VKU55" s="245"/>
      <c r="VKV55" s="245"/>
      <c r="VKW55" s="244"/>
      <c r="VKX55" s="246"/>
      <c r="VKY55" s="247"/>
      <c r="VKZ55" s="275"/>
      <c r="VLA55" s="275"/>
      <c r="VLB55" s="275"/>
      <c r="VLC55" s="275"/>
      <c r="VLD55" s="275"/>
      <c r="VLE55" s="275"/>
      <c r="VLF55" s="137"/>
      <c r="VLG55" s="137"/>
      <c r="VLH55" s="135"/>
      <c r="VLI55" s="137"/>
      <c r="VLK55" s="250"/>
      <c r="VLL55" s="250"/>
      <c r="VLM55" s="243"/>
      <c r="VLN55" s="276"/>
      <c r="VLO55" s="276"/>
      <c r="VLP55" s="276"/>
      <c r="VLQ55" s="244"/>
      <c r="VLR55" s="244"/>
      <c r="VLS55" s="244"/>
      <c r="VLT55" s="245"/>
      <c r="VLU55" s="245"/>
      <c r="VLV55" s="244"/>
      <c r="VLW55" s="246"/>
      <c r="VLX55" s="247"/>
      <c r="VLY55" s="275"/>
      <c r="VLZ55" s="275"/>
      <c r="VMA55" s="275"/>
      <c r="VMB55" s="275"/>
      <c r="VMC55" s="275"/>
      <c r="VMD55" s="275"/>
      <c r="VME55" s="137"/>
      <c r="VMF55" s="137"/>
      <c r="VMG55" s="135"/>
      <c r="VMH55" s="137"/>
      <c r="VMJ55" s="250"/>
      <c r="VMK55" s="250"/>
      <c r="VML55" s="243"/>
      <c r="VMM55" s="276"/>
      <c r="VMN55" s="276"/>
      <c r="VMO55" s="276"/>
      <c r="VMP55" s="244"/>
      <c r="VMQ55" s="244"/>
      <c r="VMR55" s="244"/>
      <c r="VMS55" s="245"/>
      <c r="VMT55" s="245"/>
      <c r="VMU55" s="244"/>
      <c r="VMV55" s="246"/>
      <c r="VMW55" s="247"/>
      <c r="VMX55" s="275"/>
      <c r="VMY55" s="275"/>
      <c r="VMZ55" s="275"/>
      <c r="VNA55" s="275"/>
      <c r="VNB55" s="275"/>
      <c r="VNC55" s="275"/>
      <c r="VND55" s="137"/>
      <c r="VNE55" s="137"/>
      <c r="VNF55" s="135"/>
      <c r="VNG55" s="137"/>
      <c r="VNI55" s="250"/>
      <c r="VNJ55" s="250"/>
      <c r="VNK55" s="243"/>
      <c r="VNL55" s="276"/>
      <c r="VNM55" s="276"/>
      <c r="VNN55" s="276"/>
      <c r="VNO55" s="244"/>
      <c r="VNP55" s="244"/>
      <c r="VNQ55" s="244"/>
      <c r="VNR55" s="245"/>
      <c r="VNS55" s="245"/>
      <c r="VNT55" s="244"/>
      <c r="VNU55" s="246"/>
      <c r="VNV55" s="247"/>
      <c r="VNW55" s="275"/>
      <c r="VNX55" s="275"/>
      <c r="VNY55" s="275"/>
      <c r="VNZ55" s="275"/>
      <c r="VOA55" s="275"/>
      <c r="VOB55" s="275"/>
      <c r="VOC55" s="137"/>
      <c r="VOD55" s="137"/>
      <c r="VOE55" s="135"/>
      <c r="VOF55" s="137"/>
      <c r="VOH55" s="250"/>
      <c r="VOI55" s="250"/>
      <c r="VOJ55" s="243"/>
      <c r="VOK55" s="276"/>
      <c r="VOL55" s="276"/>
      <c r="VOM55" s="276"/>
      <c r="VON55" s="244"/>
      <c r="VOO55" s="244"/>
      <c r="VOP55" s="244"/>
      <c r="VOQ55" s="245"/>
      <c r="VOR55" s="245"/>
      <c r="VOS55" s="244"/>
      <c r="VOT55" s="246"/>
      <c r="VOU55" s="247"/>
      <c r="VOV55" s="275"/>
      <c r="VOW55" s="275"/>
      <c r="VOX55" s="275"/>
      <c r="VOY55" s="275"/>
      <c r="VOZ55" s="275"/>
      <c r="VPA55" s="275"/>
      <c r="VPB55" s="137"/>
      <c r="VPC55" s="137"/>
      <c r="VPD55" s="135"/>
      <c r="VPE55" s="137"/>
      <c r="VPG55" s="250"/>
      <c r="VPH55" s="250"/>
      <c r="VPI55" s="243"/>
      <c r="VPJ55" s="276"/>
      <c r="VPK55" s="276"/>
      <c r="VPL55" s="276"/>
      <c r="VPM55" s="244"/>
      <c r="VPN55" s="244"/>
      <c r="VPO55" s="244"/>
      <c r="VPP55" s="245"/>
      <c r="VPQ55" s="245"/>
      <c r="VPR55" s="244"/>
      <c r="VPS55" s="246"/>
      <c r="VPT55" s="247"/>
      <c r="VPU55" s="275"/>
      <c r="VPV55" s="275"/>
      <c r="VPW55" s="275"/>
      <c r="VPX55" s="275"/>
      <c r="VPY55" s="275"/>
      <c r="VPZ55" s="275"/>
      <c r="VQA55" s="137"/>
      <c r="VQB55" s="137"/>
      <c r="VQC55" s="135"/>
      <c r="VQD55" s="137"/>
      <c r="VQF55" s="250"/>
      <c r="VQG55" s="250"/>
      <c r="VQH55" s="243"/>
      <c r="VQI55" s="276"/>
      <c r="VQJ55" s="276"/>
      <c r="VQK55" s="276"/>
      <c r="VQL55" s="244"/>
      <c r="VQM55" s="244"/>
      <c r="VQN55" s="244"/>
      <c r="VQO55" s="245"/>
      <c r="VQP55" s="245"/>
      <c r="VQQ55" s="244"/>
      <c r="VQR55" s="246"/>
      <c r="VQS55" s="247"/>
      <c r="VQT55" s="275"/>
      <c r="VQU55" s="275"/>
      <c r="VQV55" s="275"/>
      <c r="VQW55" s="275"/>
      <c r="VQX55" s="275"/>
      <c r="VQY55" s="275"/>
      <c r="VQZ55" s="137"/>
      <c r="VRA55" s="137"/>
      <c r="VRB55" s="135"/>
      <c r="VRC55" s="137"/>
      <c r="VRE55" s="250"/>
      <c r="VRF55" s="250"/>
      <c r="VRG55" s="243"/>
      <c r="VRH55" s="276"/>
      <c r="VRI55" s="276"/>
      <c r="VRJ55" s="276"/>
      <c r="VRK55" s="244"/>
      <c r="VRL55" s="244"/>
      <c r="VRM55" s="244"/>
      <c r="VRN55" s="245"/>
      <c r="VRO55" s="245"/>
      <c r="VRP55" s="244"/>
      <c r="VRQ55" s="246"/>
      <c r="VRR55" s="247"/>
      <c r="VRS55" s="275"/>
      <c r="VRT55" s="275"/>
      <c r="VRU55" s="275"/>
      <c r="VRV55" s="275"/>
      <c r="VRW55" s="275"/>
      <c r="VRX55" s="275"/>
      <c r="VRY55" s="137"/>
      <c r="VRZ55" s="137"/>
      <c r="VSA55" s="135"/>
      <c r="VSB55" s="137"/>
      <c r="VSD55" s="250"/>
      <c r="VSE55" s="250"/>
      <c r="VSF55" s="243"/>
      <c r="VSG55" s="276"/>
      <c r="VSH55" s="276"/>
      <c r="VSI55" s="276"/>
      <c r="VSJ55" s="244"/>
      <c r="VSK55" s="244"/>
      <c r="VSL55" s="244"/>
      <c r="VSM55" s="245"/>
      <c r="VSN55" s="245"/>
      <c r="VSO55" s="244"/>
      <c r="VSP55" s="246"/>
      <c r="VSQ55" s="247"/>
      <c r="VSR55" s="275"/>
      <c r="VSS55" s="275"/>
      <c r="VST55" s="275"/>
      <c r="VSU55" s="275"/>
      <c r="VSV55" s="275"/>
      <c r="VSW55" s="275"/>
      <c r="VSX55" s="137"/>
      <c r="VSY55" s="137"/>
      <c r="VSZ55" s="135"/>
      <c r="VTA55" s="137"/>
      <c r="VTC55" s="250"/>
      <c r="VTD55" s="250"/>
      <c r="VTE55" s="243"/>
      <c r="VTF55" s="276"/>
      <c r="VTG55" s="276"/>
      <c r="VTH55" s="276"/>
      <c r="VTI55" s="244"/>
      <c r="VTJ55" s="244"/>
      <c r="VTK55" s="244"/>
      <c r="VTL55" s="245"/>
      <c r="VTM55" s="245"/>
      <c r="VTN55" s="244"/>
      <c r="VTO55" s="246"/>
      <c r="VTP55" s="247"/>
      <c r="VTQ55" s="275"/>
      <c r="VTR55" s="275"/>
      <c r="VTS55" s="275"/>
      <c r="VTT55" s="275"/>
      <c r="VTU55" s="275"/>
      <c r="VTV55" s="275"/>
      <c r="VTW55" s="137"/>
      <c r="VTX55" s="137"/>
      <c r="VTY55" s="135"/>
      <c r="VTZ55" s="137"/>
      <c r="VUB55" s="250"/>
      <c r="VUC55" s="250"/>
      <c r="VUD55" s="243"/>
      <c r="VUE55" s="276"/>
      <c r="VUF55" s="276"/>
      <c r="VUG55" s="276"/>
      <c r="VUH55" s="244"/>
      <c r="VUI55" s="244"/>
      <c r="VUJ55" s="244"/>
      <c r="VUK55" s="245"/>
      <c r="VUL55" s="245"/>
      <c r="VUM55" s="244"/>
      <c r="VUN55" s="246"/>
      <c r="VUO55" s="247"/>
      <c r="VUP55" s="275"/>
      <c r="VUQ55" s="275"/>
      <c r="VUR55" s="275"/>
      <c r="VUS55" s="275"/>
      <c r="VUT55" s="275"/>
      <c r="VUU55" s="275"/>
      <c r="VUV55" s="137"/>
      <c r="VUW55" s="137"/>
      <c r="VUX55" s="135"/>
      <c r="VUY55" s="137"/>
      <c r="VVA55" s="250"/>
      <c r="VVB55" s="250"/>
      <c r="VVC55" s="243"/>
      <c r="VVD55" s="276"/>
      <c r="VVE55" s="276"/>
      <c r="VVF55" s="276"/>
      <c r="VVG55" s="244"/>
      <c r="VVH55" s="244"/>
      <c r="VVI55" s="244"/>
      <c r="VVJ55" s="245"/>
      <c r="VVK55" s="245"/>
      <c r="VVL55" s="244"/>
      <c r="VVM55" s="246"/>
      <c r="VVN55" s="247"/>
      <c r="VVO55" s="275"/>
      <c r="VVP55" s="275"/>
      <c r="VVQ55" s="275"/>
      <c r="VVR55" s="275"/>
      <c r="VVS55" s="275"/>
      <c r="VVT55" s="275"/>
      <c r="VVU55" s="137"/>
      <c r="VVV55" s="137"/>
      <c r="VVW55" s="135"/>
      <c r="VVX55" s="137"/>
      <c r="VVZ55" s="250"/>
      <c r="VWA55" s="250"/>
      <c r="VWB55" s="243"/>
      <c r="VWC55" s="276"/>
      <c r="VWD55" s="276"/>
      <c r="VWE55" s="276"/>
      <c r="VWF55" s="244"/>
      <c r="VWG55" s="244"/>
      <c r="VWH55" s="244"/>
      <c r="VWI55" s="245"/>
      <c r="VWJ55" s="245"/>
      <c r="VWK55" s="244"/>
      <c r="VWL55" s="246"/>
      <c r="VWM55" s="247"/>
      <c r="VWN55" s="275"/>
      <c r="VWO55" s="275"/>
      <c r="VWP55" s="275"/>
      <c r="VWQ55" s="275"/>
      <c r="VWR55" s="275"/>
      <c r="VWS55" s="275"/>
      <c r="VWT55" s="137"/>
      <c r="VWU55" s="137"/>
      <c r="VWV55" s="135"/>
      <c r="VWW55" s="137"/>
      <c r="VWY55" s="250"/>
      <c r="VWZ55" s="250"/>
      <c r="VXA55" s="243"/>
      <c r="VXB55" s="276"/>
      <c r="VXC55" s="276"/>
      <c r="VXD55" s="276"/>
      <c r="VXE55" s="244"/>
      <c r="VXF55" s="244"/>
      <c r="VXG55" s="244"/>
      <c r="VXH55" s="245"/>
      <c r="VXI55" s="245"/>
      <c r="VXJ55" s="244"/>
      <c r="VXK55" s="246"/>
      <c r="VXL55" s="247"/>
      <c r="VXM55" s="275"/>
      <c r="VXN55" s="275"/>
      <c r="VXO55" s="275"/>
      <c r="VXP55" s="275"/>
      <c r="VXQ55" s="275"/>
      <c r="VXR55" s="275"/>
      <c r="VXS55" s="137"/>
      <c r="VXT55" s="137"/>
      <c r="VXU55" s="135"/>
      <c r="VXV55" s="137"/>
      <c r="VXX55" s="250"/>
      <c r="VXY55" s="250"/>
      <c r="VXZ55" s="243"/>
      <c r="VYA55" s="276"/>
      <c r="VYB55" s="276"/>
      <c r="VYC55" s="276"/>
      <c r="VYD55" s="244"/>
      <c r="VYE55" s="244"/>
      <c r="VYF55" s="244"/>
      <c r="VYG55" s="245"/>
      <c r="VYH55" s="245"/>
      <c r="VYI55" s="244"/>
      <c r="VYJ55" s="246"/>
      <c r="VYK55" s="247"/>
      <c r="VYL55" s="275"/>
      <c r="VYM55" s="275"/>
      <c r="VYN55" s="275"/>
      <c r="VYO55" s="275"/>
      <c r="VYP55" s="275"/>
      <c r="VYQ55" s="275"/>
      <c r="VYR55" s="137"/>
      <c r="VYS55" s="137"/>
      <c r="VYT55" s="135"/>
      <c r="VYU55" s="137"/>
      <c r="VYW55" s="250"/>
      <c r="VYX55" s="250"/>
      <c r="VYY55" s="243"/>
      <c r="VYZ55" s="276"/>
      <c r="VZA55" s="276"/>
      <c r="VZB55" s="276"/>
      <c r="VZC55" s="244"/>
      <c r="VZD55" s="244"/>
      <c r="VZE55" s="244"/>
      <c r="VZF55" s="245"/>
      <c r="VZG55" s="245"/>
      <c r="VZH55" s="244"/>
      <c r="VZI55" s="246"/>
      <c r="VZJ55" s="247"/>
      <c r="VZK55" s="275"/>
      <c r="VZL55" s="275"/>
      <c r="VZM55" s="275"/>
      <c r="VZN55" s="275"/>
      <c r="VZO55" s="275"/>
      <c r="VZP55" s="275"/>
      <c r="VZQ55" s="137"/>
      <c r="VZR55" s="137"/>
      <c r="VZS55" s="135"/>
      <c r="VZT55" s="137"/>
      <c r="VZV55" s="250"/>
      <c r="VZW55" s="250"/>
      <c r="VZX55" s="243"/>
      <c r="VZY55" s="276"/>
      <c r="VZZ55" s="276"/>
      <c r="WAA55" s="276"/>
      <c r="WAB55" s="244"/>
      <c r="WAC55" s="244"/>
      <c r="WAD55" s="244"/>
      <c r="WAE55" s="245"/>
      <c r="WAF55" s="245"/>
      <c r="WAG55" s="244"/>
      <c r="WAH55" s="246"/>
      <c r="WAI55" s="247"/>
      <c r="WAJ55" s="275"/>
      <c r="WAK55" s="275"/>
      <c r="WAL55" s="275"/>
      <c r="WAM55" s="275"/>
      <c r="WAN55" s="275"/>
      <c r="WAO55" s="275"/>
      <c r="WAP55" s="137"/>
      <c r="WAQ55" s="137"/>
      <c r="WAR55" s="135"/>
      <c r="WAS55" s="137"/>
      <c r="WAU55" s="250"/>
      <c r="WAV55" s="250"/>
      <c r="WAW55" s="243"/>
      <c r="WAX55" s="276"/>
      <c r="WAY55" s="276"/>
      <c r="WAZ55" s="276"/>
      <c r="WBA55" s="244"/>
      <c r="WBB55" s="244"/>
      <c r="WBC55" s="244"/>
      <c r="WBD55" s="245"/>
      <c r="WBE55" s="245"/>
      <c r="WBF55" s="244"/>
      <c r="WBG55" s="246"/>
      <c r="WBH55" s="247"/>
      <c r="WBI55" s="275"/>
      <c r="WBJ55" s="275"/>
      <c r="WBK55" s="275"/>
      <c r="WBL55" s="275"/>
      <c r="WBM55" s="275"/>
      <c r="WBN55" s="275"/>
      <c r="WBO55" s="137"/>
      <c r="WBP55" s="137"/>
      <c r="WBQ55" s="135"/>
      <c r="WBR55" s="137"/>
      <c r="WBT55" s="250"/>
      <c r="WBU55" s="250"/>
      <c r="WBV55" s="243"/>
      <c r="WBW55" s="276"/>
      <c r="WBX55" s="276"/>
      <c r="WBY55" s="276"/>
      <c r="WBZ55" s="244"/>
      <c r="WCA55" s="244"/>
      <c r="WCB55" s="244"/>
      <c r="WCC55" s="245"/>
      <c r="WCD55" s="245"/>
      <c r="WCE55" s="244"/>
      <c r="WCF55" s="246"/>
      <c r="WCG55" s="247"/>
      <c r="WCH55" s="275"/>
      <c r="WCI55" s="275"/>
      <c r="WCJ55" s="275"/>
      <c r="WCK55" s="275"/>
      <c r="WCL55" s="275"/>
      <c r="WCM55" s="275"/>
      <c r="WCN55" s="137"/>
      <c r="WCO55" s="137"/>
      <c r="WCP55" s="135"/>
      <c r="WCQ55" s="137"/>
      <c r="WCS55" s="250"/>
      <c r="WCT55" s="250"/>
      <c r="WCU55" s="243"/>
      <c r="WCV55" s="276"/>
      <c r="WCW55" s="276"/>
      <c r="WCX55" s="276"/>
      <c r="WCY55" s="244"/>
      <c r="WCZ55" s="244"/>
      <c r="WDA55" s="244"/>
      <c r="WDB55" s="245"/>
      <c r="WDC55" s="245"/>
      <c r="WDD55" s="244"/>
      <c r="WDE55" s="246"/>
      <c r="WDF55" s="247"/>
      <c r="WDG55" s="275"/>
      <c r="WDH55" s="275"/>
      <c r="WDI55" s="275"/>
      <c r="WDJ55" s="275"/>
      <c r="WDK55" s="275"/>
      <c r="WDL55" s="275"/>
      <c r="WDM55" s="137"/>
      <c r="WDN55" s="137"/>
      <c r="WDO55" s="135"/>
      <c r="WDP55" s="137"/>
      <c r="WDR55" s="250"/>
      <c r="WDS55" s="250"/>
      <c r="WDT55" s="243"/>
      <c r="WDU55" s="276"/>
      <c r="WDV55" s="276"/>
      <c r="WDW55" s="276"/>
      <c r="WDX55" s="244"/>
      <c r="WDY55" s="244"/>
      <c r="WDZ55" s="244"/>
      <c r="WEA55" s="245"/>
      <c r="WEB55" s="245"/>
      <c r="WEC55" s="244"/>
      <c r="WED55" s="246"/>
      <c r="WEE55" s="247"/>
      <c r="WEF55" s="275"/>
      <c r="WEG55" s="275"/>
      <c r="WEH55" s="275"/>
      <c r="WEI55" s="275"/>
      <c r="WEJ55" s="275"/>
      <c r="WEK55" s="275"/>
      <c r="WEL55" s="137"/>
      <c r="WEM55" s="137"/>
      <c r="WEN55" s="135"/>
      <c r="WEO55" s="137"/>
      <c r="WEQ55" s="250"/>
      <c r="WER55" s="250"/>
      <c r="WES55" s="243"/>
      <c r="WET55" s="276"/>
      <c r="WEU55" s="276"/>
      <c r="WEV55" s="276"/>
      <c r="WEW55" s="244"/>
      <c r="WEX55" s="244"/>
      <c r="WEY55" s="244"/>
      <c r="WEZ55" s="245"/>
      <c r="WFA55" s="245"/>
      <c r="WFB55" s="244"/>
      <c r="WFC55" s="246"/>
      <c r="WFD55" s="247"/>
      <c r="WFE55" s="275"/>
      <c r="WFF55" s="275"/>
      <c r="WFG55" s="275"/>
      <c r="WFH55" s="275"/>
      <c r="WFI55" s="275"/>
      <c r="WFJ55" s="275"/>
      <c r="WFK55" s="137"/>
      <c r="WFL55" s="137"/>
      <c r="WFM55" s="135"/>
      <c r="WFN55" s="137"/>
      <c r="WFP55" s="250"/>
      <c r="WFQ55" s="250"/>
      <c r="WFR55" s="243"/>
      <c r="WFS55" s="276"/>
      <c r="WFT55" s="276"/>
      <c r="WFU55" s="276"/>
      <c r="WFV55" s="244"/>
      <c r="WFW55" s="244"/>
      <c r="WFX55" s="244"/>
      <c r="WFY55" s="245"/>
      <c r="WFZ55" s="245"/>
      <c r="WGA55" s="244"/>
      <c r="WGB55" s="246"/>
      <c r="WGC55" s="247"/>
      <c r="WGD55" s="275"/>
      <c r="WGE55" s="275"/>
      <c r="WGF55" s="275"/>
      <c r="WGG55" s="275"/>
      <c r="WGH55" s="275"/>
      <c r="WGI55" s="275"/>
      <c r="WGJ55" s="137"/>
      <c r="WGK55" s="137"/>
      <c r="WGL55" s="135"/>
      <c r="WGM55" s="137"/>
      <c r="WGO55" s="250"/>
      <c r="WGP55" s="250"/>
      <c r="WGQ55" s="243"/>
      <c r="WGR55" s="276"/>
      <c r="WGS55" s="276"/>
      <c r="WGT55" s="276"/>
      <c r="WGU55" s="244"/>
      <c r="WGV55" s="244"/>
      <c r="WGW55" s="244"/>
      <c r="WGX55" s="245"/>
      <c r="WGY55" s="245"/>
      <c r="WGZ55" s="244"/>
      <c r="WHA55" s="246"/>
      <c r="WHB55" s="247"/>
      <c r="WHC55" s="275"/>
      <c r="WHD55" s="275"/>
      <c r="WHE55" s="275"/>
      <c r="WHF55" s="275"/>
      <c r="WHG55" s="275"/>
      <c r="WHH55" s="275"/>
      <c r="WHI55" s="137"/>
      <c r="WHJ55" s="137"/>
      <c r="WHK55" s="135"/>
      <c r="WHL55" s="137"/>
      <c r="WHN55" s="250"/>
      <c r="WHO55" s="250"/>
      <c r="WHP55" s="243"/>
      <c r="WHQ55" s="276"/>
      <c r="WHR55" s="276"/>
      <c r="WHS55" s="276"/>
      <c r="WHT55" s="244"/>
      <c r="WHU55" s="244"/>
      <c r="WHV55" s="244"/>
      <c r="WHW55" s="245"/>
      <c r="WHX55" s="245"/>
      <c r="WHY55" s="244"/>
      <c r="WHZ55" s="246"/>
      <c r="WIA55" s="247"/>
      <c r="WIB55" s="275"/>
      <c r="WIC55" s="275"/>
      <c r="WID55" s="275"/>
      <c r="WIE55" s="275"/>
      <c r="WIF55" s="275"/>
      <c r="WIG55" s="275"/>
      <c r="WIH55" s="137"/>
      <c r="WII55" s="137"/>
      <c r="WIJ55" s="135"/>
      <c r="WIK55" s="137"/>
      <c r="WIM55" s="250"/>
      <c r="WIN55" s="250"/>
      <c r="WIO55" s="243"/>
      <c r="WIP55" s="276"/>
      <c r="WIQ55" s="276"/>
      <c r="WIR55" s="276"/>
      <c r="WIS55" s="244"/>
      <c r="WIT55" s="244"/>
      <c r="WIU55" s="244"/>
      <c r="WIV55" s="245"/>
      <c r="WIW55" s="245"/>
      <c r="WIX55" s="244"/>
      <c r="WIY55" s="246"/>
      <c r="WIZ55" s="247"/>
      <c r="WJA55" s="275"/>
      <c r="WJB55" s="275"/>
      <c r="WJC55" s="275"/>
      <c r="WJD55" s="275"/>
      <c r="WJE55" s="275"/>
      <c r="WJF55" s="275"/>
      <c r="WJG55" s="137"/>
      <c r="WJH55" s="137"/>
      <c r="WJI55" s="135"/>
      <c r="WJJ55" s="137"/>
      <c r="WJL55" s="250"/>
      <c r="WJM55" s="250"/>
      <c r="WJN55" s="243"/>
      <c r="WJO55" s="276"/>
      <c r="WJP55" s="276"/>
      <c r="WJQ55" s="276"/>
      <c r="WJR55" s="244"/>
      <c r="WJS55" s="244"/>
      <c r="WJT55" s="244"/>
      <c r="WJU55" s="245"/>
      <c r="WJV55" s="245"/>
      <c r="WJW55" s="244"/>
      <c r="WJX55" s="246"/>
      <c r="WJY55" s="247"/>
      <c r="WJZ55" s="275"/>
      <c r="WKA55" s="275"/>
      <c r="WKB55" s="275"/>
      <c r="WKC55" s="275"/>
      <c r="WKD55" s="275"/>
      <c r="WKE55" s="275"/>
      <c r="WKF55" s="137"/>
      <c r="WKG55" s="137"/>
      <c r="WKH55" s="135"/>
      <c r="WKI55" s="137"/>
      <c r="WKK55" s="250"/>
      <c r="WKL55" s="250"/>
      <c r="WKM55" s="243"/>
      <c r="WKN55" s="276"/>
      <c r="WKO55" s="276"/>
      <c r="WKP55" s="276"/>
      <c r="WKQ55" s="244"/>
      <c r="WKR55" s="244"/>
      <c r="WKS55" s="244"/>
      <c r="WKT55" s="245"/>
      <c r="WKU55" s="245"/>
      <c r="WKV55" s="244"/>
      <c r="WKW55" s="246"/>
      <c r="WKX55" s="247"/>
      <c r="WKY55" s="275"/>
      <c r="WKZ55" s="275"/>
      <c r="WLA55" s="275"/>
      <c r="WLB55" s="275"/>
      <c r="WLC55" s="275"/>
      <c r="WLD55" s="275"/>
      <c r="WLE55" s="137"/>
      <c r="WLF55" s="137"/>
      <c r="WLG55" s="135"/>
      <c r="WLH55" s="137"/>
      <c r="WLJ55" s="250"/>
      <c r="WLK55" s="250"/>
      <c r="WLL55" s="243"/>
      <c r="WLM55" s="276"/>
      <c r="WLN55" s="276"/>
      <c r="WLO55" s="276"/>
      <c r="WLP55" s="244"/>
      <c r="WLQ55" s="244"/>
      <c r="WLR55" s="244"/>
      <c r="WLS55" s="245"/>
      <c r="WLT55" s="245"/>
      <c r="WLU55" s="244"/>
      <c r="WLV55" s="246"/>
      <c r="WLW55" s="247"/>
      <c r="WLX55" s="275"/>
      <c r="WLY55" s="275"/>
      <c r="WLZ55" s="275"/>
      <c r="WMA55" s="275"/>
      <c r="WMB55" s="275"/>
      <c r="WMC55" s="275"/>
      <c r="WMD55" s="137"/>
      <c r="WME55" s="137"/>
      <c r="WMF55" s="135"/>
      <c r="WMG55" s="137"/>
      <c r="WMI55" s="250"/>
      <c r="WMJ55" s="250"/>
      <c r="WMK55" s="243"/>
      <c r="WML55" s="276"/>
      <c r="WMM55" s="276"/>
      <c r="WMN55" s="276"/>
      <c r="WMO55" s="244"/>
      <c r="WMP55" s="244"/>
      <c r="WMQ55" s="244"/>
      <c r="WMR55" s="245"/>
      <c r="WMS55" s="245"/>
      <c r="WMT55" s="244"/>
      <c r="WMU55" s="246"/>
      <c r="WMV55" s="247"/>
      <c r="WMW55" s="275"/>
      <c r="WMX55" s="275"/>
      <c r="WMY55" s="275"/>
      <c r="WMZ55" s="275"/>
      <c r="WNA55" s="275"/>
      <c r="WNB55" s="275"/>
      <c r="WNC55" s="137"/>
      <c r="WND55" s="137"/>
      <c r="WNE55" s="135"/>
      <c r="WNF55" s="137"/>
      <c r="WNH55" s="250"/>
      <c r="WNI55" s="250"/>
      <c r="WNJ55" s="243"/>
      <c r="WNK55" s="276"/>
      <c r="WNL55" s="276"/>
      <c r="WNM55" s="276"/>
      <c r="WNN55" s="244"/>
      <c r="WNO55" s="244"/>
      <c r="WNP55" s="244"/>
      <c r="WNQ55" s="245"/>
      <c r="WNR55" s="245"/>
      <c r="WNS55" s="244"/>
      <c r="WNT55" s="246"/>
      <c r="WNU55" s="247"/>
      <c r="WNV55" s="275"/>
      <c r="WNW55" s="275"/>
      <c r="WNX55" s="275"/>
      <c r="WNY55" s="275"/>
      <c r="WNZ55" s="275"/>
      <c r="WOA55" s="275"/>
      <c r="WOB55" s="137"/>
      <c r="WOC55" s="137"/>
      <c r="WOD55" s="135"/>
      <c r="WOE55" s="137"/>
      <c r="WOG55" s="250"/>
      <c r="WOH55" s="250"/>
      <c r="WOI55" s="243"/>
      <c r="WOJ55" s="276"/>
      <c r="WOK55" s="276"/>
      <c r="WOL55" s="276"/>
      <c r="WOM55" s="244"/>
      <c r="WON55" s="244"/>
      <c r="WOO55" s="244"/>
      <c r="WOP55" s="245"/>
      <c r="WOQ55" s="245"/>
      <c r="WOR55" s="244"/>
      <c r="WOS55" s="246"/>
      <c r="WOT55" s="247"/>
      <c r="WOU55" s="275"/>
      <c r="WOV55" s="275"/>
      <c r="WOW55" s="275"/>
      <c r="WOX55" s="275"/>
      <c r="WOY55" s="275"/>
      <c r="WOZ55" s="275"/>
      <c r="WPA55" s="137"/>
      <c r="WPB55" s="137"/>
      <c r="WPC55" s="135"/>
      <c r="WPD55" s="137"/>
      <c r="WPF55" s="250"/>
      <c r="WPG55" s="250"/>
      <c r="WPH55" s="243"/>
      <c r="WPI55" s="276"/>
      <c r="WPJ55" s="276"/>
      <c r="WPK55" s="276"/>
      <c r="WPL55" s="244"/>
      <c r="WPM55" s="244"/>
      <c r="WPN55" s="244"/>
      <c r="WPO55" s="245"/>
      <c r="WPP55" s="245"/>
      <c r="WPQ55" s="244"/>
      <c r="WPR55" s="246"/>
      <c r="WPS55" s="247"/>
      <c r="WPT55" s="275"/>
      <c r="WPU55" s="275"/>
      <c r="WPV55" s="275"/>
      <c r="WPW55" s="275"/>
      <c r="WPX55" s="275"/>
      <c r="WPY55" s="275"/>
      <c r="WPZ55" s="137"/>
      <c r="WQA55" s="137"/>
      <c r="WQB55" s="135"/>
      <c r="WQC55" s="137"/>
      <c r="WQE55" s="250"/>
      <c r="WQF55" s="250"/>
      <c r="WQG55" s="243"/>
      <c r="WQH55" s="276"/>
      <c r="WQI55" s="276"/>
      <c r="WQJ55" s="276"/>
      <c r="WQK55" s="244"/>
      <c r="WQL55" s="244"/>
      <c r="WQM55" s="244"/>
      <c r="WQN55" s="245"/>
      <c r="WQO55" s="245"/>
      <c r="WQP55" s="244"/>
      <c r="WQQ55" s="246"/>
      <c r="WQR55" s="247"/>
      <c r="WQS55" s="275"/>
      <c r="WQT55" s="275"/>
      <c r="WQU55" s="275"/>
      <c r="WQV55" s="275"/>
      <c r="WQW55" s="275"/>
      <c r="WQX55" s="275"/>
      <c r="WQY55" s="137"/>
      <c r="WQZ55" s="137"/>
      <c r="WRA55" s="135"/>
      <c r="WRB55" s="137"/>
      <c r="WRD55" s="250"/>
      <c r="WRE55" s="250"/>
      <c r="WRF55" s="243"/>
      <c r="WRG55" s="276"/>
      <c r="WRH55" s="276"/>
      <c r="WRI55" s="276"/>
      <c r="WRJ55" s="244"/>
      <c r="WRK55" s="244"/>
      <c r="WRL55" s="244"/>
      <c r="WRM55" s="245"/>
      <c r="WRN55" s="245"/>
      <c r="WRO55" s="244"/>
      <c r="WRP55" s="246"/>
      <c r="WRQ55" s="247"/>
      <c r="WRR55" s="275"/>
      <c r="WRS55" s="275"/>
      <c r="WRT55" s="275"/>
      <c r="WRU55" s="275"/>
      <c r="WRV55" s="275"/>
      <c r="WRW55" s="275"/>
      <c r="WRX55" s="137"/>
      <c r="WRY55" s="137"/>
      <c r="WRZ55" s="135"/>
      <c r="WSA55" s="137"/>
      <c r="WSC55" s="250"/>
      <c r="WSD55" s="250"/>
      <c r="WSE55" s="243"/>
      <c r="WSF55" s="276"/>
      <c r="WSG55" s="276"/>
      <c r="WSH55" s="276"/>
      <c r="WSI55" s="244"/>
      <c r="WSJ55" s="244"/>
      <c r="WSK55" s="244"/>
      <c r="WSL55" s="245"/>
      <c r="WSM55" s="245"/>
      <c r="WSN55" s="244"/>
      <c r="WSO55" s="246"/>
      <c r="WSP55" s="247"/>
      <c r="WSQ55" s="275"/>
      <c r="WSR55" s="275"/>
      <c r="WSS55" s="275"/>
      <c r="WST55" s="275"/>
      <c r="WSU55" s="275"/>
      <c r="WSV55" s="275"/>
      <c r="WSW55" s="137"/>
      <c r="WSX55" s="137"/>
      <c r="WSY55" s="135"/>
      <c r="WSZ55" s="137"/>
      <c r="WTB55" s="250"/>
      <c r="WTC55" s="250"/>
      <c r="WTD55" s="243"/>
      <c r="WTE55" s="276"/>
      <c r="WTF55" s="276"/>
      <c r="WTG55" s="276"/>
      <c r="WTH55" s="244"/>
      <c r="WTI55" s="244"/>
      <c r="WTJ55" s="244"/>
      <c r="WTK55" s="245"/>
      <c r="WTL55" s="245"/>
      <c r="WTM55" s="244"/>
      <c r="WTN55" s="246"/>
      <c r="WTO55" s="247"/>
      <c r="WTP55" s="275"/>
      <c r="WTQ55" s="275"/>
      <c r="WTR55" s="275"/>
      <c r="WTS55" s="275"/>
      <c r="WTT55" s="275"/>
      <c r="WTU55" s="275"/>
      <c r="WTV55" s="137"/>
      <c r="WTW55" s="137"/>
      <c r="WTX55" s="135"/>
      <c r="WTY55" s="137"/>
      <c r="WUA55" s="250"/>
      <c r="WUB55" s="250"/>
      <c r="WUC55" s="243"/>
      <c r="WUD55" s="276"/>
      <c r="WUE55" s="276"/>
      <c r="WUF55" s="276"/>
      <c r="WUG55" s="244"/>
      <c r="WUH55" s="244"/>
      <c r="WUI55" s="244"/>
      <c r="WUJ55" s="245"/>
      <c r="WUK55" s="245"/>
      <c r="WUL55" s="244"/>
      <c r="WUM55" s="246"/>
      <c r="WUN55" s="247"/>
      <c r="WUO55" s="275"/>
      <c r="WUP55" s="275"/>
      <c r="WUQ55" s="275"/>
      <c r="WUR55" s="275"/>
      <c r="WUS55" s="275"/>
      <c r="WUT55" s="275"/>
      <c r="WUU55" s="137"/>
      <c r="WUV55" s="137"/>
      <c r="WUW55" s="135"/>
      <c r="WUX55" s="137"/>
      <c r="WUZ55" s="250"/>
      <c r="WVA55" s="250"/>
      <c r="WVB55" s="243"/>
      <c r="WVC55" s="276"/>
      <c r="WVD55" s="276"/>
      <c r="WVE55" s="276"/>
      <c r="WVF55" s="244"/>
      <c r="WVG55" s="244"/>
      <c r="WVH55" s="244"/>
      <c r="WVI55" s="245"/>
      <c r="WVJ55" s="245"/>
      <c r="WVK55" s="244"/>
      <c r="WVL55" s="246"/>
      <c r="WVM55" s="247"/>
      <c r="WVN55" s="275"/>
      <c r="WVO55" s="275"/>
      <c r="WVP55" s="275"/>
      <c r="WVQ55" s="275"/>
      <c r="WVR55" s="275"/>
      <c r="WVS55" s="275"/>
      <c r="WVT55" s="137"/>
      <c r="WVU55" s="137"/>
      <c r="WVV55" s="135"/>
      <c r="WVW55" s="137"/>
      <c r="WVY55" s="250"/>
      <c r="WVZ55" s="250"/>
      <c r="WWA55" s="243"/>
      <c r="WWB55" s="276"/>
      <c r="WWC55" s="276"/>
      <c r="WWD55" s="276"/>
      <c r="WWE55" s="244"/>
      <c r="WWF55" s="244"/>
      <c r="WWG55" s="244"/>
      <c r="WWH55" s="245"/>
      <c r="WWI55" s="245"/>
      <c r="WWJ55" s="244"/>
      <c r="WWK55" s="246"/>
      <c r="WWL55" s="247"/>
      <c r="WWM55" s="275"/>
      <c r="WWN55" s="275"/>
      <c r="WWO55" s="275"/>
      <c r="WWP55" s="275"/>
      <c r="WWQ55" s="275"/>
      <c r="WWR55" s="275"/>
      <c r="WWS55" s="137"/>
      <c r="WWT55" s="137"/>
      <c r="WWU55" s="135"/>
      <c r="WWV55" s="137"/>
      <c r="WWX55" s="250"/>
      <c r="WWY55" s="250"/>
      <c r="WWZ55" s="243"/>
      <c r="WXA55" s="276"/>
      <c r="WXB55" s="276"/>
      <c r="WXC55" s="276"/>
      <c r="WXD55" s="244"/>
      <c r="WXE55" s="244"/>
      <c r="WXF55" s="244"/>
      <c r="WXG55" s="245"/>
      <c r="WXH55" s="245"/>
      <c r="WXI55" s="244"/>
      <c r="WXJ55" s="246"/>
      <c r="WXK55" s="247"/>
      <c r="WXL55" s="275"/>
      <c r="WXM55" s="275"/>
      <c r="WXN55" s="275"/>
      <c r="WXO55" s="275"/>
      <c r="WXP55" s="275"/>
      <c r="WXQ55" s="275"/>
      <c r="WXR55" s="137"/>
      <c r="WXS55" s="137"/>
      <c r="WXT55" s="135"/>
      <c r="WXU55" s="137"/>
      <c r="WXW55" s="250"/>
      <c r="WXX55" s="250"/>
      <c r="WXY55" s="243"/>
      <c r="WXZ55" s="276"/>
      <c r="WYA55" s="276"/>
      <c r="WYB55" s="276"/>
      <c r="WYC55" s="244"/>
      <c r="WYD55" s="244"/>
      <c r="WYE55" s="244"/>
      <c r="WYF55" s="245"/>
      <c r="WYG55" s="245"/>
      <c r="WYH55" s="244"/>
      <c r="WYI55" s="246"/>
      <c r="WYJ55" s="247"/>
      <c r="WYK55" s="275"/>
      <c r="WYL55" s="275"/>
      <c r="WYM55" s="275"/>
      <c r="WYN55" s="275"/>
      <c r="WYO55" s="275"/>
      <c r="WYP55" s="275"/>
      <c r="WYQ55" s="137"/>
      <c r="WYR55" s="137"/>
      <c r="WYS55" s="135"/>
      <c r="WYT55" s="137"/>
      <c r="WYV55" s="250"/>
      <c r="WYW55" s="250"/>
      <c r="WYX55" s="243"/>
      <c r="WYY55" s="276"/>
      <c r="WYZ55" s="276"/>
      <c r="WZA55" s="276"/>
      <c r="WZB55" s="244"/>
      <c r="WZC55" s="244"/>
      <c r="WZD55" s="244"/>
      <c r="WZE55" s="245"/>
      <c r="WZF55" s="245"/>
      <c r="WZG55" s="244"/>
      <c r="WZH55" s="246"/>
      <c r="WZI55" s="247"/>
      <c r="WZJ55" s="275"/>
      <c r="WZK55" s="275"/>
      <c r="WZL55" s="275"/>
      <c r="WZM55" s="275"/>
      <c r="WZN55" s="275"/>
      <c r="WZO55" s="275"/>
      <c r="WZP55" s="137"/>
      <c r="WZQ55" s="137"/>
      <c r="WZR55" s="135"/>
      <c r="WZS55" s="137"/>
      <c r="WZU55" s="250"/>
      <c r="WZV55" s="250"/>
      <c r="WZW55" s="243"/>
      <c r="WZX55" s="276"/>
      <c r="WZY55" s="276"/>
      <c r="WZZ55" s="276"/>
      <c r="XAA55" s="244"/>
      <c r="XAB55" s="244"/>
      <c r="XAC55" s="244"/>
      <c r="XAD55" s="245"/>
      <c r="XAE55" s="245"/>
      <c r="XAF55" s="244"/>
      <c r="XAG55" s="246"/>
      <c r="XAH55" s="247"/>
      <c r="XAI55" s="275"/>
      <c r="XAJ55" s="275"/>
      <c r="XAK55" s="275"/>
      <c r="XAL55" s="275"/>
      <c r="XAM55" s="275"/>
      <c r="XAN55" s="275"/>
      <c r="XAO55" s="137"/>
      <c r="XAP55" s="137"/>
      <c r="XAQ55" s="135"/>
      <c r="XAR55" s="137"/>
      <c r="XAT55" s="250"/>
      <c r="XAU55" s="250"/>
      <c r="XAV55" s="243"/>
      <c r="XAW55" s="276"/>
      <c r="XAX55" s="276"/>
      <c r="XAY55" s="276"/>
      <c r="XAZ55" s="244"/>
      <c r="XBA55" s="244"/>
      <c r="XBB55" s="244"/>
      <c r="XBC55" s="245"/>
      <c r="XBD55" s="245"/>
      <c r="XBE55" s="244"/>
      <c r="XBF55" s="246"/>
      <c r="XBG55" s="247"/>
      <c r="XBH55" s="275"/>
      <c r="XBI55" s="275"/>
      <c r="XBJ55" s="275"/>
      <c r="XBK55" s="275"/>
      <c r="XBL55" s="275"/>
      <c r="XBM55" s="275"/>
      <c r="XBN55" s="137"/>
      <c r="XBO55" s="137"/>
      <c r="XBP55" s="135"/>
      <c r="XBQ55" s="137"/>
      <c r="XBS55" s="250"/>
      <c r="XBT55" s="250"/>
      <c r="XBU55" s="243"/>
      <c r="XBV55" s="276"/>
      <c r="XBW55" s="276"/>
      <c r="XBX55" s="276"/>
      <c r="XBY55" s="244"/>
      <c r="XBZ55" s="244"/>
      <c r="XCA55" s="244"/>
      <c r="XCB55" s="245"/>
      <c r="XCC55" s="245"/>
      <c r="XCD55" s="244"/>
      <c r="XCE55" s="246"/>
      <c r="XCF55" s="247"/>
      <c r="XCG55" s="275"/>
      <c r="XCH55" s="275"/>
      <c r="XCI55" s="275"/>
      <c r="XCJ55" s="275"/>
      <c r="XCK55" s="275"/>
      <c r="XCL55" s="275"/>
      <c r="XCM55" s="137"/>
      <c r="XCN55" s="137"/>
      <c r="XCO55" s="135"/>
      <c r="XCP55" s="137"/>
      <c r="XCR55" s="250"/>
      <c r="XCS55" s="250"/>
      <c r="XCT55" s="243"/>
      <c r="XCU55" s="276"/>
      <c r="XCV55" s="276"/>
      <c r="XCW55" s="276"/>
      <c r="XCX55" s="244"/>
      <c r="XCY55" s="244"/>
      <c r="XCZ55" s="244"/>
      <c r="XDA55" s="245"/>
      <c r="XDB55" s="245"/>
      <c r="XDC55" s="244"/>
      <c r="XDD55" s="246"/>
      <c r="XDE55" s="247"/>
      <c r="XDF55" s="275"/>
      <c r="XDG55" s="275"/>
      <c r="XDH55" s="275"/>
      <c r="XDI55" s="275"/>
      <c r="XDJ55" s="275"/>
      <c r="XDK55" s="275"/>
      <c r="XDL55" s="137"/>
      <c r="XDM55" s="137"/>
      <c r="XDN55" s="135"/>
      <c r="XDO55" s="137"/>
      <c r="XDQ55" s="250"/>
      <c r="XDR55" s="250"/>
      <c r="XDS55" s="243"/>
      <c r="XDT55" s="276"/>
      <c r="XDU55" s="276"/>
      <c r="XDV55" s="276"/>
      <c r="XDW55" s="244"/>
      <c r="XDX55" s="244"/>
      <c r="XDY55" s="244"/>
      <c r="XDZ55" s="245"/>
      <c r="XEA55" s="245"/>
      <c r="XEB55" s="244"/>
      <c r="XEC55" s="246"/>
      <c r="XED55" s="247"/>
      <c r="XEE55" s="275"/>
      <c r="XEF55" s="275"/>
      <c r="XEG55" s="275"/>
      <c r="XEH55" s="275"/>
      <c r="XEI55" s="275"/>
      <c r="XEJ55" s="275"/>
      <c r="XEK55" s="137"/>
      <c r="XEL55" s="137"/>
      <c r="XEM55" s="135"/>
      <c r="XEN55" s="137"/>
      <c r="XEP55" s="250"/>
      <c r="XEQ55" s="250"/>
      <c r="XER55" s="243"/>
      <c r="XES55" s="276"/>
      <c r="XET55" s="276"/>
      <c r="XEU55" s="276"/>
      <c r="XEV55" s="244"/>
      <c r="XEW55" s="244"/>
      <c r="XEX55" s="244"/>
      <c r="XEY55" s="245"/>
      <c r="XEZ55" s="245"/>
    </row>
    <row r="56" spans="1:6143 6145:7168 7170:16380" s="132" customFormat="1" ht="15" customHeight="1" x14ac:dyDescent="0.25">
      <c r="A56" s="243"/>
      <c r="B56" s="276"/>
      <c r="C56" s="276"/>
      <c r="D56" s="276"/>
      <c r="E56" s="244"/>
      <c r="F56" s="244"/>
      <c r="G56" s="244"/>
      <c r="H56" s="245"/>
      <c r="I56" s="245"/>
      <c r="J56" s="244"/>
      <c r="K56" s="246"/>
      <c r="L56" s="247"/>
      <c r="M56" s="275"/>
      <c r="N56" s="275"/>
      <c r="O56" s="275"/>
      <c r="P56" s="275"/>
      <c r="Q56" s="275"/>
      <c r="R56" s="275"/>
      <c r="S56" s="137">
        <f t="shared" si="6"/>
        <v>0</v>
      </c>
      <c r="T56" s="137">
        <f t="shared" si="7"/>
        <v>0</v>
      </c>
      <c r="U56" s="135">
        <f>IF(J56=0,(S56+T56/EERR!$D$2/1.19),(S56+T56/EERR!$D$2/1.19)/J56)</f>
        <v>0</v>
      </c>
      <c r="V56" s="137">
        <f>T56+S56*EERR!$D$2</f>
        <v>0</v>
      </c>
      <c r="W56" s="132">
        <f ca="1">SUMIF(Siteminder!$A$5:$J$164,Nov!G56,Siteminder!$M$5:$M$164)</f>
        <v>0</v>
      </c>
      <c r="X56" s="250">
        <f>SUMIF(Transbank!$A$2:$A$462,B56,Transbank!$L$2:$L$462)+SUMIF(Transbank!$A$2:$A$462,C56,Transbank!$L$2:$L$462)+SUMIF(Transbank!$A$2:$A$462,D56,Transbank!$L$2:$L$462)+(K56+O56)+(L56+P56)*EERR!$D$2</f>
        <v>0</v>
      </c>
      <c r="Y56" s="250">
        <f>X56/EERR!$D$2</f>
        <v>0</v>
      </c>
      <c r="Z56" s="260">
        <f t="shared" si="2"/>
        <v>0</v>
      </c>
      <c r="AA56" s="132">
        <f>+Z56/EERR!$D$2</f>
        <v>0</v>
      </c>
    </row>
    <row r="57" spans="1:6143 6145:7168 7170:16380" s="132" customFormat="1" ht="15" customHeight="1" x14ac:dyDescent="0.25">
      <c r="A57" s="243"/>
      <c r="B57" s="276"/>
      <c r="C57" s="276"/>
      <c r="D57" s="276"/>
      <c r="E57" s="244"/>
      <c r="F57" s="244"/>
      <c r="G57" s="244"/>
      <c r="H57" s="245"/>
      <c r="I57" s="245"/>
      <c r="J57" s="244"/>
      <c r="K57" s="246"/>
      <c r="L57" s="247"/>
      <c r="M57" s="275"/>
      <c r="N57" s="275"/>
      <c r="O57" s="275"/>
      <c r="P57" s="275"/>
      <c r="Q57" s="275"/>
      <c r="R57" s="275"/>
      <c r="S57" s="137">
        <f t="shared" si="6"/>
        <v>0</v>
      </c>
      <c r="T57" s="137">
        <f t="shared" si="7"/>
        <v>0</v>
      </c>
      <c r="U57" s="135">
        <f>IF(J57=0,(S57+T57/EERR!$D$2/1.19),(S57+T57/EERR!$D$2/1.19)/J57)</f>
        <v>0</v>
      </c>
      <c r="V57" s="137">
        <f>T57+S57*EERR!$D$2</f>
        <v>0</v>
      </c>
      <c r="W57" s="132">
        <f ca="1">SUMIF(Siteminder!$A$5:$J$164,Nov!G57,Siteminder!$M$5:$M$164)</f>
        <v>0</v>
      </c>
      <c r="X57" s="250">
        <f>SUMIF(Transbank!$A$2:$A$462,B57,Transbank!$L$2:$L$462)+SUMIF(Transbank!$A$2:$A$462,C57,Transbank!$L$2:$L$462)+SUMIF(Transbank!$A$2:$A$462,D57,Transbank!$L$2:$L$462)+(K57+O57)+(L57+P57)*EERR!$D$2</f>
        <v>0</v>
      </c>
      <c r="Y57" s="250">
        <f>X57/EERR!$D$2</f>
        <v>0</v>
      </c>
      <c r="Z57" s="260">
        <f t="shared" si="2"/>
        <v>0</v>
      </c>
      <c r="AA57" s="132">
        <f>+Z57/EERR!$D$2</f>
        <v>0</v>
      </c>
    </row>
    <row r="58" spans="1:6143 6145:7168 7170:16380" s="132" customFormat="1" x14ac:dyDescent="0.25">
      <c r="A58" s="243"/>
      <c r="B58" s="276"/>
      <c r="C58" s="276"/>
      <c r="D58" s="276"/>
      <c r="E58" s="244"/>
      <c r="F58" s="244"/>
      <c r="G58" s="244"/>
      <c r="H58" s="245"/>
      <c r="I58" s="245"/>
      <c r="J58" s="244"/>
      <c r="K58" s="246"/>
      <c r="L58" s="247"/>
      <c r="M58" s="246"/>
      <c r="N58" s="246"/>
      <c r="O58" s="246"/>
      <c r="P58" s="246"/>
      <c r="Q58" s="246"/>
      <c r="R58" s="246"/>
      <c r="S58" s="137">
        <f t="shared" si="6"/>
        <v>0</v>
      </c>
      <c r="T58" s="137">
        <f t="shared" si="7"/>
        <v>0</v>
      </c>
      <c r="U58" s="135">
        <f>IF(J58=0,(S58+T58/EERR!$D$2/1.19),(S58+T58/EERR!$D$2/1.19)/J58)</f>
        <v>0</v>
      </c>
      <c r="V58" s="137">
        <f>T58+S58*EERR!$D$2</f>
        <v>0</v>
      </c>
      <c r="W58" s="132">
        <f ca="1">SUMIF(Siteminder!$A$5:$J$164,Nov!G58,Siteminder!$M$5:$M$164)</f>
        <v>0</v>
      </c>
      <c r="X58" s="250">
        <f>SUMIF(Transbank!$A$2:$A$462,B58,Transbank!$L$2:$L$462)+SUMIF(Transbank!$A$2:$A$462,C58,Transbank!$L$2:$L$462)+SUMIF(Transbank!$A$2:$A$462,D58,Transbank!$L$2:$L$462)+(K58+O58)+(L58+P58)*EERR!$D$2</f>
        <v>0</v>
      </c>
      <c r="Y58" s="250">
        <f>X58/EERR!$D$2</f>
        <v>0</v>
      </c>
      <c r="Z58" s="260">
        <f t="shared" si="2"/>
        <v>0</v>
      </c>
      <c r="AA58" s="132">
        <f>+Z58/EERR!$D$2</f>
        <v>0</v>
      </c>
    </row>
    <row r="59" spans="1:6143 6145:7168 7170:16380" s="132" customFormat="1" ht="15" customHeight="1" x14ac:dyDescent="0.25">
      <c r="A59" s="243"/>
      <c r="B59" s="276"/>
      <c r="C59" s="276"/>
      <c r="D59" s="276"/>
      <c r="E59" s="244"/>
      <c r="F59" s="244"/>
      <c r="G59" s="244"/>
      <c r="H59" s="245"/>
      <c r="I59" s="245"/>
      <c r="J59" s="244"/>
      <c r="K59" s="246"/>
      <c r="L59" s="261"/>
      <c r="M59" s="262"/>
      <c r="N59" s="262"/>
      <c r="O59" s="262"/>
      <c r="P59" s="262"/>
      <c r="Q59" s="262"/>
      <c r="R59" s="246"/>
      <c r="S59" s="137">
        <f t="shared" si="6"/>
        <v>0</v>
      </c>
      <c r="T59" s="137">
        <f t="shared" si="7"/>
        <v>0</v>
      </c>
      <c r="U59" s="135">
        <f>IF(J59=0,(S59+T59/EERR!$D$2/1.19),(S59+T59/EERR!$D$2/1.19)/J59)</f>
        <v>0</v>
      </c>
      <c r="V59" s="137">
        <f>T59+S59*EERR!$D$2</f>
        <v>0</v>
      </c>
      <c r="W59" s="132">
        <f ca="1">SUMIF(Siteminder!$A$5:$J$164,Nov!G59,Siteminder!$M$5:$M$164)</f>
        <v>0</v>
      </c>
      <c r="X59" s="250">
        <f>SUMIF(Transbank!$A$2:$A$462,B59,Transbank!$L$2:$L$462)+SUMIF(Transbank!$A$2:$A$462,C59,Transbank!$L$2:$L$462)+SUMIF(Transbank!$A$2:$A$462,D59,Transbank!$L$2:$L$462)+(K59+O59)+(L59+P59)*EERR!$D$2</f>
        <v>0</v>
      </c>
      <c r="Y59" s="250">
        <f>X59/EERR!$D$2</f>
        <v>0</v>
      </c>
      <c r="Z59" s="260">
        <f t="shared" si="2"/>
        <v>0</v>
      </c>
      <c r="AA59" s="132">
        <f>+Z59/EERR!$D$2</f>
        <v>0</v>
      </c>
    </row>
    <row r="60" spans="1:6143 6145:7168 7170:16380" s="132" customFormat="1" ht="15" customHeight="1" x14ac:dyDescent="0.25">
      <c r="A60" s="243"/>
      <c r="B60" s="276"/>
      <c r="C60" s="276"/>
      <c r="D60" s="276"/>
      <c r="E60" s="244"/>
      <c r="F60" s="244"/>
      <c r="G60" s="244"/>
      <c r="H60" s="245"/>
      <c r="I60" s="245"/>
      <c r="J60" s="244"/>
      <c r="K60" s="246"/>
      <c r="L60" s="247"/>
      <c r="M60" s="246"/>
      <c r="N60" s="246"/>
      <c r="O60" s="246"/>
      <c r="P60" s="246"/>
      <c r="Q60" s="246"/>
      <c r="R60" s="246"/>
      <c r="S60" s="137">
        <f t="shared" si="6"/>
        <v>0</v>
      </c>
      <c r="T60" s="137">
        <f t="shared" si="7"/>
        <v>0</v>
      </c>
      <c r="U60" s="135">
        <f>IF(J60=0,(S60+T60/EERR!$D$2/1.19),(S60+T60/EERR!$D$2/1.19)/J60)</f>
        <v>0</v>
      </c>
      <c r="V60" s="137">
        <f>T60+S60*EERR!$D$2</f>
        <v>0</v>
      </c>
      <c r="W60" s="132">
        <f ca="1">SUMIF(Siteminder!$A$5:$J$164,Nov!G60,Siteminder!$M$5:$M$164)</f>
        <v>0</v>
      </c>
      <c r="X60" s="250">
        <f>SUMIF(Transbank!$A$2:$A$462,B60,Transbank!$L$2:$L$462)+SUMIF(Transbank!$A$2:$A$462,C60,Transbank!$L$2:$L$462)+SUMIF(Transbank!$A$2:$A$462,D60,Transbank!$L$2:$L$462)+(K60+O60)+(L60+P60)*EERR!$D$2</f>
        <v>0</v>
      </c>
      <c r="Y60" s="250">
        <f>X60/EERR!$D$2</f>
        <v>0</v>
      </c>
      <c r="Z60" s="260">
        <f t="shared" si="2"/>
        <v>0</v>
      </c>
      <c r="AA60" s="132">
        <f>+Z60/EERR!$D$2</f>
        <v>0</v>
      </c>
    </row>
    <row r="61" spans="1:6143 6145:7168 7170:16380" s="132" customFormat="1" ht="15" customHeight="1" x14ac:dyDescent="0.25">
      <c r="A61" s="243"/>
      <c r="B61" s="276"/>
      <c r="C61" s="276"/>
      <c r="D61" s="276"/>
      <c r="E61" s="244"/>
      <c r="F61" s="244"/>
      <c r="G61" s="244"/>
      <c r="H61" s="245"/>
      <c r="I61" s="245"/>
      <c r="J61" s="244"/>
      <c r="K61" s="246"/>
      <c r="L61" s="247"/>
      <c r="M61" s="246"/>
      <c r="N61" s="246"/>
      <c r="O61" s="246"/>
      <c r="P61" s="246"/>
      <c r="Q61" s="246"/>
      <c r="R61" s="246"/>
      <c r="S61" s="137">
        <f t="shared" si="6"/>
        <v>0</v>
      </c>
      <c r="T61" s="137">
        <f t="shared" si="7"/>
        <v>0</v>
      </c>
      <c r="U61" s="135">
        <f>IF(J61=0,(S61+T61/EERR!$D$2/1.19),(S61+T61/EERR!$D$2/1.19)/J61)</f>
        <v>0</v>
      </c>
      <c r="V61" s="137">
        <f>T61+S61*EERR!$D$2</f>
        <v>0</v>
      </c>
      <c r="W61" s="132">
        <f ca="1">SUMIF(Siteminder!$A$5:$J$164,Nov!G61,Siteminder!$M$5:$M$164)</f>
        <v>0</v>
      </c>
      <c r="X61" s="250">
        <f>SUMIF(Transbank!$A$2:$A$462,B61,Transbank!$L$2:$L$462)+SUMIF(Transbank!$A$2:$A$462,C61,Transbank!$L$2:$L$462)+SUMIF(Transbank!$A$2:$A$462,D61,Transbank!$L$2:$L$462)+(K61+O61)+(L61+P61)*EERR!$D$2</f>
        <v>0</v>
      </c>
      <c r="Y61" s="250">
        <f>X61/EERR!$D$2</f>
        <v>0</v>
      </c>
      <c r="Z61" s="260">
        <f t="shared" si="2"/>
        <v>0</v>
      </c>
      <c r="AA61" s="132">
        <f>+Z61/EERR!$D$2</f>
        <v>0</v>
      </c>
    </row>
    <row r="62" spans="1:6143 6145:7168 7170:16380" s="132" customFormat="1" ht="15" customHeight="1" x14ac:dyDescent="0.25">
      <c r="A62" s="243"/>
      <c r="B62" s="276"/>
      <c r="C62" s="276"/>
      <c r="D62" s="276"/>
      <c r="E62" s="244"/>
      <c r="F62" s="244"/>
      <c r="G62" s="244"/>
      <c r="H62" s="245"/>
      <c r="I62" s="245"/>
      <c r="J62" s="244"/>
      <c r="K62" s="246"/>
      <c r="L62" s="247"/>
      <c r="M62" s="246"/>
      <c r="N62" s="246"/>
      <c r="O62" s="246"/>
      <c r="P62" s="246"/>
      <c r="Q62" s="246"/>
      <c r="R62" s="246"/>
      <c r="S62" s="137">
        <f t="shared" si="6"/>
        <v>0</v>
      </c>
      <c r="T62" s="137">
        <f t="shared" si="7"/>
        <v>0</v>
      </c>
      <c r="U62" s="135">
        <f>IF(J62=0,(S62+T62/EERR!$D$2/1.19),(S62+T62/EERR!$D$2/1.19)/J62)</f>
        <v>0</v>
      </c>
      <c r="V62" s="137">
        <f>T62+S62*EERR!$D$2</f>
        <v>0</v>
      </c>
      <c r="W62" s="132">
        <f ca="1">SUMIF(Siteminder!$A$5:$J$164,Nov!G62,Siteminder!$M$5:$M$164)</f>
        <v>0</v>
      </c>
      <c r="X62" s="250">
        <f>SUMIF(Transbank!$A$2:$A$462,B62,Transbank!$L$2:$L$462)+SUMIF(Transbank!$A$2:$A$462,C62,Transbank!$L$2:$L$462)+SUMIF(Transbank!$A$2:$A$462,D62,Transbank!$L$2:$L$462)+(K62+O62)+(L62+P62)*EERR!$D$2</f>
        <v>0</v>
      </c>
      <c r="Y62" s="250">
        <f>X62/EERR!$D$2</f>
        <v>0</v>
      </c>
      <c r="Z62" s="260">
        <f t="shared" si="2"/>
        <v>0</v>
      </c>
      <c r="AA62" s="132">
        <f>+Z62/EERR!$D$2</f>
        <v>0</v>
      </c>
    </row>
    <row r="63" spans="1:6143 6145:7168 7170:16380" s="132" customFormat="1" ht="15" customHeight="1" x14ac:dyDescent="0.25">
      <c r="A63" s="243"/>
      <c r="B63" s="276"/>
      <c r="C63" s="276"/>
      <c r="D63" s="276"/>
      <c r="E63" s="316"/>
      <c r="F63" s="316"/>
      <c r="G63" s="316"/>
      <c r="H63" s="317"/>
      <c r="I63" s="317"/>
      <c r="J63" s="244"/>
      <c r="K63" s="246"/>
      <c r="L63" s="247"/>
      <c r="M63" s="275"/>
      <c r="N63" s="275"/>
      <c r="O63" s="275"/>
      <c r="P63" s="275"/>
      <c r="Q63" s="275"/>
      <c r="R63" s="275"/>
      <c r="S63" s="137">
        <f t="shared" si="6"/>
        <v>0</v>
      </c>
      <c r="T63" s="137">
        <f t="shared" si="7"/>
        <v>0</v>
      </c>
      <c r="U63" s="135">
        <f>IF(J63=0,(S63+T63/EERR!$D$2/1.19),(S63+T63/EERR!$D$2/1.19)/J63)</f>
        <v>0</v>
      </c>
      <c r="V63" s="137">
        <f>T63+S63*EERR!$D$2</f>
        <v>0</v>
      </c>
      <c r="W63" s="132">
        <f ca="1">SUMIF(Siteminder!$A$5:$J$164,Nov!G63,Siteminder!$M$5:$M$164)</f>
        <v>0</v>
      </c>
      <c r="X63" s="250">
        <f>SUMIF(Transbank!$A$2:$A$462,B63,Transbank!$L$2:$L$462)+SUMIF(Transbank!$A$2:$A$462,C63,Transbank!$L$2:$L$462)+SUMIF(Transbank!$A$2:$A$462,D63,Transbank!$L$2:$L$462)+(K63+O63)+(L63+P63)*EERR!$D$2</f>
        <v>0</v>
      </c>
      <c r="Y63" s="250">
        <f>X63/EERR!$D$2</f>
        <v>0</v>
      </c>
      <c r="Z63" s="260">
        <f t="shared" si="2"/>
        <v>0</v>
      </c>
      <c r="AA63" s="132">
        <f>+Z63/EERR!$D$2</f>
        <v>0</v>
      </c>
    </row>
    <row r="64" spans="1:6143 6145:7168 7170:16380" s="132" customFormat="1" ht="15" customHeight="1" x14ac:dyDescent="0.25">
      <c r="A64" s="243"/>
      <c r="B64" s="276"/>
      <c r="C64" s="276"/>
      <c r="D64" s="276"/>
      <c r="E64" s="244"/>
      <c r="F64" s="244"/>
      <c r="G64" s="244"/>
      <c r="H64" s="245"/>
      <c r="I64" s="245"/>
      <c r="J64" s="244"/>
      <c r="K64" s="246"/>
      <c r="L64" s="247"/>
      <c r="M64" s="246"/>
      <c r="N64" s="246"/>
      <c r="O64" s="246"/>
      <c r="P64" s="246"/>
      <c r="Q64" s="246"/>
      <c r="R64" s="246"/>
      <c r="S64" s="137">
        <f t="shared" si="6"/>
        <v>0</v>
      </c>
      <c r="T64" s="137">
        <f t="shared" si="7"/>
        <v>0</v>
      </c>
      <c r="U64" s="135">
        <f>IF(J64=0,(S64+T64/EERR!$D$2/1.19),(S64+T64/EERR!$D$2/1.19)/J64)</f>
        <v>0</v>
      </c>
      <c r="V64" s="137">
        <f>T64+S64*EERR!$D$2</f>
        <v>0</v>
      </c>
      <c r="W64" s="132">
        <f ca="1">SUMIF(Siteminder!$A$5:$J$164,Nov!G64,Siteminder!$M$5:$M$164)</f>
        <v>0</v>
      </c>
      <c r="X64" s="250">
        <f>SUMIF(Transbank!$A$2:$A$462,B64,Transbank!$L$2:$L$462)+SUMIF(Transbank!$A$2:$A$462,C64,Transbank!$L$2:$L$462)+SUMIF(Transbank!$A$2:$A$462,D64,Transbank!$L$2:$L$462)+(K64+O64)+(L64+P64)*EERR!$D$2</f>
        <v>0</v>
      </c>
      <c r="Y64" s="250">
        <f>X64/EERR!$D$2</f>
        <v>0</v>
      </c>
      <c r="Z64" s="260">
        <f t="shared" si="2"/>
        <v>0</v>
      </c>
      <c r="AA64" s="132">
        <f>+Z64/EERR!$D$2</f>
        <v>0</v>
      </c>
    </row>
    <row r="65" spans="1:27" s="132" customFormat="1" ht="15" customHeight="1" x14ac:dyDescent="0.25">
      <c r="A65" s="243"/>
      <c r="B65" s="276"/>
      <c r="C65" s="276"/>
      <c r="D65" s="276"/>
      <c r="E65" s="244"/>
      <c r="F65" s="244"/>
      <c r="G65" s="244"/>
      <c r="H65" s="245"/>
      <c r="I65" s="245"/>
      <c r="J65" s="244"/>
      <c r="K65" s="246"/>
      <c r="L65" s="247"/>
      <c r="M65" s="246"/>
      <c r="N65" s="246"/>
      <c r="O65" s="246"/>
      <c r="P65" s="246"/>
      <c r="Q65" s="246"/>
      <c r="R65" s="246"/>
      <c r="S65" s="137">
        <f t="shared" si="6"/>
        <v>0</v>
      </c>
      <c r="T65" s="137">
        <f t="shared" si="7"/>
        <v>0</v>
      </c>
      <c r="U65" s="135">
        <f>IF(J65=0,(S65+T65/EERR!$D$2/1.19),(S65+T65/EERR!$D$2/1.19)/J65)</f>
        <v>0</v>
      </c>
      <c r="V65" s="137">
        <f>T65+S65*EERR!$D$2</f>
        <v>0</v>
      </c>
      <c r="W65" s="132">
        <f ca="1">SUMIF(Siteminder!$A$5:$J$164,Nov!G65,Siteminder!$M$5:$M$164)</f>
        <v>0</v>
      </c>
      <c r="X65" s="250">
        <f>SUMIF(Transbank!$A$2:$A$462,B65,Transbank!$L$2:$L$462)+SUMIF(Transbank!$A$2:$A$462,C65,Transbank!$L$2:$L$462)+SUMIF(Transbank!$A$2:$A$462,D65,Transbank!$L$2:$L$462)+(K65+O65)+(L65+P65)*EERR!$D$2</f>
        <v>0</v>
      </c>
      <c r="Y65" s="250">
        <f>X65/EERR!$D$2</f>
        <v>0</v>
      </c>
      <c r="Z65" s="260">
        <f t="shared" si="2"/>
        <v>0</v>
      </c>
      <c r="AA65" s="132">
        <f>+Z65/EERR!$D$2</f>
        <v>0</v>
      </c>
    </row>
    <row r="66" spans="1:27" ht="12.75" x14ac:dyDescent="0.2">
      <c r="A66" s="227"/>
      <c r="B66" s="227"/>
      <c r="C66" s="227"/>
      <c r="D66" s="227"/>
      <c r="E66" s="227"/>
      <c r="F66" s="227"/>
      <c r="G66" s="227"/>
      <c r="H66" s="232"/>
      <c r="I66" s="232"/>
      <c r="J66" s="233">
        <f t="shared" ref="J66:P66" si="10">SUM(J3:J65)</f>
        <v>152</v>
      </c>
      <c r="K66" s="233">
        <f t="shared" si="10"/>
        <v>0</v>
      </c>
      <c r="L66" s="233">
        <f t="shared" si="10"/>
        <v>6460</v>
      </c>
      <c r="M66" s="233">
        <f t="shared" si="10"/>
        <v>606511</v>
      </c>
      <c r="N66" s="233">
        <f t="shared" si="10"/>
        <v>16616</v>
      </c>
      <c r="O66" s="233">
        <f t="shared" si="10"/>
        <v>0</v>
      </c>
      <c r="P66" s="233">
        <f t="shared" si="10"/>
        <v>0</v>
      </c>
      <c r="Q66" s="233"/>
      <c r="R66" s="233"/>
      <c r="S66" s="233">
        <f>SUM(S3:S65)</f>
        <v>31949</v>
      </c>
      <c r="T66" s="233">
        <f>SUM(T3:T65)</f>
        <v>990899</v>
      </c>
      <c r="U66" s="233">
        <f>IF(J66=0,(S66+T66/EERR!$D$2/1.19),(S66+T66/EERR!$D$2/1.19)/J66)</f>
        <v>217.24552280569122</v>
      </c>
      <c r="V66" s="233">
        <f>SUM(V3:V65)</f>
        <v>25800255.969999999</v>
      </c>
      <c r="W66" s="233">
        <f ca="1">SUM(W3:W65)</f>
        <v>152</v>
      </c>
      <c r="X66" s="233">
        <f>SUM(X3:X65)</f>
        <v>25606123.469999999</v>
      </c>
      <c r="Y66" s="233"/>
      <c r="Z66" s="260">
        <f t="shared" si="2"/>
        <v>-194132.5</v>
      </c>
      <c r="AA66" s="132">
        <f>+Z66/EERR!$D$2</f>
        <v>-250</v>
      </c>
    </row>
    <row r="67" spans="1:27" s="132" customFormat="1" x14ac:dyDescent="0.25">
      <c r="A67" s="243">
        <v>4184</v>
      </c>
      <c r="B67" s="276">
        <v>87</v>
      </c>
      <c r="C67" s="276"/>
      <c r="D67" s="276"/>
      <c r="E67" s="244" t="s">
        <v>372</v>
      </c>
      <c r="F67" s="244" t="s">
        <v>238</v>
      </c>
      <c r="G67" s="259">
        <v>1910215055763</v>
      </c>
      <c r="H67" s="245">
        <v>43760</v>
      </c>
      <c r="I67" s="245">
        <v>43761</v>
      </c>
      <c r="J67" s="244">
        <v>1</v>
      </c>
      <c r="K67" s="246"/>
      <c r="L67" s="247"/>
      <c r="M67" s="246"/>
      <c r="N67" s="246">
        <v>209</v>
      </c>
      <c r="O67" s="246"/>
      <c r="P67" s="246"/>
      <c r="Q67" s="246"/>
      <c r="R67" s="246"/>
      <c r="S67" s="137">
        <f t="shared" ref="S67" si="11">L67+N67+P67+R67</f>
        <v>209</v>
      </c>
      <c r="T67" s="137">
        <f t="shared" ref="T67" si="12">M67+O67+K67+Q67</f>
        <v>0</v>
      </c>
      <c r="U67" s="135">
        <f>IF(J67=0,(S67+T67/EERR!$D$2/1.19),(S67+T67/EERR!$D$2/1.19)/J67)</f>
        <v>209</v>
      </c>
      <c r="V67" s="137">
        <f>T67+S67*EERR!$D$2</f>
        <v>162294.76999999999</v>
      </c>
      <c r="W67" s="132">
        <f ca="1">SUMIF(Siteminder!$A$5:$J$164,Nov!G67,Siteminder!$M$5:$M$164)</f>
        <v>0</v>
      </c>
      <c r="X67" s="250">
        <f>SUMIF(Transbank!$A$2:$A$462,B67,Transbank!$L$2:$L$462)+SUMIF(Transbank!$A$2:$A$462,C67,Transbank!$L$2:$L$462)+SUMIF(Transbank!$A$2:$A$462,D67,Transbank!$L$2:$L$462)+(K67+O67)+(L67+P67)*EERR!$D$2</f>
        <v>324589.53999999998</v>
      </c>
      <c r="Y67" s="251">
        <f>X67/EERR!$D$2</f>
        <v>418</v>
      </c>
      <c r="Z67" s="260">
        <f t="shared" si="2"/>
        <v>162294.76999999999</v>
      </c>
      <c r="AA67" s="132">
        <f>+Z67/EERR!$D$2</f>
        <v>209</v>
      </c>
    </row>
    <row r="68" spans="1:27" s="132" customFormat="1" x14ac:dyDescent="0.25">
      <c r="A68" s="243">
        <v>4182</v>
      </c>
      <c r="B68" s="276">
        <v>1823</v>
      </c>
      <c r="C68" s="276">
        <v>132</v>
      </c>
      <c r="D68" s="276"/>
      <c r="E68" s="244" t="s">
        <v>1130</v>
      </c>
      <c r="F68" s="244" t="s">
        <v>238</v>
      </c>
      <c r="G68" s="259">
        <v>1907294784124</v>
      </c>
      <c r="H68" s="245">
        <v>43771</v>
      </c>
      <c r="I68" s="245">
        <v>43775</v>
      </c>
      <c r="J68" s="244">
        <v>4</v>
      </c>
      <c r="K68" s="246"/>
      <c r="L68" s="247"/>
      <c r="M68" s="246"/>
      <c r="N68" s="246">
        <v>624</v>
      </c>
      <c r="O68" s="246"/>
      <c r="P68" s="246"/>
      <c r="Q68" s="246"/>
      <c r="R68" s="246">
        <v>228</v>
      </c>
      <c r="S68" s="137">
        <f t="shared" ref="S68:S86" si="13">L68+N68+P68+R68</f>
        <v>852</v>
      </c>
      <c r="T68" s="137">
        <f t="shared" ref="T68:T86" si="14">M68+O68+K68+Q68</f>
        <v>0</v>
      </c>
      <c r="U68" s="135">
        <f>IF(J68=0,(S68+T68/EERR!$D$2/1.19),(S68+T68/EERR!$D$2/1.19)/J68)</f>
        <v>213</v>
      </c>
      <c r="V68" s="137">
        <f>T68+S68*EERR!$D$2</f>
        <v>661603.55999999994</v>
      </c>
      <c r="W68" s="132">
        <f ca="1">SUMIF(Siteminder!$A$5:$J$164,Nov!G68,Siteminder!$M$5:$M$164)</f>
        <v>4</v>
      </c>
      <c r="X68" s="250">
        <f>SUMIF(Transbank!$A$2:$A$462,B68,Transbank!$L$2:$L$462)+SUMIF(Transbank!$A$2:$A$462,C68,Transbank!$L$2:$L$462)+SUMIF(Transbank!$A$2:$A$462,D68,Transbank!$L$2:$L$462)+(K68+O68)+(L68+P68)*EERR!$D$2</f>
        <v>663933.15</v>
      </c>
      <c r="Y68" s="251">
        <f>X68/EERR!$D$2</f>
        <v>855.00000000000011</v>
      </c>
      <c r="Z68" s="260">
        <f t="shared" si="2"/>
        <v>2329.5900000000838</v>
      </c>
      <c r="AA68" s="132">
        <f>+Z68/EERR!$D$2</f>
        <v>3.0000000000001079</v>
      </c>
    </row>
    <row r="69" spans="1:27" s="132" customFormat="1" x14ac:dyDescent="0.25">
      <c r="A69" s="243">
        <v>4185</v>
      </c>
      <c r="B69" s="276">
        <v>5</v>
      </c>
      <c r="C69" s="276">
        <v>139</v>
      </c>
      <c r="D69" s="276"/>
      <c r="E69" s="244" t="s">
        <v>1131</v>
      </c>
      <c r="F69" s="244" t="s">
        <v>238</v>
      </c>
      <c r="G69" s="259">
        <v>1901174115019</v>
      </c>
      <c r="H69" s="245">
        <v>43772</v>
      </c>
      <c r="I69" s="245">
        <v>43775</v>
      </c>
      <c r="J69" s="244">
        <v>3</v>
      </c>
      <c r="K69" s="246"/>
      <c r="L69" s="247"/>
      <c r="M69" s="246"/>
      <c r="N69" s="246">
        <v>361</v>
      </c>
      <c r="O69" s="246"/>
      <c r="P69" s="246"/>
      <c r="Q69" s="246"/>
      <c r="R69" s="246">
        <v>180.5</v>
      </c>
      <c r="S69" s="137">
        <f t="shared" si="13"/>
        <v>541.5</v>
      </c>
      <c r="T69" s="137">
        <f t="shared" si="14"/>
        <v>0</v>
      </c>
      <c r="U69" s="135">
        <f>IF(J69=0,(S69+T69/EERR!$D$2/1.19),(S69+T69/EERR!$D$2/1.19)/J69)</f>
        <v>180.5</v>
      </c>
      <c r="V69" s="137">
        <f>T69+S69*EERR!$D$2</f>
        <v>420490.995</v>
      </c>
      <c r="W69" s="132">
        <f ca="1">SUMIF(Siteminder!$A$5:$J$164,Nov!G69,Siteminder!$M$5:$M$164)</f>
        <v>3</v>
      </c>
      <c r="X69" s="250">
        <f>SUMIF(Transbank!$A$2:$A$462,B69,Transbank!$L$2:$L$462)+SUMIF(Transbank!$A$2:$A$462,C69,Transbank!$L$2:$L$462)+SUMIF(Transbank!$A$2:$A$462,D69,Transbank!$L$2:$L$462)+(K69+O69)+(L69+P69)*EERR!$D$2</f>
        <v>420490.995</v>
      </c>
      <c r="Y69" s="251">
        <f>X69/EERR!$D$2</f>
        <v>541.5</v>
      </c>
      <c r="Z69" s="260"/>
      <c r="AA69" s="132">
        <f>+Z69/EERR!$D$2</f>
        <v>0</v>
      </c>
    </row>
    <row r="70" spans="1:27" s="132" customFormat="1" x14ac:dyDescent="0.25">
      <c r="A70" s="243">
        <v>4186</v>
      </c>
      <c r="B70" s="276" t="s">
        <v>1132</v>
      </c>
      <c r="C70" s="276"/>
      <c r="D70" s="276"/>
      <c r="E70" s="244" t="s">
        <v>1133</v>
      </c>
      <c r="F70" s="244" t="s">
        <v>238</v>
      </c>
      <c r="G70" s="259">
        <v>1906214654834</v>
      </c>
      <c r="H70" s="245">
        <v>43772</v>
      </c>
      <c r="I70" s="245">
        <v>43777</v>
      </c>
      <c r="J70" s="244">
        <v>5</v>
      </c>
      <c r="K70" s="246"/>
      <c r="L70" s="247"/>
      <c r="M70" s="246"/>
      <c r="N70" s="246"/>
      <c r="O70" s="246"/>
      <c r="P70" s="355">
        <v>1045</v>
      </c>
      <c r="Q70" s="246"/>
      <c r="R70" s="246"/>
      <c r="S70" s="137">
        <f t="shared" si="13"/>
        <v>1045</v>
      </c>
      <c r="T70" s="137">
        <f t="shared" si="14"/>
        <v>0</v>
      </c>
      <c r="U70" s="135">
        <f>IF(J70=0,(S70+T70/EERR!$D$2/1.19),(S70+T70/EERR!$D$2/1.19)/J70)</f>
        <v>209</v>
      </c>
      <c r="V70" s="137">
        <f>T70+S70*EERR!$D$2</f>
        <v>811473.85</v>
      </c>
      <c r="W70" s="132">
        <f ca="1">SUMIF(Siteminder!$A$5:$J$164,Nov!G70,Siteminder!$M$5:$M$164)</f>
        <v>5</v>
      </c>
      <c r="X70" s="250">
        <f>SUMIF(Transbank!$A$2:$A$462,B70,Transbank!$L$2:$L$462)+SUMIF(Transbank!$A$2:$A$462,C70,Transbank!$L$2:$L$462)+SUMIF(Transbank!$A$2:$A$462,D70,Transbank!$L$2:$L$462)+(K70+O70)+(L70+P70)*EERR!$D$2</f>
        <v>811473.85</v>
      </c>
      <c r="Y70" s="251">
        <f>X70/EERR!$D$2</f>
        <v>1045</v>
      </c>
      <c r="Z70" s="260">
        <f t="shared" ref="Z70:Z86" si="15">+X70-V70</f>
        <v>0</v>
      </c>
      <c r="AA70" s="132">
        <f>+Z70/EERR!$D$2</f>
        <v>0</v>
      </c>
    </row>
    <row r="71" spans="1:27" s="132" customFormat="1" x14ac:dyDescent="0.25">
      <c r="A71" s="243">
        <v>4187</v>
      </c>
      <c r="B71" s="276">
        <v>7</v>
      </c>
      <c r="C71" s="276"/>
      <c r="D71" s="276"/>
      <c r="E71" s="244" t="s">
        <v>766</v>
      </c>
      <c r="F71" s="244" t="s">
        <v>238</v>
      </c>
      <c r="G71" s="259">
        <v>1909304990525</v>
      </c>
      <c r="H71" s="245">
        <v>43772</v>
      </c>
      <c r="I71" s="245">
        <v>43773</v>
      </c>
      <c r="J71" s="244">
        <v>1</v>
      </c>
      <c r="K71" s="246"/>
      <c r="L71" s="247"/>
      <c r="M71" s="246"/>
      <c r="N71" s="246"/>
      <c r="O71" s="246"/>
      <c r="P71" s="246"/>
      <c r="Q71" s="246"/>
      <c r="R71" s="246">
        <v>209</v>
      </c>
      <c r="S71" s="137">
        <f t="shared" si="13"/>
        <v>209</v>
      </c>
      <c r="T71" s="137">
        <f t="shared" si="14"/>
        <v>0</v>
      </c>
      <c r="U71" s="135">
        <f>IF(J71=0,(S71+T71/EERR!$D$2/1.19),(S71+T71/EERR!$D$2/1.19)/J71)</f>
        <v>209</v>
      </c>
      <c r="V71" s="137">
        <f>T71+S71*EERR!$D$2</f>
        <v>162294.76999999999</v>
      </c>
      <c r="W71" s="132">
        <f ca="1">SUMIF(Siteminder!$A$5:$J$164,Nov!G71,Siteminder!$M$5:$M$164)</f>
        <v>1</v>
      </c>
      <c r="X71" s="250">
        <f>SUMIF(Transbank!$A$2:$A$462,B71,Transbank!$L$2:$L$462)+SUMIF(Transbank!$A$2:$A$462,C71,Transbank!$L$2:$L$462)+SUMIF(Transbank!$A$2:$A$462,D71,Transbank!$L$2:$L$462)+(K71+O71)+(L71+P71)*EERR!$D$2</f>
        <v>162294.76999999999</v>
      </c>
      <c r="Y71" s="251">
        <f>X71/EERR!$D$2</f>
        <v>209</v>
      </c>
      <c r="Z71" s="260"/>
      <c r="AA71" s="132">
        <f>+Z71/EERR!$D$2</f>
        <v>0</v>
      </c>
    </row>
    <row r="72" spans="1:27" s="132" customFormat="1" x14ac:dyDescent="0.25">
      <c r="A72" s="243">
        <v>4188</v>
      </c>
      <c r="B72" s="276">
        <v>6</v>
      </c>
      <c r="C72" s="276"/>
      <c r="D72" s="276"/>
      <c r="E72" s="244" t="s">
        <v>766</v>
      </c>
      <c r="F72" s="244" t="s">
        <v>238</v>
      </c>
      <c r="G72" s="259">
        <v>1909304990535</v>
      </c>
      <c r="H72" s="245">
        <v>43772</v>
      </c>
      <c r="I72" s="245">
        <v>43773</v>
      </c>
      <c r="J72" s="244">
        <v>1</v>
      </c>
      <c r="K72" s="246"/>
      <c r="L72" s="247"/>
      <c r="M72" s="246"/>
      <c r="N72" s="246"/>
      <c r="O72" s="246"/>
      <c r="P72" s="246"/>
      <c r="Q72" s="246"/>
      <c r="R72" s="246">
        <v>209</v>
      </c>
      <c r="S72" s="137">
        <f t="shared" si="13"/>
        <v>209</v>
      </c>
      <c r="T72" s="137">
        <f t="shared" si="14"/>
        <v>0</v>
      </c>
      <c r="U72" s="135">
        <f>IF(J72=0,(S72+T72/EERR!$D$2/1.19),(S72+T72/EERR!$D$2/1.19)/J72)</f>
        <v>209</v>
      </c>
      <c r="V72" s="137">
        <f>T72+S72*EERR!$D$2</f>
        <v>162294.76999999999</v>
      </c>
      <c r="W72" s="132">
        <f ca="1">SUMIF(Siteminder!$A$5:$J$164,Nov!G72,Siteminder!$M$5:$M$164)</f>
        <v>1</v>
      </c>
      <c r="X72" s="250">
        <f>SUMIF(Transbank!$A$2:$A$462,B72,Transbank!$L$2:$L$462)+SUMIF(Transbank!$A$2:$A$462,C72,Transbank!$L$2:$L$462)+SUMIF(Transbank!$A$2:$A$462,D72,Transbank!$L$2:$L$462)+(K72+O72)+(L72+P72)*EERR!$D$2</f>
        <v>162294.76999999999</v>
      </c>
      <c r="Y72" s="251">
        <f>X72/EERR!$D$2</f>
        <v>209</v>
      </c>
      <c r="Z72" s="260">
        <f t="shared" si="15"/>
        <v>0</v>
      </c>
      <c r="AA72" s="132">
        <f>+Z72/EERR!$D$2</f>
        <v>0</v>
      </c>
    </row>
    <row r="73" spans="1:27" s="132" customFormat="1" x14ac:dyDescent="0.25">
      <c r="A73" s="243">
        <v>59426</v>
      </c>
      <c r="B73" s="276">
        <v>10</v>
      </c>
      <c r="C73" s="276"/>
      <c r="D73" s="276"/>
      <c r="E73" s="244" t="s">
        <v>769</v>
      </c>
      <c r="F73" s="244" t="s">
        <v>238</v>
      </c>
      <c r="G73" s="259">
        <v>1905244559426</v>
      </c>
      <c r="H73" s="245">
        <v>43773</v>
      </c>
      <c r="I73" s="245">
        <v>43777</v>
      </c>
      <c r="J73" s="244">
        <v>4</v>
      </c>
      <c r="K73" s="246"/>
      <c r="L73" s="247"/>
      <c r="M73" s="246"/>
      <c r="N73" s="246"/>
      <c r="O73" s="246">
        <v>541690</v>
      </c>
      <c r="P73" s="246"/>
      <c r="Q73" s="246">
        <v>179071</v>
      </c>
      <c r="R73" s="246"/>
      <c r="S73" s="137">
        <f t="shared" si="13"/>
        <v>0</v>
      </c>
      <c r="T73" s="137">
        <f t="shared" si="14"/>
        <v>720761</v>
      </c>
      <c r="U73" s="135">
        <f>IF(J73=0,(S73+T73/EERR!$D$2/1.19),(S73+T73/EERR!$D$2/1.19)/J73)</f>
        <v>194.99617291187786</v>
      </c>
      <c r="V73" s="137">
        <f>T73+S73*EERR!$D$2</f>
        <v>720761</v>
      </c>
      <c r="W73" s="132">
        <f ca="1">SUMIF(Siteminder!$A$5:$J$164,Nov!G73,Siteminder!$M$5:$M$164)</f>
        <v>4</v>
      </c>
      <c r="X73" s="250">
        <f>SUMIF(Transbank!$A$2:$A$462,B73,Transbank!$L$2:$L$462)+SUMIF(Transbank!$A$2:$A$462,C73,Transbank!$L$2:$L$462)+SUMIF(Transbank!$A$2:$A$462,D73,Transbank!$L$2:$L$462)+(K73+O73)+(L73+P73)*EERR!$D$2</f>
        <v>720761</v>
      </c>
      <c r="Y73" s="251">
        <f>X73/EERR!$D$2</f>
        <v>928.18178306053858</v>
      </c>
      <c r="Z73" s="260">
        <f t="shared" si="15"/>
        <v>0</v>
      </c>
      <c r="AA73" s="132">
        <f>+Z73/EERR!$D$2</f>
        <v>0</v>
      </c>
    </row>
    <row r="74" spans="1:27" s="132" customFormat="1" x14ac:dyDescent="0.25">
      <c r="A74" s="243">
        <v>4140</v>
      </c>
      <c r="B74" s="276">
        <v>16</v>
      </c>
      <c r="C74" s="276"/>
      <c r="D74" s="276"/>
      <c r="E74" s="244" t="s">
        <v>774</v>
      </c>
      <c r="F74" s="244" t="s">
        <v>238</v>
      </c>
      <c r="G74" s="259">
        <v>1907044697949</v>
      </c>
      <c r="H74" s="245">
        <v>43776</v>
      </c>
      <c r="I74" s="245">
        <v>43779</v>
      </c>
      <c r="J74" s="244">
        <v>3</v>
      </c>
      <c r="K74" s="246"/>
      <c r="L74" s="247"/>
      <c r="M74" s="246"/>
      <c r="N74" s="246">
        <v>627</v>
      </c>
      <c r="O74" s="246"/>
      <c r="P74" s="246"/>
      <c r="Q74" s="246"/>
      <c r="R74" s="246"/>
      <c r="S74" s="137">
        <f t="shared" si="13"/>
        <v>627</v>
      </c>
      <c r="T74" s="137">
        <f t="shared" si="14"/>
        <v>0</v>
      </c>
      <c r="U74" s="135">
        <f>IF(J74=0,(S74+T74/EERR!$D$2/1.19),(S74+T74/EERR!$D$2/1.19)/J74)</f>
        <v>209</v>
      </c>
      <c r="V74" s="137">
        <f>T74+S74*EERR!$D$2</f>
        <v>486884.31</v>
      </c>
      <c r="W74" s="132">
        <f ca="1">SUMIF(Siteminder!$A$5:$J$164,Nov!G74,Siteminder!$M$5:$M$164)</f>
        <v>3</v>
      </c>
      <c r="X74" s="250">
        <f>SUMIF(Transbank!$A$2:$A$462,B74,Transbank!$L$2:$L$462)+SUMIF(Transbank!$A$2:$A$462,C74,Transbank!$L$2:$L$462)+SUMIF(Transbank!$A$2:$A$462,D74,Transbank!$L$2:$L$462)+(K74+O74)+(L74+P74)*EERR!$D$2</f>
        <v>486884.31</v>
      </c>
      <c r="Y74" s="251">
        <f>X74/EERR!$D$2</f>
        <v>627</v>
      </c>
      <c r="Z74" s="260">
        <f t="shared" si="15"/>
        <v>0</v>
      </c>
      <c r="AA74" s="132">
        <f>+Z74/EERR!$D$2</f>
        <v>0</v>
      </c>
    </row>
    <row r="75" spans="1:27" s="132" customFormat="1" x14ac:dyDescent="0.25">
      <c r="A75" s="243">
        <v>4203</v>
      </c>
      <c r="B75" s="276">
        <v>138</v>
      </c>
      <c r="C75" s="276"/>
      <c r="D75" s="276"/>
      <c r="E75" s="244" t="s">
        <v>1134</v>
      </c>
      <c r="F75" s="244" t="s">
        <v>238</v>
      </c>
      <c r="G75" s="259">
        <v>1911035090549</v>
      </c>
      <c r="H75" s="245">
        <v>43778</v>
      </c>
      <c r="I75" s="245">
        <v>43779</v>
      </c>
      <c r="J75" s="244">
        <v>1</v>
      </c>
      <c r="K75" s="246"/>
      <c r="L75" s="247"/>
      <c r="M75" s="246"/>
      <c r="N75" s="246"/>
      <c r="O75" s="246"/>
      <c r="P75" s="246"/>
      <c r="Q75" s="246"/>
      <c r="R75" s="246">
        <v>209</v>
      </c>
      <c r="S75" s="137">
        <f t="shared" si="13"/>
        <v>209</v>
      </c>
      <c r="T75" s="137">
        <f t="shared" si="14"/>
        <v>0</v>
      </c>
      <c r="U75" s="135">
        <f>IF(J75=0,(S75+T75/EERR!$D$2/1.19),(S75+T75/EERR!$D$2/1.19)/J75)</f>
        <v>209</v>
      </c>
      <c r="V75" s="137">
        <f>T75+S75*EERR!$D$2</f>
        <v>162294.76999999999</v>
      </c>
      <c r="W75" s="132">
        <f ca="1">SUMIF(Siteminder!$A$5:$J$164,Nov!G75,Siteminder!$M$5:$M$164)</f>
        <v>1</v>
      </c>
      <c r="X75" s="250">
        <f>SUMIF(Transbank!$A$2:$A$462,B75,Transbank!$L$2:$L$462)+SUMIF(Transbank!$A$2:$A$462,C75,Transbank!$L$2:$L$462)+SUMIF(Transbank!$A$2:$A$462,D75,Transbank!$L$2:$L$462)+(K75+O75)+(L75+P75)*EERR!$D$2</f>
        <v>162294.76999999999</v>
      </c>
      <c r="Y75" s="251">
        <f>X75/EERR!$D$2</f>
        <v>209</v>
      </c>
      <c r="Z75" s="260">
        <f t="shared" si="15"/>
        <v>0</v>
      </c>
      <c r="AA75" s="132">
        <f>+Z75/EERR!$D$2</f>
        <v>0</v>
      </c>
    </row>
    <row r="76" spans="1:27" s="132" customFormat="1" x14ac:dyDescent="0.25">
      <c r="A76" s="243">
        <v>4201</v>
      </c>
      <c r="B76" s="276"/>
      <c r="C76" s="276"/>
      <c r="D76" s="276"/>
      <c r="E76" s="244" t="s">
        <v>1135</v>
      </c>
      <c r="F76" s="244" t="s">
        <v>238</v>
      </c>
      <c r="G76" s="259">
        <v>1910235060536</v>
      </c>
      <c r="H76" s="245">
        <v>43779</v>
      </c>
      <c r="I76" s="245">
        <v>43781</v>
      </c>
      <c r="J76" s="244">
        <v>2</v>
      </c>
      <c r="K76" s="246"/>
      <c r="L76" s="247">
        <v>418</v>
      </c>
      <c r="M76" s="246"/>
      <c r="N76" s="246"/>
      <c r="O76" s="246"/>
      <c r="P76" s="246"/>
      <c r="Q76" s="246"/>
      <c r="R76" s="246"/>
      <c r="S76" s="137">
        <f t="shared" si="13"/>
        <v>418</v>
      </c>
      <c r="T76" s="137">
        <f t="shared" si="14"/>
        <v>0</v>
      </c>
      <c r="U76" s="135">
        <f>IF(J76=0,(S76+T76/EERR!$D$2/1.19),(S76+T76/EERR!$D$2/1.19)/J76)</f>
        <v>209</v>
      </c>
      <c r="V76" s="137">
        <f>T76+S76*EERR!$D$2</f>
        <v>324589.53999999998</v>
      </c>
      <c r="W76" s="132">
        <f ca="1">SUMIF(Siteminder!$A$5:$J$164,Nov!G76,Siteminder!$M$5:$M$164)</f>
        <v>2</v>
      </c>
      <c r="X76" s="250">
        <f>SUMIF(Transbank!$A$2:$A$462,B76,Transbank!$L$2:$L$462)+SUMIF(Transbank!$A$2:$A$462,C76,Transbank!$L$2:$L$462)+SUMIF(Transbank!$A$2:$A$462,D76,Transbank!$L$2:$L$462)+(K76+O76)+(L76+P76)*EERR!$D$2</f>
        <v>324589.53999999998</v>
      </c>
      <c r="Y76" s="251">
        <f>X76/EERR!$D$2</f>
        <v>418</v>
      </c>
      <c r="Z76" s="260">
        <f t="shared" si="15"/>
        <v>0</v>
      </c>
      <c r="AA76" s="132">
        <f>+Z76/EERR!$D$2</f>
        <v>0</v>
      </c>
    </row>
    <row r="77" spans="1:27" s="132" customFormat="1" x14ac:dyDescent="0.25">
      <c r="A77" s="243">
        <v>4202</v>
      </c>
      <c r="B77" s="276">
        <v>1791</v>
      </c>
      <c r="C77" s="276"/>
      <c r="D77" s="276"/>
      <c r="E77" s="244" t="s">
        <v>1135</v>
      </c>
      <c r="F77" s="244" t="s">
        <v>238</v>
      </c>
      <c r="G77" s="259">
        <v>1910235060518</v>
      </c>
      <c r="H77" s="245">
        <v>43779</v>
      </c>
      <c r="I77" s="245">
        <v>43781</v>
      </c>
      <c r="J77" s="244">
        <v>2</v>
      </c>
      <c r="K77" s="246"/>
      <c r="L77" s="247"/>
      <c r="M77" s="246"/>
      <c r="N77" s="246">
        <v>418</v>
      </c>
      <c r="O77" s="246"/>
      <c r="P77" s="246"/>
      <c r="Q77" s="246"/>
      <c r="R77" s="246"/>
      <c r="S77" s="137">
        <f t="shared" ref="S77" si="16">L77+N77+P77+R77</f>
        <v>418</v>
      </c>
      <c r="T77" s="137">
        <f t="shared" ref="T77" si="17">M77+O77+K77+Q77</f>
        <v>0</v>
      </c>
      <c r="U77" s="135">
        <f>IF(J77=0,(S77+T77/EERR!$D$2/1.19),(S77+T77/EERR!$D$2/1.19)/J77)</f>
        <v>209</v>
      </c>
      <c r="V77" s="137">
        <f>T77+S77*EERR!$D$2</f>
        <v>324589.53999999998</v>
      </c>
      <c r="W77" s="132">
        <f ca="1">SUMIF(Siteminder!$A$5:$J$164,Nov!G77,Siteminder!$M$5:$M$164)</f>
        <v>2</v>
      </c>
      <c r="X77" s="250">
        <f>SUMIF(Transbank!$A$2:$A$462,B77,Transbank!$L$2:$L$462)+SUMIF(Transbank!$A$2:$A$462,C77,Transbank!$L$2:$L$462)+SUMIF(Transbank!$A$2:$A$462,D77,Transbank!$L$2:$L$462)+(K77+O77)+(L77+P77)*EERR!$D$2</f>
        <v>0</v>
      </c>
      <c r="Y77" s="251">
        <f>X77/EERR!$D$2</f>
        <v>0</v>
      </c>
      <c r="Z77" s="260"/>
      <c r="AA77" s="132">
        <f>+Z77/EERR!$D$2</f>
        <v>0</v>
      </c>
    </row>
    <row r="78" spans="1:27" s="132" customFormat="1" x14ac:dyDescent="0.25">
      <c r="A78" s="243">
        <v>4204</v>
      </c>
      <c r="B78" s="276"/>
      <c r="C78" s="276"/>
      <c r="D78" s="276"/>
      <c r="E78" s="244" t="s">
        <v>1135</v>
      </c>
      <c r="F78" s="244" t="s">
        <v>238</v>
      </c>
      <c r="G78" s="259">
        <v>1910245064426</v>
      </c>
      <c r="H78" s="245">
        <v>43781</v>
      </c>
      <c r="I78" s="245">
        <v>43782</v>
      </c>
      <c r="J78" s="244">
        <v>1</v>
      </c>
      <c r="K78" s="246"/>
      <c r="L78" s="247">
        <v>209</v>
      </c>
      <c r="M78" s="246"/>
      <c r="N78" s="246"/>
      <c r="O78" s="246"/>
      <c r="P78" s="246"/>
      <c r="Q78" s="246"/>
      <c r="R78" s="246"/>
      <c r="S78" s="137">
        <f t="shared" si="13"/>
        <v>209</v>
      </c>
      <c r="T78" s="137">
        <f t="shared" si="14"/>
        <v>0</v>
      </c>
      <c r="U78" s="135">
        <f>IF(J78=0,(S78+T78/EERR!$D$2/1.19),(S78+T78/EERR!$D$2/1.19)/J78)</f>
        <v>209</v>
      </c>
      <c r="V78" s="137">
        <f>T78+S78*EERR!$D$2</f>
        <v>162294.76999999999</v>
      </c>
      <c r="W78" s="132">
        <f ca="1">SUMIF(Siteminder!$A$5:$J$164,Nov!G78,Siteminder!$M$5:$M$164)</f>
        <v>1</v>
      </c>
      <c r="X78" s="250">
        <f>SUMIF(Transbank!$A$2:$A$462,B78,Transbank!$L$2:$L$462)+SUMIF(Transbank!$A$2:$A$462,C78,Transbank!$L$2:$L$462)+SUMIF(Transbank!$A$2:$A$462,D78,Transbank!$L$2:$L$462)+(K78+O78)+(L78+P78)*EERR!$D$2</f>
        <v>162294.76999999999</v>
      </c>
      <c r="Y78" s="251">
        <f>X78/EERR!$D$2</f>
        <v>209</v>
      </c>
      <c r="Z78" s="260">
        <f t="shared" si="15"/>
        <v>0</v>
      </c>
      <c r="AA78" s="132">
        <f>+Z78/EERR!$D$2</f>
        <v>0</v>
      </c>
    </row>
    <row r="79" spans="1:27" s="132" customFormat="1" x14ac:dyDescent="0.25">
      <c r="A79" s="243">
        <v>4213</v>
      </c>
      <c r="B79" s="276">
        <v>61</v>
      </c>
      <c r="C79" s="276">
        <v>175</v>
      </c>
      <c r="D79" s="276"/>
      <c r="E79" s="244" t="s">
        <v>1136</v>
      </c>
      <c r="F79" s="244" t="s">
        <v>238</v>
      </c>
      <c r="G79" s="259">
        <v>1910175043495</v>
      </c>
      <c r="H79" s="245">
        <v>43783</v>
      </c>
      <c r="I79" s="245">
        <v>43786</v>
      </c>
      <c r="J79" s="244">
        <v>3</v>
      </c>
      <c r="K79" s="246"/>
      <c r="L79" s="247"/>
      <c r="M79" s="246"/>
      <c r="N79" s="246">
        <v>456</v>
      </c>
      <c r="O79" s="246"/>
      <c r="P79" s="246"/>
      <c r="Q79" s="246"/>
      <c r="R79" s="246">
        <v>228</v>
      </c>
      <c r="S79" s="137">
        <f t="shared" si="13"/>
        <v>684</v>
      </c>
      <c r="T79" s="137">
        <f t="shared" si="14"/>
        <v>0</v>
      </c>
      <c r="U79" s="135">
        <f>IF(J79=0,(S79+T79/EERR!$D$2/1.19),(S79+T79/EERR!$D$2/1.19)/J79)</f>
        <v>228</v>
      </c>
      <c r="V79" s="137">
        <f>T79+S79*EERR!$D$2</f>
        <v>531146.52</v>
      </c>
      <c r="W79" s="132">
        <f ca="1">SUMIF(Siteminder!$A$5:$J$164,Nov!G79,Siteminder!$M$5:$M$164)</f>
        <v>3</v>
      </c>
      <c r="X79" s="250">
        <f>SUMIF(Transbank!$A$2:$A$462,B79,Transbank!$L$2:$L$462)+SUMIF(Transbank!$A$2:$A$462,C79,Transbank!$L$2:$L$462)+SUMIF(Transbank!$A$2:$A$462,D79,Transbank!$L$2:$L$462)+(K79+O79)+(L79+P79)*EERR!$D$2</f>
        <v>531146.52</v>
      </c>
      <c r="Y79" s="251">
        <f>X79/EERR!$D$2</f>
        <v>684</v>
      </c>
      <c r="Z79" s="260">
        <f t="shared" si="15"/>
        <v>0</v>
      </c>
      <c r="AA79" s="132">
        <f>+Z79/EERR!$D$2</f>
        <v>0</v>
      </c>
    </row>
    <row r="80" spans="1:27" s="132" customFormat="1" x14ac:dyDescent="0.25">
      <c r="A80" s="243">
        <v>4215</v>
      </c>
      <c r="B80" s="276">
        <v>182</v>
      </c>
      <c r="C80" s="276">
        <v>59</v>
      </c>
      <c r="D80" s="276"/>
      <c r="E80" s="244" t="s">
        <v>1137</v>
      </c>
      <c r="F80" s="244" t="s">
        <v>238</v>
      </c>
      <c r="G80" s="259">
        <v>1908114828866</v>
      </c>
      <c r="H80" s="245">
        <v>43784</v>
      </c>
      <c r="I80" s="245">
        <v>43786</v>
      </c>
      <c r="J80" s="244">
        <v>2</v>
      </c>
      <c r="K80" s="246"/>
      <c r="L80" s="247"/>
      <c r="M80" s="246"/>
      <c r="N80" s="246">
        <v>228</v>
      </c>
      <c r="O80" s="246"/>
      <c r="P80" s="246"/>
      <c r="Q80" s="246"/>
      <c r="R80" s="246">
        <v>228</v>
      </c>
      <c r="S80" s="137">
        <f t="shared" si="13"/>
        <v>456</v>
      </c>
      <c r="T80" s="137">
        <f t="shared" si="14"/>
        <v>0</v>
      </c>
      <c r="U80" s="135">
        <f>IF(J80=0,(S80+T80/EERR!$D$2/1.19),(S80+T80/EERR!$D$2/1.19)/J80)</f>
        <v>228</v>
      </c>
      <c r="V80" s="137">
        <f>T80+S80*EERR!$D$2</f>
        <v>354097.68</v>
      </c>
      <c r="W80" s="132">
        <f ca="1">SUMIF(Siteminder!$A$5:$J$164,Nov!G80,Siteminder!$M$5:$M$164)</f>
        <v>2</v>
      </c>
      <c r="X80" s="250">
        <f>SUMIF(Transbank!$A$2:$A$462,B80,Transbank!$L$2:$L$462)+SUMIF(Transbank!$A$2:$A$462,C80,Transbank!$L$2:$L$462)+SUMIF(Transbank!$A$2:$A$462,D80,Transbank!$L$2:$L$462)+(K80+O80)+(L80+P80)*EERR!$D$2</f>
        <v>354097.68</v>
      </c>
      <c r="Y80" s="251">
        <f>X80/EERR!$D$2</f>
        <v>456</v>
      </c>
      <c r="Z80" s="260">
        <f t="shared" si="15"/>
        <v>0</v>
      </c>
      <c r="AA80" s="132">
        <f>+Z80/EERR!$D$2</f>
        <v>0</v>
      </c>
    </row>
    <row r="81" spans="1:27" s="132" customFormat="1" x14ac:dyDescent="0.25">
      <c r="A81" s="243">
        <v>4225</v>
      </c>
      <c r="B81" s="276">
        <v>71</v>
      </c>
      <c r="C81" s="276">
        <v>201</v>
      </c>
      <c r="D81" s="276"/>
      <c r="E81" s="244" t="s">
        <v>1138</v>
      </c>
      <c r="F81" s="244" t="s">
        <v>238</v>
      </c>
      <c r="G81" s="259">
        <v>1908314895845</v>
      </c>
      <c r="H81" s="245">
        <v>43787</v>
      </c>
      <c r="I81" s="245">
        <v>43792</v>
      </c>
      <c r="J81" s="244">
        <v>5</v>
      </c>
      <c r="K81" s="246"/>
      <c r="L81" s="247"/>
      <c r="M81" s="246"/>
      <c r="N81" s="246">
        <v>836</v>
      </c>
      <c r="O81" s="246"/>
      <c r="P81" s="246"/>
      <c r="Q81" s="246"/>
      <c r="R81" s="246">
        <v>209</v>
      </c>
      <c r="S81" s="137">
        <f t="shared" si="13"/>
        <v>1045</v>
      </c>
      <c r="T81" s="137">
        <f t="shared" si="14"/>
        <v>0</v>
      </c>
      <c r="U81" s="135">
        <f>IF(J81=0,(S81+T81/EERR!$D$2/1.19),(S81+T81/EERR!$D$2/1.19)/J81)</f>
        <v>209</v>
      </c>
      <c r="V81" s="137">
        <f>T81+S81*EERR!$D$2</f>
        <v>811473.85</v>
      </c>
      <c r="W81" s="132">
        <f ca="1">SUMIF(Siteminder!$A$5:$J$164,Nov!G81,Siteminder!$M$5:$M$164)</f>
        <v>5</v>
      </c>
      <c r="X81" s="250">
        <f>SUMIF(Transbank!$A$2:$A$462,B81,Transbank!$L$2:$L$462)+SUMIF(Transbank!$A$2:$A$462,C81,Transbank!$L$2:$L$462)+SUMIF(Transbank!$A$2:$A$462,D81,Transbank!$L$2:$L$462)+(K81+O81)+(L81+P81)*EERR!$D$2</f>
        <v>811473.85</v>
      </c>
      <c r="Y81" s="251">
        <f>X81/EERR!$D$2</f>
        <v>1045</v>
      </c>
      <c r="Z81" s="260">
        <f t="shared" si="15"/>
        <v>0</v>
      </c>
      <c r="AA81" s="132">
        <f>+Z81/EERR!$D$2</f>
        <v>0</v>
      </c>
    </row>
    <row r="82" spans="1:27" s="132" customFormat="1" x14ac:dyDescent="0.25">
      <c r="A82" s="243">
        <v>4229</v>
      </c>
      <c r="B82" s="276">
        <v>116</v>
      </c>
      <c r="C82" s="344">
        <v>206</v>
      </c>
      <c r="D82" s="276"/>
      <c r="E82" s="244" t="s">
        <v>1139</v>
      </c>
      <c r="F82" s="244" t="s">
        <v>238</v>
      </c>
      <c r="G82" s="259">
        <v>1910255067639</v>
      </c>
      <c r="H82" s="245">
        <v>43789</v>
      </c>
      <c r="I82" s="245">
        <v>43793</v>
      </c>
      <c r="J82" s="244">
        <v>4</v>
      </c>
      <c r="K82" s="246"/>
      <c r="L82" s="247"/>
      <c r="M82" s="246"/>
      <c r="N82" s="246">
        <v>627</v>
      </c>
      <c r="O82" s="246"/>
      <c r="P82" s="246"/>
      <c r="Q82" s="246"/>
      <c r="R82" s="246">
        <v>209</v>
      </c>
      <c r="S82" s="137">
        <f t="shared" si="13"/>
        <v>836</v>
      </c>
      <c r="T82" s="137">
        <f t="shared" si="14"/>
        <v>0</v>
      </c>
      <c r="U82" s="135">
        <f>IF(J82=0,(S82+T82/EERR!$D$2/1.19),(S82+T82/EERR!$D$2/1.19)/J82)</f>
        <v>209</v>
      </c>
      <c r="V82" s="137">
        <f>T82+S82*EERR!$D$2</f>
        <v>649179.07999999996</v>
      </c>
      <c r="W82" s="132">
        <f ca="1">SUMIF(Siteminder!$A$5:$J$164,Nov!G82,Siteminder!$M$5:$M$164)</f>
        <v>4</v>
      </c>
      <c r="X82" s="250">
        <f>SUMIF(Transbank!$A$2:$A$462,B82,Transbank!$L$2:$L$462)+SUMIF(Transbank!$A$2:$A$462,C82,Transbank!$L$2:$L$462)+SUMIF(Transbank!$A$2:$A$462,D82,Transbank!$L$2:$L$462)+(K82+O82)+(L82+P82)*EERR!$D$2</f>
        <v>649179.07999999996</v>
      </c>
      <c r="Y82" s="251">
        <f>X82/EERR!$D$2</f>
        <v>836</v>
      </c>
      <c r="Z82" s="260">
        <f t="shared" si="15"/>
        <v>0</v>
      </c>
      <c r="AA82" s="132">
        <f>+Z82/EERR!$D$2</f>
        <v>0</v>
      </c>
    </row>
    <row r="83" spans="1:27" s="132" customFormat="1" x14ac:dyDescent="0.25">
      <c r="A83" s="243">
        <v>4232</v>
      </c>
      <c r="B83" s="276">
        <v>95</v>
      </c>
      <c r="C83" s="344">
        <v>216</v>
      </c>
      <c r="D83" s="276"/>
      <c r="E83" s="244" t="s">
        <v>1140</v>
      </c>
      <c r="F83" s="244" t="s">
        <v>238</v>
      </c>
      <c r="G83" s="259">
        <v>1908314894870</v>
      </c>
      <c r="H83" s="245">
        <v>43792</v>
      </c>
      <c r="I83" s="245">
        <v>43795</v>
      </c>
      <c r="J83" s="244">
        <v>3</v>
      </c>
      <c r="K83" s="246"/>
      <c r="L83" s="247"/>
      <c r="M83" s="246"/>
      <c r="N83" s="246">
        <v>418</v>
      </c>
      <c r="O83" s="246"/>
      <c r="P83" s="246"/>
      <c r="Q83" s="246"/>
      <c r="R83" s="246">
        <v>209</v>
      </c>
      <c r="S83" s="137">
        <f t="shared" si="13"/>
        <v>627</v>
      </c>
      <c r="T83" s="137">
        <f t="shared" si="14"/>
        <v>0</v>
      </c>
      <c r="U83" s="135">
        <f>IF(J83=0,(S83+T83/EERR!$D$2/1.19),(S83+T83/EERR!$D$2/1.19)/J83)</f>
        <v>209</v>
      </c>
      <c r="V83" s="137">
        <f>T83+S83*EERR!$D$2</f>
        <v>486884.31</v>
      </c>
      <c r="W83" s="132">
        <f ca="1">SUMIF(Siteminder!$A$5:$J$164,Nov!G83,Siteminder!$M$5:$M$164)</f>
        <v>3</v>
      </c>
      <c r="X83" s="250">
        <f>SUMIF(Transbank!$A$2:$A$462,B83,Transbank!$L$2:$L$462)+SUMIF(Transbank!$A$2:$A$462,C83,Transbank!$L$2:$L$462)+SUMIF(Transbank!$A$2:$A$462,D83,Transbank!$L$2:$L$462)+(K83+O83)+(L83+P83)*EERR!$D$2</f>
        <v>486884.30999999994</v>
      </c>
      <c r="Y83" s="251">
        <f>X83/EERR!$D$2</f>
        <v>627</v>
      </c>
      <c r="Z83" s="260">
        <f t="shared" si="15"/>
        <v>0</v>
      </c>
      <c r="AA83" s="132">
        <f>+Z83/EERR!$D$2</f>
        <v>0</v>
      </c>
    </row>
    <row r="84" spans="1:27" s="132" customFormat="1" x14ac:dyDescent="0.25">
      <c r="A84" s="243">
        <v>4230</v>
      </c>
      <c r="B84" s="276">
        <v>117</v>
      </c>
      <c r="C84" s="344">
        <v>207</v>
      </c>
      <c r="D84" s="276"/>
      <c r="E84" s="244" t="s">
        <v>1139</v>
      </c>
      <c r="F84" s="244" t="s">
        <v>238</v>
      </c>
      <c r="G84" s="259">
        <v>1910255067755</v>
      </c>
      <c r="H84" s="245">
        <v>43793</v>
      </c>
      <c r="I84" s="245">
        <v>43796</v>
      </c>
      <c r="J84" s="244">
        <v>3</v>
      </c>
      <c r="K84" s="246"/>
      <c r="L84" s="247"/>
      <c r="M84" s="246"/>
      <c r="N84" s="246">
        <v>418</v>
      </c>
      <c r="O84" s="246"/>
      <c r="P84" s="246"/>
      <c r="Q84" s="246"/>
      <c r="R84" s="246">
        <v>209</v>
      </c>
      <c r="S84" s="137">
        <f t="shared" si="13"/>
        <v>627</v>
      </c>
      <c r="T84" s="137">
        <f t="shared" si="14"/>
        <v>0</v>
      </c>
      <c r="U84" s="135">
        <f>IF(J84=0,(S84+T84/EERR!$D$2/1.19),(S84+T84/EERR!$D$2/1.19)/J84)</f>
        <v>209</v>
      </c>
      <c r="V84" s="137">
        <f>T84+S84*EERR!$D$2</f>
        <v>486884.31</v>
      </c>
      <c r="W84" s="132">
        <f ca="1">SUMIF(Siteminder!$A$5:$J$164,Nov!G84,Siteminder!$M$5:$M$164)</f>
        <v>3</v>
      </c>
      <c r="X84" s="250">
        <f>SUMIF(Transbank!$A$2:$A$462,B84,Transbank!$L$2:$L$462)+SUMIF(Transbank!$A$2:$A$462,C84,Transbank!$L$2:$L$462)+SUMIF(Transbank!$A$2:$A$462,D84,Transbank!$L$2:$L$462)+(K84+O84)+(L84+P84)*EERR!$D$2</f>
        <v>486884.30999999994</v>
      </c>
      <c r="Y84" s="251">
        <f>X84/EERR!$D$2</f>
        <v>627</v>
      </c>
      <c r="Z84" s="260">
        <f t="shared" si="15"/>
        <v>0</v>
      </c>
      <c r="AA84" s="132">
        <f>+Z84/EERR!$D$2</f>
        <v>0</v>
      </c>
    </row>
    <row r="85" spans="1:27" s="132" customFormat="1" x14ac:dyDescent="0.25">
      <c r="A85" s="243">
        <v>4234</v>
      </c>
      <c r="B85" s="276">
        <v>103</v>
      </c>
      <c r="C85" s="344">
        <v>223</v>
      </c>
      <c r="D85" s="276"/>
      <c r="E85" s="244" t="s">
        <v>1141</v>
      </c>
      <c r="F85" s="244" t="s">
        <v>238</v>
      </c>
      <c r="G85" s="259">
        <v>1902284262759</v>
      </c>
      <c r="H85" s="245">
        <v>43793</v>
      </c>
      <c r="I85" s="245">
        <v>43798</v>
      </c>
      <c r="J85" s="244">
        <v>5</v>
      </c>
      <c r="K85" s="246"/>
      <c r="L85" s="247"/>
      <c r="M85" s="246"/>
      <c r="N85" s="246">
        <v>836</v>
      </c>
      <c r="O85" s="246"/>
      <c r="P85" s="246"/>
      <c r="Q85" s="246"/>
      <c r="R85" s="246">
        <v>209</v>
      </c>
      <c r="S85" s="137">
        <f t="shared" si="13"/>
        <v>1045</v>
      </c>
      <c r="T85" s="137">
        <f t="shared" si="14"/>
        <v>0</v>
      </c>
      <c r="U85" s="135">
        <f>IF(J85=0,(S85+T85/EERR!$D$2/1.19),(S85+T85/EERR!$D$2/1.19)/J85)</f>
        <v>209</v>
      </c>
      <c r="V85" s="137">
        <f>T85+S85*EERR!$D$2</f>
        <v>811473.85</v>
      </c>
      <c r="W85" s="132">
        <f ca="1">SUMIF(Siteminder!$A$5:$J$164,Nov!G85,Siteminder!$M$5:$M$164)</f>
        <v>5</v>
      </c>
      <c r="X85" s="250">
        <f>SUMIF(Transbank!$A$2:$A$462,B85,Transbank!$L$2:$L$462)+SUMIF(Transbank!$A$2:$A$462,C85,Transbank!$L$2:$L$462)+SUMIF(Transbank!$A$2:$A$462,D85,Transbank!$L$2:$L$462)+(K85+O85)+(L85+P85)*EERR!$D$2</f>
        <v>811473.85</v>
      </c>
      <c r="Y85" s="251">
        <f>X85/EERR!$D$2</f>
        <v>1045</v>
      </c>
      <c r="Z85" s="260">
        <f t="shared" si="15"/>
        <v>0</v>
      </c>
      <c r="AA85" s="132">
        <f>+Z85/EERR!$D$2</f>
        <v>0</v>
      </c>
    </row>
    <row r="86" spans="1:27" s="132" customFormat="1" x14ac:dyDescent="0.25">
      <c r="A86" s="243"/>
      <c r="B86" s="276"/>
      <c r="C86" s="276"/>
      <c r="D86" s="276"/>
      <c r="E86" s="244"/>
      <c r="F86" s="244"/>
      <c r="G86" s="244"/>
      <c r="H86" s="245"/>
      <c r="I86" s="245"/>
      <c r="J86" s="244"/>
      <c r="K86" s="246"/>
      <c r="L86" s="247"/>
      <c r="M86" s="246"/>
      <c r="N86" s="246"/>
      <c r="O86" s="246"/>
      <c r="P86" s="246"/>
      <c r="Q86" s="246"/>
      <c r="R86" s="246"/>
      <c r="S86" s="137">
        <f t="shared" si="13"/>
        <v>0</v>
      </c>
      <c r="T86" s="137">
        <f t="shared" si="14"/>
        <v>0</v>
      </c>
      <c r="U86" s="135">
        <f>IF(J86=0,(S86+T86/EERR!$D$2/1.19),(S86+T86/EERR!$D$2/1.19)/J86)</f>
        <v>0</v>
      </c>
      <c r="V86" s="137">
        <f>T86+S86*EERR!$D$2</f>
        <v>0</v>
      </c>
      <c r="W86" s="132">
        <f ca="1">SUMIF(Siteminder!$A$5:$J$164,Nov!G86,Siteminder!$M$5:$M$164)</f>
        <v>0</v>
      </c>
      <c r="X86" s="250">
        <f>SUMIF(Transbank!$A$2:$A$462,B86,Transbank!$L$2:$L$462)+SUMIF(Transbank!$A$2:$A$462,C86,Transbank!$L$2:$L$462)+SUMIF(Transbank!$A$2:$A$462,D86,Transbank!$L$2:$L$462)+(K86+O86)+(L86+P86)*EERR!$D$2</f>
        <v>0</v>
      </c>
      <c r="Y86" s="251">
        <f>X86/EERR!$D$2</f>
        <v>0</v>
      </c>
      <c r="Z86" s="260">
        <f t="shared" si="15"/>
        <v>0</v>
      </c>
      <c r="AA86" s="132">
        <f>+Z86/EERR!$D$2</f>
        <v>0</v>
      </c>
    </row>
    <row r="87" spans="1:27" ht="12.75" x14ac:dyDescent="0.2">
      <c r="A87" s="227"/>
      <c r="B87" s="227"/>
      <c r="C87" s="227"/>
      <c r="D87" s="227"/>
      <c r="E87" s="227"/>
      <c r="F87" s="227"/>
      <c r="G87" s="227"/>
      <c r="H87" s="232"/>
      <c r="I87" s="232"/>
      <c r="J87" s="233">
        <f>SUM(J67:J86)</f>
        <v>53</v>
      </c>
      <c r="K87" s="233">
        <f t="shared" ref="K87:T87" si="18">SUM(K67:K86)</f>
        <v>0</v>
      </c>
      <c r="L87" s="233">
        <f t="shared" si="18"/>
        <v>627</v>
      </c>
      <c r="M87" s="233">
        <f t="shared" si="18"/>
        <v>0</v>
      </c>
      <c r="N87" s="233">
        <f t="shared" si="18"/>
        <v>6058</v>
      </c>
      <c r="O87" s="233">
        <f t="shared" si="18"/>
        <v>541690</v>
      </c>
      <c r="P87" s="233">
        <f t="shared" si="18"/>
        <v>1045</v>
      </c>
      <c r="Q87" s="233">
        <f t="shared" si="18"/>
        <v>179071</v>
      </c>
      <c r="R87" s="233">
        <f t="shared" si="18"/>
        <v>2536.5</v>
      </c>
      <c r="S87" s="233">
        <f t="shared" si="18"/>
        <v>10266.5</v>
      </c>
      <c r="T87" s="233">
        <f t="shared" si="18"/>
        <v>720761</v>
      </c>
      <c r="U87" s="233">
        <f>IF(J87=0,(S87+T87/EERR!$D$2/1.19),(S87+T87/EERR!$D$2/1.19)/J87)</f>
        <v>208.42423946504738</v>
      </c>
      <c r="V87" s="233">
        <f>SUM(V67:V86)</f>
        <v>8693006.2449999973</v>
      </c>
      <c r="W87" s="233">
        <f ca="1">SUM(W67:W86)</f>
        <v>52</v>
      </c>
      <c r="X87" s="233">
        <f>SUM(X67:X86)</f>
        <v>8533041.0649999976</v>
      </c>
      <c r="Y87" s="233"/>
      <c r="Z87" s="260">
        <f t="shared" ref="Z87:Z110" si="19">+X87-V87</f>
        <v>-159965.1799999997</v>
      </c>
      <c r="AA87" s="132">
        <f>+Z87/EERR!$D$2</f>
        <v>-205.99999999999963</v>
      </c>
    </row>
    <row r="88" spans="1:27" x14ac:dyDescent="0.25">
      <c r="A88" s="243">
        <v>4191</v>
      </c>
      <c r="B88" s="276">
        <v>148</v>
      </c>
      <c r="C88" s="276">
        <v>11</v>
      </c>
      <c r="D88" s="276"/>
      <c r="E88" s="244" t="s">
        <v>1142</v>
      </c>
      <c r="F88" s="244" t="s">
        <v>209</v>
      </c>
      <c r="G88" s="244">
        <v>1245949586</v>
      </c>
      <c r="H88" s="245">
        <v>43774</v>
      </c>
      <c r="I88" s="245">
        <v>43776</v>
      </c>
      <c r="J88" s="244">
        <v>2</v>
      </c>
      <c r="K88" s="246"/>
      <c r="L88" s="247"/>
      <c r="M88" s="246"/>
      <c r="N88" s="246">
        <v>220</v>
      </c>
      <c r="O88" s="246"/>
      <c r="P88" s="246"/>
      <c r="Q88" s="246"/>
      <c r="R88" s="246">
        <v>220</v>
      </c>
      <c r="S88" s="137">
        <f t="shared" ref="S88:S100" si="20">L88+N88+P88+R88</f>
        <v>440</v>
      </c>
      <c r="T88" s="137">
        <f t="shared" ref="T88:T100" si="21">M88+O88+K88+Q88</f>
        <v>0</v>
      </c>
      <c r="U88" s="135">
        <f>IF(J88=0,(S88+T88/EERR!$D$2/1.19),(S88+T88/EERR!$D$2/1.19)/J88)</f>
        <v>220</v>
      </c>
      <c r="V88" s="137">
        <f>T88+S88*EERR!$D$2</f>
        <v>341673.2</v>
      </c>
      <c r="W88" s="132">
        <f ca="1">SUMIF(Siteminder!$A$5:$J$164,Nov!G88,Siteminder!$M$5:$M$164)</f>
        <v>2</v>
      </c>
      <c r="X88" s="250">
        <f>SUMIF(Transbank!$A$2:$A$462,B88,Transbank!$L$2:$L$462)+SUMIF(Transbank!$A$2:$A$462,C88,Transbank!$L$2:$L$462)+SUMIF(Transbank!$A$2:$A$462,D88,Transbank!$L$2:$L$462)+(K88+O88)+(L88+P88)*EERR!$D$2</f>
        <v>341673.2</v>
      </c>
      <c r="Y88" s="252">
        <f>X88/EERR!$D$2</f>
        <v>440.00000000000006</v>
      </c>
      <c r="Z88" s="260">
        <f t="shared" si="19"/>
        <v>0</v>
      </c>
      <c r="AA88" s="132">
        <f>+Z88/EERR!$D$2</f>
        <v>0</v>
      </c>
    </row>
    <row r="89" spans="1:27" s="132" customFormat="1" x14ac:dyDescent="0.25">
      <c r="A89" s="243">
        <v>4210</v>
      </c>
      <c r="B89" s="276">
        <v>51</v>
      </c>
      <c r="C89" s="276"/>
      <c r="D89" s="276"/>
      <c r="E89" s="244" t="s">
        <v>1143</v>
      </c>
      <c r="F89" s="244" t="s">
        <v>209</v>
      </c>
      <c r="G89" s="244">
        <v>1250156848</v>
      </c>
      <c r="H89" s="245">
        <v>43782</v>
      </c>
      <c r="I89" s="245">
        <v>43783</v>
      </c>
      <c r="J89" s="244">
        <v>1</v>
      </c>
      <c r="K89" s="246"/>
      <c r="L89" s="247"/>
      <c r="M89" s="246"/>
      <c r="N89" s="246"/>
      <c r="O89" s="246"/>
      <c r="P89" s="246"/>
      <c r="Q89" s="246"/>
      <c r="R89" s="246">
        <v>220</v>
      </c>
      <c r="S89" s="137">
        <f t="shared" si="20"/>
        <v>220</v>
      </c>
      <c r="T89" s="137">
        <f t="shared" si="21"/>
        <v>0</v>
      </c>
      <c r="U89" s="135">
        <f>IF(J89=0,(S89+T89/EERR!$D$2/1.19),(S89+T89/EERR!$D$2/1.19)/J89)</f>
        <v>220</v>
      </c>
      <c r="V89" s="137">
        <f>T89+S89*EERR!$D$2</f>
        <v>170836.6</v>
      </c>
      <c r="W89" s="132">
        <f ca="1">SUMIF(Siteminder!$A$5:$J$164,Nov!G89,Siteminder!$M$5:$M$164)</f>
        <v>1</v>
      </c>
      <c r="X89" s="250">
        <f>SUMIF(Transbank!$A$2:$A$462,B89,Transbank!$L$2:$L$462)+SUMIF(Transbank!$A$2:$A$462,C89,Transbank!$L$2:$L$462)+SUMIF(Transbank!$A$2:$A$462,D89,Transbank!$L$2:$L$462)+(K89+O89)+(L89+P89)*EERR!$D$2</f>
        <v>170836.6</v>
      </c>
      <c r="Y89" s="252">
        <f>X89/EERR!$D$2</f>
        <v>220.00000000000003</v>
      </c>
      <c r="Z89" s="260">
        <f t="shared" si="19"/>
        <v>0</v>
      </c>
      <c r="AA89" s="132">
        <f>+Z89/EERR!$D$2</f>
        <v>0</v>
      </c>
    </row>
    <row r="90" spans="1:27" s="132" customFormat="1" x14ac:dyDescent="0.25">
      <c r="A90" s="243">
        <v>4214</v>
      </c>
      <c r="B90" s="276">
        <v>52</v>
      </c>
      <c r="C90" s="276">
        <v>180</v>
      </c>
      <c r="D90" s="276"/>
      <c r="E90" s="244" t="s">
        <v>1144</v>
      </c>
      <c r="F90" s="244" t="s">
        <v>209</v>
      </c>
      <c r="G90" s="244">
        <v>1211107527</v>
      </c>
      <c r="H90" s="245">
        <v>43783</v>
      </c>
      <c r="I90" s="245">
        <v>43787</v>
      </c>
      <c r="J90" s="244">
        <v>4</v>
      </c>
      <c r="K90" s="246"/>
      <c r="L90" s="247"/>
      <c r="M90" s="246"/>
      <c r="N90" s="246">
        <v>700</v>
      </c>
      <c r="O90" s="246"/>
      <c r="P90" s="246"/>
      <c r="Q90" s="246"/>
      <c r="R90" s="246">
        <v>240</v>
      </c>
      <c r="S90" s="137">
        <f t="shared" si="20"/>
        <v>940</v>
      </c>
      <c r="T90" s="137">
        <f t="shared" si="21"/>
        <v>0</v>
      </c>
      <c r="U90" s="135">
        <f>IF(J90=0,(S90+T90/EERR!$D$2/1.19),(S90+T90/EERR!$D$2/1.19)/J90)</f>
        <v>235</v>
      </c>
      <c r="V90" s="137">
        <f>T90+S90*EERR!$D$2</f>
        <v>729938.2</v>
      </c>
      <c r="W90" s="132">
        <f ca="1">SUMIF(Siteminder!$A$5:$J$164,Nov!G90,Siteminder!$M$5:$M$164)</f>
        <v>4</v>
      </c>
      <c r="X90" s="250">
        <f>SUMIF(Transbank!$A$2:$A$462,B90,Transbank!$L$2:$L$462)+SUMIF(Transbank!$A$2:$A$462,C90,Transbank!$L$2:$L$462)+SUMIF(Transbank!$A$2:$A$462,D90,Transbank!$L$2:$L$462)+(K90+O90)+(L90+P90)*EERR!$D$2</f>
        <v>729938.2</v>
      </c>
      <c r="Y90" s="252">
        <f>X90/EERR!$D$2</f>
        <v>940</v>
      </c>
      <c r="Z90" s="260">
        <f t="shared" si="19"/>
        <v>0</v>
      </c>
      <c r="AA90" s="132">
        <f>+Z90/EERR!$D$2</f>
        <v>0</v>
      </c>
    </row>
    <row r="91" spans="1:27" s="132" customFormat="1" x14ac:dyDescent="0.25">
      <c r="A91" s="243">
        <v>4216</v>
      </c>
      <c r="B91" s="276">
        <v>60</v>
      </c>
      <c r="C91" s="276">
        <v>183</v>
      </c>
      <c r="D91" s="276"/>
      <c r="E91" s="244" t="s">
        <v>1106</v>
      </c>
      <c r="F91" s="244" t="s">
        <v>209</v>
      </c>
      <c r="G91" s="244">
        <v>1250292106</v>
      </c>
      <c r="H91" s="245">
        <v>43784</v>
      </c>
      <c r="I91" s="245">
        <v>43787</v>
      </c>
      <c r="J91" s="244">
        <v>3</v>
      </c>
      <c r="K91" s="246"/>
      <c r="L91" s="247">
        <v>230</v>
      </c>
      <c r="M91" s="246"/>
      <c r="N91" s="246">
        <v>230</v>
      </c>
      <c r="O91" s="246"/>
      <c r="P91" s="246"/>
      <c r="Q91" s="246"/>
      <c r="R91" s="246">
        <v>240</v>
      </c>
      <c r="S91" s="137">
        <f t="shared" si="20"/>
        <v>700</v>
      </c>
      <c r="T91" s="137">
        <f t="shared" si="21"/>
        <v>0</v>
      </c>
      <c r="U91" s="135">
        <f>IF(J91=0,(S91+T91/EERR!$D$2/1.19),(S91+T91/EERR!$D$2/1.19)/J91)</f>
        <v>233.33333333333334</v>
      </c>
      <c r="V91" s="137">
        <f>T91+S91*EERR!$D$2</f>
        <v>543571</v>
      </c>
      <c r="W91" s="132">
        <f ca="1">SUMIF(Siteminder!$A$5:$J$164,Nov!G91,Siteminder!$M$5:$M$164)</f>
        <v>3</v>
      </c>
      <c r="X91" s="250">
        <f>SUMIF(Transbank!$A$2:$A$462,B91,Transbank!$L$2:$L$462)+SUMIF(Transbank!$A$2:$A$462,C91,Transbank!$L$2:$L$462)+SUMIF(Transbank!$A$2:$A$462,D91,Transbank!$L$2:$L$462)+(K91+O91)+(L91+P91)*EERR!$D$2</f>
        <v>543571</v>
      </c>
      <c r="Y91" s="252">
        <f>X91/EERR!$D$2</f>
        <v>700</v>
      </c>
      <c r="Z91" s="260">
        <f t="shared" si="19"/>
        <v>0</v>
      </c>
      <c r="AA91" s="132">
        <f>+Z91/EERR!$D$2</f>
        <v>0</v>
      </c>
    </row>
    <row r="92" spans="1:27" s="132" customFormat="1" x14ac:dyDescent="0.25">
      <c r="A92" s="243">
        <v>4221</v>
      </c>
      <c r="B92" s="276">
        <v>67</v>
      </c>
      <c r="C92" s="276">
        <v>190</v>
      </c>
      <c r="D92" s="276"/>
      <c r="E92" s="244" t="s">
        <v>1145</v>
      </c>
      <c r="F92" s="244" t="s">
        <v>209</v>
      </c>
      <c r="G92" s="244">
        <v>1360845627</v>
      </c>
      <c r="H92" s="245">
        <v>43786</v>
      </c>
      <c r="I92" s="245">
        <v>43788</v>
      </c>
      <c r="J92" s="244">
        <v>2</v>
      </c>
      <c r="K92" s="246"/>
      <c r="L92" s="247"/>
      <c r="M92" s="246"/>
      <c r="N92" s="246">
        <v>220</v>
      </c>
      <c r="O92" s="246"/>
      <c r="P92" s="246"/>
      <c r="Q92" s="246"/>
      <c r="R92" s="246">
        <v>220</v>
      </c>
      <c r="S92" s="137">
        <f t="shared" si="20"/>
        <v>440</v>
      </c>
      <c r="T92" s="137">
        <f t="shared" si="21"/>
        <v>0</v>
      </c>
      <c r="U92" s="135">
        <f>IF(J92=0,(S92+T92/EERR!$D$2/1.19),(S92+T92/EERR!$D$2/1.19)/J92)</f>
        <v>220</v>
      </c>
      <c r="V92" s="137">
        <f>T92+S92*EERR!$D$2</f>
        <v>341673.2</v>
      </c>
      <c r="W92" s="132">
        <f ca="1">SUMIF(Siteminder!$A$5:$J$164,Nov!G92,Siteminder!$M$5:$M$164)</f>
        <v>2</v>
      </c>
      <c r="X92" s="250">
        <f>SUMIF(Transbank!$A$2:$A$462,B92,Transbank!$L$2:$L$462)+SUMIF(Transbank!$A$2:$A$462,C92,Transbank!$L$2:$L$462)+SUMIF(Transbank!$A$2:$A$462,D92,Transbank!$L$2:$L$462)+(K92+O92)+(L92+P92)*EERR!$D$2</f>
        <v>341673.2</v>
      </c>
      <c r="Y92" s="252">
        <f>X92/EERR!$D$2</f>
        <v>440.00000000000006</v>
      </c>
      <c r="Z92" s="260">
        <f t="shared" si="19"/>
        <v>0</v>
      </c>
      <c r="AA92" s="132">
        <f>+Z92/EERR!$D$2</f>
        <v>0</v>
      </c>
    </row>
    <row r="93" spans="1:27" s="132" customFormat="1" x14ac:dyDescent="0.25">
      <c r="A93" s="243">
        <v>4223</v>
      </c>
      <c r="B93" s="276">
        <v>72</v>
      </c>
      <c r="C93" s="276">
        <v>199</v>
      </c>
      <c r="D93" s="276"/>
      <c r="E93" s="244" t="s">
        <v>1146</v>
      </c>
      <c r="F93" s="244" t="s">
        <v>209</v>
      </c>
      <c r="G93" s="244">
        <v>1299698851</v>
      </c>
      <c r="H93" s="245">
        <v>43787</v>
      </c>
      <c r="I93" s="245">
        <v>43790</v>
      </c>
      <c r="J93" s="244">
        <v>3</v>
      </c>
      <c r="K93" s="246"/>
      <c r="L93" s="247"/>
      <c r="M93" s="246"/>
      <c r="N93" s="246">
        <v>440</v>
      </c>
      <c r="O93" s="246"/>
      <c r="P93" s="246"/>
      <c r="Q93" s="246"/>
      <c r="R93" s="246">
        <v>220</v>
      </c>
      <c r="S93" s="137">
        <f t="shared" si="20"/>
        <v>660</v>
      </c>
      <c r="T93" s="137">
        <f t="shared" si="21"/>
        <v>0</v>
      </c>
      <c r="U93" s="135">
        <f>IF(J93=0,(S93+T93/EERR!$D$2/1.19),(S93+T93/EERR!$D$2/1.19)/J93)</f>
        <v>220</v>
      </c>
      <c r="V93" s="137">
        <f>T93+S93*EERR!$D$2</f>
        <v>512509.8</v>
      </c>
      <c r="W93" s="132">
        <f ca="1">SUMIF(Siteminder!$A$5:$J$164,Nov!G93,Siteminder!$M$5:$M$164)</f>
        <v>3</v>
      </c>
      <c r="X93" s="250">
        <f>SUMIF(Transbank!$A$2:$A$462,B93,Transbank!$L$2:$L$462)+SUMIF(Transbank!$A$2:$A$462,C93,Transbank!$L$2:$L$462)+SUMIF(Transbank!$A$2:$A$462,D93,Transbank!$L$2:$L$462)+(K93+O93)+(L93+P93)*EERR!$D$2</f>
        <v>512509.80000000005</v>
      </c>
      <c r="Y93" s="252">
        <f>X93/EERR!$D$2</f>
        <v>660.00000000000011</v>
      </c>
      <c r="Z93" s="260">
        <f t="shared" si="19"/>
        <v>0</v>
      </c>
      <c r="AA93" s="132">
        <f>+Z93/EERR!$D$2</f>
        <v>0</v>
      </c>
    </row>
    <row r="94" spans="1:27" s="132" customFormat="1" x14ac:dyDescent="0.25">
      <c r="A94" s="243">
        <v>4236</v>
      </c>
      <c r="B94" s="276">
        <v>83</v>
      </c>
      <c r="C94" s="347">
        <v>224</v>
      </c>
      <c r="D94" s="276"/>
      <c r="E94" s="244" t="s">
        <v>1147</v>
      </c>
      <c r="F94" s="244" t="s">
        <v>209</v>
      </c>
      <c r="G94" s="244">
        <v>1231232021</v>
      </c>
      <c r="H94" s="245">
        <v>43789</v>
      </c>
      <c r="I94" s="245">
        <v>43795</v>
      </c>
      <c r="J94" s="244">
        <v>6</v>
      </c>
      <c r="K94" s="246"/>
      <c r="L94" s="247"/>
      <c r="M94" s="246"/>
      <c r="N94" s="246">
        <v>1100</v>
      </c>
      <c r="O94" s="246"/>
      <c r="P94" s="246"/>
      <c r="Q94" s="246"/>
      <c r="R94" s="246">
        <v>220</v>
      </c>
      <c r="S94" s="137">
        <f t="shared" si="20"/>
        <v>1320</v>
      </c>
      <c r="T94" s="137">
        <f t="shared" si="21"/>
        <v>0</v>
      </c>
      <c r="U94" s="135">
        <f>IF(J94=0,(S94+T94/EERR!$D$2/1.19),(S94+T94/EERR!$D$2/1.19)/J94)</f>
        <v>220</v>
      </c>
      <c r="V94" s="137">
        <f>T94+S94*EERR!$D$2</f>
        <v>1025019.6</v>
      </c>
      <c r="W94" s="132">
        <f ca="1">SUMIF(Siteminder!$A$5:$J$164,Nov!G94,Siteminder!$M$5:$M$164)</f>
        <v>6</v>
      </c>
      <c r="X94" s="250">
        <f>SUMIF(Transbank!$A$2:$A$462,B94,Transbank!$L$2:$L$462)+SUMIF(Transbank!$A$2:$A$462,C94,Transbank!$L$2:$L$462)+SUMIF(Transbank!$A$2:$A$462,D94,Transbank!$L$2:$L$462)+(K94+O94)+(L94+P94)*EERR!$D$2</f>
        <v>1025019.6</v>
      </c>
      <c r="Y94" s="252">
        <f>X94/EERR!$D$2</f>
        <v>1320</v>
      </c>
      <c r="Z94" s="260">
        <f t="shared" si="19"/>
        <v>0</v>
      </c>
      <c r="AA94" s="132">
        <f>+Z94/EERR!$D$2</f>
        <v>0</v>
      </c>
    </row>
    <row r="95" spans="1:27" s="132" customFormat="1" x14ac:dyDescent="0.25">
      <c r="A95" s="243">
        <v>4238</v>
      </c>
      <c r="B95" s="344">
        <v>208</v>
      </c>
      <c r="C95" s="344">
        <v>222</v>
      </c>
      <c r="D95" s="276"/>
      <c r="E95" s="244" t="s">
        <v>1148</v>
      </c>
      <c r="F95" s="244" t="s">
        <v>209</v>
      </c>
      <c r="G95" s="244">
        <v>1259633920</v>
      </c>
      <c r="H95" s="245">
        <v>43789</v>
      </c>
      <c r="I95" s="245">
        <v>43795</v>
      </c>
      <c r="J95" s="244">
        <v>6</v>
      </c>
      <c r="K95" s="246"/>
      <c r="L95" s="247"/>
      <c r="M95" s="246"/>
      <c r="N95" s="246">
        <v>1100</v>
      </c>
      <c r="O95" s="246"/>
      <c r="P95" s="246"/>
      <c r="Q95" s="246"/>
      <c r="R95" s="246">
        <v>220</v>
      </c>
      <c r="S95" s="137">
        <f t="shared" si="20"/>
        <v>1320</v>
      </c>
      <c r="T95" s="137">
        <f t="shared" si="21"/>
        <v>0</v>
      </c>
      <c r="U95" s="135">
        <f>IF(J95=0,(S95+T95/EERR!$D$2/1.19),(S95+T95/EERR!$D$2/1.19)/J95)</f>
        <v>220</v>
      </c>
      <c r="V95" s="137">
        <f>T95+S95*EERR!$D$2</f>
        <v>1025019.6</v>
      </c>
      <c r="W95" s="132">
        <f ca="1">SUMIF(Siteminder!$A$5:$J$164,Nov!G95,Siteminder!$M$5:$M$164)</f>
        <v>6</v>
      </c>
      <c r="X95" s="250">
        <f>SUMIF(Transbank!$A$2:$A$462,B95,Transbank!$L$2:$L$462)+SUMIF(Transbank!$A$2:$A$462,C95,Transbank!$L$2:$L$462)+SUMIF(Transbank!$A$2:$A$462,D95,Transbank!$L$2:$L$462)+(K95+O95)+(L95+P95)*EERR!$D$2</f>
        <v>1025019.6</v>
      </c>
      <c r="Y95" s="252">
        <f>X95/EERR!$D$2</f>
        <v>1320</v>
      </c>
      <c r="Z95" s="260">
        <f t="shared" si="19"/>
        <v>0</v>
      </c>
      <c r="AA95" s="132">
        <f>+Z95/EERR!$D$2</f>
        <v>0</v>
      </c>
    </row>
    <row r="96" spans="1:27" s="132" customFormat="1" x14ac:dyDescent="0.25">
      <c r="A96" s="243">
        <v>4228</v>
      </c>
      <c r="B96" s="276">
        <v>85</v>
      </c>
      <c r="C96" s="276">
        <v>81</v>
      </c>
      <c r="D96" s="276"/>
      <c r="E96" s="244" t="s">
        <v>1149</v>
      </c>
      <c r="F96" s="244" t="s">
        <v>209</v>
      </c>
      <c r="G96" s="244">
        <v>1317603713</v>
      </c>
      <c r="H96" s="245">
        <v>43790</v>
      </c>
      <c r="I96" s="245">
        <v>43792</v>
      </c>
      <c r="J96" s="244">
        <v>2</v>
      </c>
      <c r="K96" s="246"/>
      <c r="L96" s="247"/>
      <c r="M96" s="246"/>
      <c r="N96" s="246">
        <v>220</v>
      </c>
      <c r="O96" s="246"/>
      <c r="P96" s="246"/>
      <c r="Q96" s="246"/>
      <c r="R96" s="246">
        <v>220</v>
      </c>
      <c r="S96" s="137">
        <f t="shared" si="20"/>
        <v>440</v>
      </c>
      <c r="T96" s="137">
        <f t="shared" si="21"/>
        <v>0</v>
      </c>
      <c r="U96" s="135">
        <f>IF(J96=0,(S96+T96/EERR!$D$2/1.19),(S96+T96/EERR!$D$2/1.19)/J96)</f>
        <v>220</v>
      </c>
      <c r="V96" s="137">
        <f>T96+S96*EERR!$D$2</f>
        <v>341673.2</v>
      </c>
      <c r="W96" s="132">
        <f ca="1">SUMIF(Siteminder!$A$5:$J$164,Nov!G96,Siteminder!$M$5:$M$164)</f>
        <v>2</v>
      </c>
      <c r="X96" s="250">
        <f>SUMIF(Transbank!$A$2:$A$462,B96,Transbank!$L$2:$L$462)+SUMIF(Transbank!$A$2:$A$462,C96,Transbank!$L$2:$L$462)+SUMIF(Transbank!$A$2:$A$462,D96,Transbank!$L$2:$L$462)+(K96+O96)+(L96+P96)*EERR!$D$2</f>
        <v>341673.2</v>
      </c>
      <c r="Y96" s="252">
        <f>X96/EERR!$D$2</f>
        <v>440.00000000000006</v>
      </c>
      <c r="Z96" s="260">
        <f t="shared" si="19"/>
        <v>0</v>
      </c>
      <c r="AA96" s="132">
        <f>+Z96/EERR!$D$2</f>
        <v>0</v>
      </c>
    </row>
    <row r="97" spans="1:27" s="132" customFormat="1" x14ac:dyDescent="0.25">
      <c r="A97" s="243">
        <v>4242</v>
      </c>
      <c r="B97" s="276">
        <v>110</v>
      </c>
      <c r="C97" s="276"/>
      <c r="D97" s="276"/>
      <c r="E97" s="244" t="s">
        <v>1150</v>
      </c>
      <c r="F97" s="244" t="s">
        <v>209</v>
      </c>
      <c r="G97" s="244">
        <v>1345920553</v>
      </c>
      <c r="H97" s="245">
        <v>43795</v>
      </c>
      <c r="I97" s="245">
        <v>43802</v>
      </c>
      <c r="J97" s="244">
        <v>7</v>
      </c>
      <c r="K97" s="246"/>
      <c r="L97" s="247">
        <v>1276</v>
      </c>
      <c r="M97" s="246"/>
      <c r="N97" s="246"/>
      <c r="O97" s="246"/>
      <c r="P97" s="246"/>
      <c r="Q97" s="246"/>
      <c r="R97" s="246">
        <v>220</v>
      </c>
      <c r="S97" s="137">
        <f t="shared" si="20"/>
        <v>1496</v>
      </c>
      <c r="T97" s="137">
        <f t="shared" si="21"/>
        <v>0</v>
      </c>
      <c r="U97" s="135">
        <f>IF(J97=0,(S97+T97/EERR!$D$2/1.19),(S97+T97/EERR!$D$2/1.19)/J97)</f>
        <v>213.71428571428572</v>
      </c>
      <c r="V97" s="137">
        <f>T97+S97*EERR!$D$2</f>
        <v>1161688.8799999999</v>
      </c>
      <c r="W97" s="132">
        <f ca="1">SUMIF(Siteminder!$A$5:$J$164,Nov!G97,Siteminder!$M$5:$M$164)</f>
        <v>7</v>
      </c>
      <c r="X97" s="250">
        <f>SUMIF(Transbank!$A$2:$A$462,B97,Transbank!$L$2:$L$462)+SUMIF(Transbank!$A$2:$A$462,C97,Transbank!$L$2:$L$462)+SUMIF(Transbank!$A$2:$A$462,D97,Transbank!$L$2:$L$462)+(K97+O97)+(L97+P97)*EERR!$D$2</f>
        <v>1161688.8799999999</v>
      </c>
      <c r="Y97" s="252">
        <f>X97/EERR!$D$2</f>
        <v>1496</v>
      </c>
      <c r="Z97" s="260">
        <f t="shared" si="19"/>
        <v>0</v>
      </c>
      <c r="AA97" s="132">
        <f>+Z97/EERR!$D$2</f>
        <v>0</v>
      </c>
    </row>
    <row r="98" spans="1:27" s="132" customFormat="1" x14ac:dyDescent="0.25">
      <c r="A98" s="243">
        <v>4245</v>
      </c>
      <c r="B98" s="276">
        <v>165</v>
      </c>
      <c r="C98" s="344">
        <v>249</v>
      </c>
      <c r="D98" s="276"/>
      <c r="E98" s="244" t="s">
        <v>1151</v>
      </c>
      <c r="F98" s="244" t="s">
        <v>209</v>
      </c>
      <c r="G98" s="244">
        <v>1339863851</v>
      </c>
      <c r="H98" s="245">
        <v>43798</v>
      </c>
      <c r="I98" s="245">
        <v>43800</v>
      </c>
      <c r="J98" s="244">
        <v>2</v>
      </c>
      <c r="K98" s="246"/>
      <c r="L98" s="247"/>
      <c r="M98" s="246"/>
      <c r="N98" s="246">
        <v>220</v>
      </c>
      <c r="O98" s="246"/>
      <c r="P98" s="246"/>
      <c r="Q98" s="246"/>
      <c r="R98" s="246">
        <v>220</v>
      </c>
      <c r="S98" s="137">
        <f t="shared" si="20"/>
        <v>440</v>
      </c>
      <c r="T98" s="137">
        <f t="shared" si="21"/>
        <v>0</v>
      </c>
      <c r="U98" s="135">
        <f>IF(J98=0,(S98+T98/EERR!$D$2/1.19),(S98+T98/EERR!$D$2/1.19)/J98)</f>
        <v>220</v>
      </c>
      <c r="V98" s="137">
        <f>T98+S98*EERR!$D$2</f>
        <v>341673.2</v>
      </c>
      <c r="W98" s="132">
        <f ca="1">SUMIF(Siteminder!$A$5:$J$164,Nov!G98,Siteminder!$M$5:$M$164)</f>
        <v>2</v>
      </c>
      <c r="X98" s="250">
        <f>SUMIF(Transbank!$A$2:$A$462,B98,Transbank!$L$2:$L$462)+SUMIF(Transbank!$A$2:$A$462,C98,Transbank!$L$2:$L$462)+SUMIF(Transbank!$A$2:$A$462,D98,Transbank!$L$2:$L$462)+(K98+O98)+(L98+P98)*EERR!$D$2</f>
        <v>341673.2</v>
      </c>
      <c r="Y98" s="252">
        <f>X98/EERR!$D$2</f>
        <v>440.00000000000006</v>
      </c>
      <c r="Z98" s="260">
        <f t="shared" si="19"/>
        <v>0</v>
      </c>
      <c r="AA98" s="132">
        <f>+Z98/EERR!$D$2</f>
        <v>0</v>
      </c>
    </row>
    <row r="99" spans="1:27" s="132" customFormat="1" x14ac:dyDescent="0.25">
      <c r="A99" s="243">
        <v>4247</v>
      </c>
      <c r="B99" s="276">
        <v>128</v>
      </c>
      <c r="C99" s="344">
        <v>251</v>
      </c>
      <c r="D99" s="276"/>
      <c r="E99" s="244" t="s">
        <v>1152</v>
      </c>
      <c r="F99" s="244" t="s">
        <v>209</v>
      </c>
      <c r="G99" s="244">
        <v>1310759293</v>
      </c>
      <c r="H99" s="245">
        <v>43799</v>
      </c>
      <c r="I99" s="245">
        <v>43772</v>
      </c>
      <c r="J99" s="244">
        <v>3</v>
      </c>
      <c r="K99" s="246"/>
      <c r="L99" s="247"/>
      <c r="M99" s="246"/>
      <c r="N99" s="246">
        <v>440</v>
      </c>
      <c r="O99" s="246"/>
      <c r="P99" s="246"/>
      <c r="Q99" s="246"/>
      <c r="R99" s="246">
        <v>220</v>
      </c>
      <c r="S99" s="137">
        <f t="shared" si="20"/>
        <v>660</v>
      </c>
      <c r="T99" s="137">
        <f t="shared" si="21"/>
        <v>0</v>
      </c>
      <c r="U99" s="135">
        <f>IF(J99=0,(S99+T99/EERR!$D$2/1.19),(S99+T99/EERR!$D$2/1.19)/J99)</f>
        <v>220</v>
      </c>
      <c r="V99" s="137">
        <f>T99+S99*EERR!$D$2</f>
        <v>512509.8</v>
      </c>
      <c r="W99" s="132">
        <f ca="1">SUMIF(Siteminder!$A$5:$J$164,Nov!G99,Siteminder!$M$5:$M$164)</f>
        <v>3</v>
      </c>
      <c r="X99" s="250">
        <f>SUMIF(Transbank!$A$2:$A$462,B99,Transbank!$L$2:$L$462)+SUMIF(Transbank!$A$2:$A$462,C99,Transbank!$L$2:$L$462)+SUMIF(Transbank!$A$2:$A$462,D99,Transbank!$L$2:$L$462)+(K99+O99)+(L99+P99)*EERR!$D$2</f>
        <v>512509.80000000005</v>
      </c>
      <c r="Y99" s="252">
        <f>X99/EERR!$D$2</f>
        <v>660.00000000000011</v>
      </c>
      <c r="Z99" s="260">
        <f t="shared" si="19"/>
        <v>0</v>
      </c>
      <c r="AA99" s="132">
        <f>+Z99/EERR!$D$2</f>
        <v>0</v>
      </c>
    </row>
    <row r="100" spans="1:27" s="132" customFormat="1" x14ac:dyDescent="0.25">
      <c r="A100" s="243">
        <v>4248</v>
      </c>
      <c r="B100" s="344">
        <v>241</v>
      </c>
      <c r="C100" s="344">
        <v>254</v>
      </c>
      <c r="D100" s="276"/>
      <c r="E100" s="244" t="s">
        <v>1153</v>
      </c>
      <c r="F100" s="244" t="s">
        <v>209</v>
      </c>
      <c r="G100" s="244">
        <v>1386174455</v>
      </c>
      <c r="H100" s="245">
        <v>43799</v>
      </c>
      <c r="I100" s="245">
        <v>43801</v>
      </c>
      <c r="J100" s="244">
        <v>2</v>
      </c>
      <c r="K100" s="246"/>
      <c r="L100" s="247"/>
      <c r="M100" s="246"/>
      <c r="N100" s="246">
        <v>198</v>
      </c>
      <c r="O100" s="246"/>
      <c r="P100" s="246"/>
      <c r="Q100" s="246"/>
      <c r="R100" s="246">
        <v>220</v>
      </c>
      <c r="S100" s="137">
        <f t="shared" si="20"/>
        <v>418</v>
      </c>
      <c r="T100" s="137">
        <f t="shared" si="21"/>
        <v>0</v>
      </c>
      <c r="U100" s="135">
        <f>IF(J100=0,(S100+T100/EERR!$D$2/1.19),(S100+T100/EERR!$D$2/1.19)/J100)</f>
        <v>209</v>
      </c>
      <c r="V100" s="137">
        <f>T100+S100*EERR!$D$2</f>
        <v>324589.53999999998</v>
      </c>
      <c r="W100" s="132">
        <f ca="1">SUMIF(Siteminder!$A$5:$J$164,Nov!G100,Siteminder!$M$5:$M$164)</f>
        <v>2</v>
      </c>
      <c r="X100" s="250">
        <f>SUMIF(Transbank!$A$2:$A$462,B100,Transbank!$L$2:$L$462)+SUMIF(Transbank!$A$2:$A$462,C100,Transbank!$L$2:$L$462)+SUMIF(Transbank!$A$2:$A$462,D100,Transbank!$L$2:$L$462)+(K100+O100)+(L100+P100)*EERR!$D$2</f>
        <v>324589.54000000004</v>
      </c>
      <c r="Y100" s="252">
        <f>X100/EERR!$D$2</f>
        <v>418.00000000000006</v>
      </c>
      <c r="Z100" s="260">
        <f t="shared" si="19"/>
        <v>0</v>
      </c>
      <c r="AA100" s="132">
        <f>+Z100/EERR!$D$2</f>
        <v>0</v>
      </c>
    </row>
    <row r="101" spans="1:27" s="132" customFormat="1" x14ac:dyDescent="0.25">
      <c r="A101" s="243">
        <v>4249</v>
      </c>
      <c r="B101" s="344">
        <v>255</v>
      </c>
      <c r="C101" s="344"/>
      <c r="D101" s="276"/>
      <c r="E101" s="244" t="s">
        <v>1154</v>
      </c>
      <c r="F101" s="244" t="s">
        <v>209</v>
      </c>
      <c r="G101" s="244">
        <v>1311649384</v>
      </c>
      <c r="H101" s="245">
        <v>43799</v>
      </c>
      <c r="I101" s="245">
        <v>43802</v>
      </c>
      <c r="J101" s="244">
        <v>3</v>
      </c>
      <c r="K101" s="246"/>
      <c r="L101" s="247"/>
      <c r="M101" s="246"/>
      <c r="N101" s="246">
        <v>660</v>
      </c>
      <c r="O101" s="246"/>
      <c r="P101" s="246"/>
      <c r="Q101" s="246"/>
      <c r="R101" s="246"/>
      <c r="S101" s="137">
        <f t="shared" ref="S101:S110" si="22">L101+N101+P101+R101</f>
        <v>660</v>
      </c>
      <c r="T101" s="137">
        <f t="shared" ref="T101:T110" si="23">M101+O101+K101+Q101</f>
        <v>0</v>
      </c>
      <c r="U101" s="135">
        <f>IF(J101=0,(S101+T101/EERR!$D$2/1.19),(S101+T101/EERR!$D$2/1.19)/J101)</f>
        <v>220</v>
      </c>
      <c r="V101" s="137">
        <f>T101+S101*EERR!$D$2</f>
        <v>512509.8</v>
      </c>
      <c r="W101" s="132">
        <f ca="1">SUMIF(Siteminder!$A$5:$J$164,Nov!G101,Siteminder!$M$5:$M$164)</f>
        <v>3</v>
      </c>
      <c r="X101" s="250">
        <f>SUMIF(Transbank!$A$2:$A$462,B101,Transbank!$L$2:$L$462)+SUMIF(Transbank!$A$2:$A$462,C101,Transbank!$L$2:$L$462)+SUMIF(Transbank!$A$2:$A$462,D101,Transbank!$L$2:$L$462)+(K101+O101)+(L101+P101)*EERR!$D$2</f>
        <v>512509.8</v>
      </c>
      <c r="Y101" s="252">
        <f>X101/EERR!$D$2</f>
        <v>660</v>
      </c>
      <c r="Z101" s="260">
        <f t="shared" si="19"/>
        <v>0</v>
      </c>
      <c r="AA101" s="132">
        <f>+Z101/EERR!$D$2</f>
        <v>0</v>
      </c>
    </row>
    <row r="102" spans="1:27" s="132" customFormat="1" x14ac:dyDescent="0.25">
      <c r="A102" s="243"/>
      <c r="B102" s="276"/>
      <c r="C102" s="276"/>
      <c r="D102" s="276"/>
      <c r="E102" s="244"/>
      <c r="F102" s="244"/>
      <c r="G102" s="244"/>
      <c r="H102" s="245"/>
      <c r="I102" s="245"/>
      <c r="J102" s="244"/>
      <c r="K102" s="246"/>
      <c r="L102" s="247"/>
      <c r="M102" s="246"/>
      <c r="N102" s="246"/>
      <c r="O102" s="246"/>
      <c r="P102" s="246"/>
      <c r="Q102" s="246"/>
      <c r="R102" s="246"/>
      <c r="S102" s="137">
        <f t="shared" si="22"/>
        <v>0</v>
      </c>
      <c r="T102" s="137">
        <f t="shared" si="23"/>
        <v>0</v>
      </c>
      <c r="U102" s="135">
        <f>IF(J102=0,(S102+T102/EERR!$D$2/1.19),(S102+T102/EERR!$D$2/1.19)/J102)</f>
        <v>0</v>
      </c>
      <c r="V102" s="137">
        <f>T102+S102*EERR!$D$2</f>
        <v>0</v>
      </c>
      <c r="W102" s="132">
        <f ca="1">SUMIF(Siteminder!$A$5:$J$164,Nov!G102,Siteminder!$M$5:$M$164)</f>
        <v>0</v>
      </c>
      <c r="X102" s="250">
        <f>SUMIF(Transbank!$A$2:$A$462,B102,Transbank!$L$2:$L$462)+SUMIF(Transbank!$A$2:$A$462,C102,Transbank!$L$2:$L$462)+SUMIF(Transbank!$A$2:$A$462,D102,Transbank!$L$2:$L$462)+(K102+O102)+(L102+P102)*EERR!$D$2</f>
        <v>0</v>
      </c>
      <c r="Y102" s="252">
        <f>X102/EERR!$D$2</f>
        <v>0</v>
      </c>
      <c r="Z102" s="260">
        <f t="shared" si="19"/>
        <v>0</v>
      </c>
      <c r="AA102" s="132">
        <f>+Z102/EERR!$D$2</f>
        <v>0</v>
      </c>
    </row>
    <row r="103" spans="1:27" s="132" customFormat="1" x14ac:dyDescent="0.25">
      <c r="A103" s="243"/>
      <c r="B103" s="276"/>
      <c r="C103" s="276"/>
      <c r="D103" s="276"/>
      <c r="E103" s="244"/>
      <c r="F103" s="244"/>
      <c r="G103" s="244"/>
      <c r="H103" s="245"/>
      <c r="I103" s="245"/>
      <c r="J103" s="244"/>
      <c r="K103" s="246"/>
      <c r="L103" s="247"/>
      <c r="M103" s="246"/>
      <c r="N103" s="246"/>
      <c r="O103" s="246"/>
      <c r="P103" s="246"/>
      <c r="Q103" s="246"/>
      <c r="R103" s="246"/>
      <c r="S103" s="137">
        <f t="shared" si="22"/>
        <v>0</v>
      </c>
      <c r="T103" s="137">
        <f t="shared" si="23"/>
        <v>0</v>
      </c>
      <c r="U103" s="135">
        <f>IF(J103=0,(S103+T103/EERR!$D$2/1.19),(S103+T103/EERR!$D$2/1.19)/J103)</f>
        <v>0</v>
      </c>
      <c r="V103" s="137">
        <f>T103+S103*EERR!$D$2</f>
        <v>0</v>
      </c>
      <c r="W103" s="132">
        <f ca="1">SUMIF(Siteminder!$A$5:$J$164,Nov!G103,Siteminder!$M$5:$M$164)</f>
        <v>0</v>
      </c>
      <c r="X103" s="250">
        <f>SUMIF(Transbank!$A$2:$A$462,B103,Transbank!$L$2:$L$462)+SUMIF(Transbank!$A$2:$A$462,C103,Transbank!$L$2:$L$462)+SUMIF(Transbank!$A$2:$A$462,D103,Transbank!$L$2:$L$462)+(K103+O103)+(L103+P103)*EERR!$D$2</f>
        <v>0</v>
      </c>
      <c r="Y103" s="252">
        <f>X103/EERR!$D$2</f>
        <v>0</v>
      </c>
      <c r="Z103" s="260">
        <f t="shared" si="19"/>
        <v>0</v>
      </c>
    </row>
    <row r="104" spans="1:27" s="132" customFormat="1" x14ac:dyDescent="0.25">
      <c r="A104" s="243"/>
      <c r="B104" s="276"/>
      <c r="C104" s="276"/>
      <c r="D104" s="276"/>
      <c r="E104" s="244"/>
      <c r="F104" s="244"/>
      <c r="G104" s="244"/>
      <c r="H104" s="245"/>
      <c r="I104" s="245"/>
      <c r="J104" s="244"/>
      <c r="K104" s="246"/>
      <c r="L104" s="247"/>
      <c r="M104" s="246"/>
      <c r="N104" s="246"/>
      <c r="O104" s="246"/>
      <c r="P104" s="246"/>
      <c r="Q104" s="246"/>
      <c r="R104" s="246"/>
      <c r="S104" s="137">
        <f t="shared" si="22"/>
        <v>0</v>
      </c>
      <c r="T104" s="137">
        <f t="shared" si="23"/>
        <v>0</v>
      </c>
      <c r="U104" s="135">
        <f>IF(J104=0,(S104+T104/EERR!$D$2/1.19),(S104+T104/EERR!$D$2/1.19)/J104)</f>
        <v>0</v>
      </c>
      <c r="V104" s="137">
        <f>T104+S104*EERR!$D$2</f>
        <v>0</v>
      </c>
      <c r="W104" s="132">
        <f ca="1">SUMIF(Siteminder!$A$5:$J$164,Nov!G104,Siteminder!$M$5:$M$164)</f>
        <v>0</v>
      </c>
      <c r="X104" s="250">
        <f>SUMIF(Transbank!$A$2:$A$462,B104,Transbank!$L$2:$L$462)+SUMIF(Transbank!$A$2:$A$462,C104,Transbank!$L$2:$L$462)+SUMIF(Transbank!$A$2:$A$462,D104,Transbank!$L$2:$L$462)+(K104+O104)+(L104+P104)*EERR!$D$2</f>
        <v>0</v>
      </c>
      <c r="Y104" s="252">
        <f>X104/EERR!$D$2</f>
        <v>0</v>
      </c>
      <c r="Z104" s="260">
        <f t="shared" si="19"/>
        <v>0</v>
      </c>
    </row>
    <row r="105" spans="1:27" s="132" customFormat="1" x14ac:dyDescent="0.25">
      <c r="A105" s="243"/>
      <c r="B105" s="276"/>
      <c r="C105" s="276"/>
      <c r="D105" s="276"/>
      <c r="E105" s="244"/>
      <c r="F105" s="244"/>
      <c r="G105" s="244"/>
      <c r="H105" s="245"/>
      <c r="I105" s="245"/>
      <c r="J105" s="244"/>
      <c r="K105" s="246"/>
      <c r="L105" s="247"/>
      <c r="M105" s="246"/>
      <c r="N105" s="246"/>
      <c r="O105" s="246"/>
      <c r="P105" s="246"/>
      <c r="Q105" s="246"/>
      <c r="R105" s="246"/>
      <c r="S105" s="137">
        <f t="shared" si="22"/>
        <v>0</v>
      </c>
      <c r="T105" s="137">
        <f t="shared" si="23"/>
        <v>0</v>
      </c>
      <c r="U105" s="135">
        <f>IF(J105=0,(S105+T105/EERR!$D$2/1.19),(S105+T105/EERR!$D$2/1.19)/J105)</f>
        <v>0</v>
      </c>
      <c r="V105" s="137">
        <f>T105+S105*EERR!$D$2</f>
        <v>0</v>
      </c>
      <c r="W105" s="132">
        <f ca="1">SUMIF(Siteminder!$A$5:$J$164,Nov!G105,Siteminder!$M$5:$M$164)</f>
        <v>0</v>
      </c>
      <c r="X105" s="250">
        <f>SUMIF(Transbank!$A$2:$A$462,B105,Transbank!$L$2:$L$462)+SUMIF(Transbank!$A$2:$A$462,C105,Transbank!$L$2:$L$462)+SUMIF(Transbank!$A$2:$A$462,D105,Transbank!$L$2:$L$462)+(K105+O105)+(L105+P105)*EERR!$D$2</f>
        <v>0</v>
      </c>
      <c r="Y105" s="252">
        <f>X105/EERR!$D$2</f>
        <v>0</v>
      </c>
      <c r="Z105" s="260">
        <f t="shared" si="19"/>
        <v>0</v>
      </c>
    </row>
    <row r="106" spans="1:27" s="132" customFormat="1" x14ac:dyDescent="0.25">
      <c r="A106" s="243"/>
      <c r="B106" s="276"/>
      <c r="C106" s="276"/>
      <c r="D106" s="276"/>
      <c r="E106" s="244"/>
      <c r="F106" s="244"/>
      <c r="G106" s="244"/>
      <c r="H106" s="245"/>
      <c r="I106" s="245"/>
      <c r="J106" s="244"/>
      <c r="K106" s="246"/>
      <c r="L106" s="247"/>
      <c r="M106" s="246"/>
      <c r="N106" s="246"/>
      <c r="O106" s="246"/>
      <c r="P106" s="246"/>
      <c r="Q106" s="246"/>
      <c r="R106" s="246"/>
      <c r="S106" s="137">
        <f t="shared" si="22"/>
        <v>0</v>
      </c>
      <c r="T106" s="137">
        <f t="shared" si="23"/>
        <v>0</v>
      </c>
      <c r="U106" s="135">
        <f>IF(J106=0,(S106+T106/EERR!$D$2/1.19),(S106+T106/EERR!$D$2/1.19)/J106)</f>
        <v>0</v>
      </c>
      <c r="V106" s="137">
        <f>T106+S106*EERR!$D$2</f>
        <v>0</v>
      </c>
      <c r="W106" s="132">
        <f ca="1">SUMIF(Siteminder!$A$5:$J$164,Nov!G106,Siteminder!$M$5:$M$164)</f>
        <v>0</v>
      </c>
      <c r="X106" s="250">
        <f>SUMIF(Transbank!$A$2:$A$462,B106,Transbank!$L$2:$L$462)+SUMIF(Transbank!$A$2:$A$462,C106,Transbank!$L$2:$L$462)+SUMIF(Transbank!$A$2:$A$462,D106,Transbank!$L$2:$L$462)+(K106+O106)+(L106+P106)*EERR!$D$2</f>
        <v>0</v>
      </c>
      <c r="Y106" s="252">
        <f>X106/EERR!$D$2</f>
        <v>0</v>
      </c>
      <c r="Z106" s="260">
        <f t="shared" si="19"/>
        <v>0</v>
      </c>
    </row>
    <row r="107" spans="1:27" s="132" customFormat="1" x14ac:dyDescent="0.25">
      <c r="A107" s="243"/>
      <c r="B107" s="276"/>
      <c r="C107" s="276"/>
      <c r="D107" s="276"/>
      <c r="E107" s="244"/>
      <c r="F107" s="244"/>
      <c r="G107" s="244"/>
      <c r="H107" s="245"/>
      <c r="I107" s="245"/>
      <c r="J107" s="244"/>
      <c r="K107" s="246"/>
      <c r="L107" s="247"/>
      <c r="M107" s="246"/>
      <c r="N107" s="246"/>
      <c r="O107" s="246"/>
      <c r="P107" s="246"/>
      <c r="Q107" s="246"/>
      <c r="R107" s="246"/>
      <c r="S107" s="137">
        <f t="shared" si="22"/>
        <v>0</v>
      </c>
      <c r="T107" s="137">
        <f t="shared" si="23"/>
        <v>0</v>
      </c>
      <c r="U107" s="135">
        <f>IF(J107=0,(S107+T107/EERR!$D$2/1.19),(S107+T107/EERR!$D$2/1.19)/J107)</f>
        <v>0</v>
      </c>
      <c r="V107" s="137">
        <f>T107+S107*EERR!$D$2</f>
        <v>0</v>
      </c>
      <c r="W107" s="132">
        <f ca="1">SUMIF(Siteminder!$A$5:$J$164,Nov!G107,Siteminder!$M$5:$M$164)</f>
        <v>0</v>
      </c>
      <c r="X107" s="250">
        <f>SUMIF(Transbank!$A$2:$A$462,B107,Transbank!$L$2:$L$462)+SUMIF(Transbank!$A$2:$A$462,C107,Transbank!$L$2:$L$462)+SUMIF(Transbank!$A$2:$A$462,D107,Transbank!$L$2:$L$462)+(K107+O107)+(L107+P107)*EERR!$D$2</f>
        <v>0</v>
      </c>
      <c r="Y107" s="252">
        <f>X107/EERR!$D$2</f>
        <v>0</v>
      </c>
      <c r="Z107" s="260">
        <f t="shared" si="19"/>
        <v>0</v>
      </c>
    </row>
    <row r="108" spans="1:27" s="132" customFormat="1" x14ac:dyDescent="0.25">
      <c r="A108" s="243"/>
      <c r="B108" s="276"/>
      <c r="C108" s="276"/>
      <c r="D108" s="276"/>
      <c r="E108" s="244"/>
      <c r="F108" s="244"/>
      <c r="G108" s="244"/>
      <c r="H108" s="245"/>
      <c r="I108" s="245"/>
      <c r="J108" s="244"/>
      <c r="K108" s="246"/>
      <c r="L108" s="247"/>
      <c r="M108" s="246"/>
      <c r="N108" s="246"/>
      <c r="O108" s="246"/>
      <c r="P108" s="246"/>
      <c r="Q108" s="246"/>
      <c r="R108" s="246"/>
      <c r="S108" s="137">
        <f t="shared" si="22"/>
        <v>0</v>
      </c>
      <c r="T108" s="137">
        <f t="shared" si="23"/>
        <v>0</v>
      </c>
      <c r="U108" s="135">
        <f>IF(J108=0,(S108+T108/EERR!$D$2/1.19),(S108+T108/EERR!$D$2/1.19)/J108)</f>
        <v>0</v>
      </c>
      <c r="V108" s="137">
        <f>T108+S108*EERR!$D$2</f>
        <v>0</v>
      </c>
      <c r="W108" s="132">
        <f ca="1">SUMIF(Siteminder!$A$5:$J$164,Nov!G108,Siteminder!$M$5:$M$164)</f>
        <v>0</v>
      </c>
      <c r="X108" s="250">
        <f>SUMIF(Transbank!$A$2:$A$462,B108,Transbank!$L$2:$L$462)+SUMIF(Transbank!$A$2:$A$462,C108,Transbank!$L$2:$L$462)+SUMIF(Transbank!$A$2:$A$462,D108,Transbank!$L$2:$L$462)+(K108+O108)+(L108+P108)*EERR!$D$2</f>
        <v>0</v>
      </c>
      <c r="Y108" s="252">
        <f>X108/EERR!$D$2</f>
        <v>0</v>
      </c>
      <c r="Z108" s="260">
        <f t="shared" si="19"/>
        <v>0</v>
      </c>
    </row>
    <row r="109" spans="1:27" s="132" customFormat="1" x14ac:dyDescent="0.25">
      <c r="A109" s="243"/>
      <c r="B109" s="276"/>
      <c r="C109" s="276"/>
      <c r="D109" s="276"/>
      <c r="E109" s="244"/>
      <c r="F109" s="244"/>
      <c r="G109" s="244"/>
      <c r="H109" s="245"/>
      <c r="I109" s="245"/>
      <c r="J109" s="244"/>
      <c r="K109" s="246"/>
      <c r="L109" s="247"/>
      <c r="M109" s="246"/>
      <c r="N109" s="246"/>
      <c r="O109" s="246"/>
      <c r="P109" s="246"/>
      <c r="Q109" s="246"/>
      <c r="R109" s="246"/>
      <c r="S109" s="137">
        <f t="shared" si="22"/>
        <v>0</v>
      </c>
      <c r="T109" s="137">
        <f t="shared" si="23"/>
        <v>0</v>
      </c>
      <c r="U109" s="135">
        <f>IF(J109=0,(S109+T109/EERR!$D$2/1.19),(S109+T109/EERR!$D$2/1.19)/J109)</f>
        <v>0</v>
      </c>
      <c r="V109" s="137">
        <f>T109+S109*EERR!$D$2</f>
        <v>0</v>
      </c>
      <c r="W109" s="132">
        <f ca="1">SUMIF(Siteminder!$A$5:$J$164,Nov!G109,Siteminder!$M$5:$M$164)</f>
        <v>0</v>
      </c>
      <c r="X109" s="250">
        <f>SUMIF(Transbank!$A$2:$A$462,B109,Transbank!$L$2:$L$462)+SUMIF(Transbank!$A$2:$A$462,C109,Transbank!$L$2:$L$462)+SUMIF(Transbank!$A$2:$A$462,D109,Transbank!$L$2:$L$462)+(K109+O109)+(L109+P109)*EERR!$D$2</f>
        <v>0</v>
      </c>
      <c r="Y109" s="252">
        <f>X109/EERR!$D$2</f>
        <v>0</v>
      </c>
      <c r="Z109" s="260">
        <f t="shared" si="19"/>
        <v>0</v>
      </c>
    </row>
    <row r="110" spans="1:27" s="132" customFormat="1" x14ac:dyDescent="0.25">
      <c r="A110" s="243"/>
      <c r="B110" s="276"/>
      <c r="C110" s="276"/>
      <c r="D110" s="276"/>
      <c r="E110" s="244"/>
      <c r="F110" s="244"/>
      <c r="G110" s="244"/>
      <c r="H110" s="245"/>
      <c r="I110" s="245"/>
      <c r="J110" s="244"/>
      <c r="K110" s="246"/>
      <c r="L110" s="247"/>
      <c r="M110" s="246"/>
      <c r="N110" s="246"/>
      <c r="O110" s="246"/>
      <c r="P110" s="246"/>
      <c r="Q110" s="246"/>
      <c r="R110" s="246"/>
      <c r="S110" s="137">
        <f t="shared" si="22"/>
        <v>0</v>
      </c>
      <c r="T110" s="137">
        <f t="shared" si="23"/>
        <v>0</v>
      </c>
      <c r="U110" s="135">
        <f>IF(J110=0,(S110+T110/EERR!$D$2/1.19),(S110+T110/EERR!$D$2/1.19)/J110)</f>
        <v>0</v>
      </c>
      <c r="V110" s="137">
        <f>T110+S110*EERR!$D$2</f>
        <v>0</v>
      </c>
      <c r="W110" s="132">
        <f ca="1">SUMIF(Siteminder!$A$5:$J$164,Nov!G110,Siteminder!$M$5:$M$164)</f>
        <v>0</v>
      </c>
      <c r="X110" s="250">
        <f>SUMIF(Transbank!$A$2:$A$462,B110,Transbank!$L$2:$L$462)+SUMIF(Transbank!$A$2:$A$462,C110,Transbank!$L$2:$L$462)+SUMIF(Transbank!$A$2:$A$462,D110,Transbank!$L$2:$L$462)+(K110+O110)+(L110+P110)*EERR!$D$2</f>
        <v>0</v>
      </c>
      <c r="Y110" s="252">
        <f>X110/EERR!$D$2</f>
        <v>0</v>
      </c>
      <c r="Z110" s="260">
        <f t="shared" si="19"/>
        <v>0</v>
      </c>
    </row>
    <row r="111" spans="1:27" ht="12.75" x14ac:dyDescent="0.2">
      <c r="A111" s="227"/>
      <c r="B111" s="227"/>
      <c r="C111" s="227"/>
      <c r="D111" s="227"/>
      <c r="E111" s="227"/>
      <c r="F111" s="227"/>
      <c r="G111" s="227"/>
      <c r="H111" s="228"/>
      <c r="I111" s="228"/>
      <c r="J111" s="227">
        <f>SUM(J88:J110)</f>
        <v>46</v>
      </c>
      <c r="K111" s="227">
        <f t="shared" ref="K111:Q111" si="24">SUM(K88:K110)</f>
        <v>0</v>
      </c>
      <c r="L111" s="227">
        <f t="shared" si="24"/>
        <v>1506</v>
      </c>
      <c r="M111" s="227">
        <f t="shared" si="24"/>
        <v>0</v>
      </c>
      <c r="N111" s="227">
        <f t="shared" si="24"/>
        <v>5748</v>
      </c>
      <c r="O111" s="227">
        <f t="shared" si="24"/>
        <v>0</v>
      </c>
      <c r="P111" s="227">
        <f t="shared" si="24"/>
        <v>0</v>
      </c>
      <c r="Q111" s="227">
        <f t="shared" si="24"/>
        <v>0</v>
      </c>
      <c r="R111" s="227"/>
      <c r="S111" s="227">
        <f>SUM(S88:S110)</f>
        <v>10154</v>
      </c>
      <c r="T111" s="227">
        <f>SUM(T88:T110)</f>
        <v>0</v>
      </c>
      <c r="U111" s="233">
        <f>IF(J111=0,(S111+T111/EERR!$D$2/1.19),(S111+T111/EERR!$D$2/1.19)/J111)</f>
        <v>220.7391304347826</v>
      </c>
      <c r="V111" s="227">
        <f>SUM(V88:V110)</f>
        <v>7884885.6200000001</v>
      </c>
      <c r="W111" s="233">
        <f ca="1">SUM(W88:W110)</f>
        <v>46</v>
      </c>
      <c r="X111" s="233">
        <f>SUM(X88:X110)</f>
        <v>7884885.6200000001</v>
      </c>
      <c r="Y111" s="233"/>
    </row>
    <row r="112" spans="1:27" s="132" customFormat="1" x14ac:dyDescent="0.25">
      <c r="A112" s="133"/>
      <c r="B112" s="227"/>
      <c r="C112" s="227"/>
      <c r="D112" s="227"/>
      <c r="E112" s="133"/>
      <c r="F112" s="133"/>
      <c r="G112" s="133"/>
      <c r="H112" s="134"/>
      <c r="I112" s="134"/>
      <c r="J112" s="133"/>
      <c r="K112" s="135"/>
      <c r="L112" s="136"/>
      <c r="M112" s="135"/>
      <c r="N112" s="135"/>
      <c r="O112" s="135"/>
      <c r="P112" s="135"/>
      <c r="Q112" s="135"/>
      <c r="R112" s="135"/>
      <c r="S112" s="137"/>
      <c r="T112" s="137"/>
      <c r="U112" s="135">
        <f>IF(J112=0,(S112+T112/EERR!$D$2/1.19),(S112+T112/EERR!$D$2/1.19)/J112)</f>
        <v>0</v>
      </c>
      <c r="V112" s="133"/>
      <c r="X112" s="141"/>
      <c r="Y112" s="141"/>
    </row>
    <row r="113" spans="1:25" x14ac:dyDescent="0.25">
      <c r="A113" s="234"/>
      <c r="B113" s="277"/>
      <c r="C113" s="277"/>
      <c r="D113" s="277"/>
      <c r="E113" s="234" t="s">
        <v>226</v>
      </c>
      <c r="F113" s="234"/>
      <c r="G113" s="234"/>
      <c r="H113" s="235"/>
      <c r="I113" s="235"/>
      <c r="J113" s="234"/>
      <c r="K113" s="236"/>
      <c r="L113" s="237"/>
      <c r="M113" s="236"/>
      <c r="N113" s="236"/>
      <c r="O113" s="236"/>
      <c r="P113" s="236"/>
      <c r="Q113" s="236"/>
      <c r="R113" s="236"/>
      <c r="S113" s="238"/>
      <c r="T113" s="238">
        <f t="shared" ref="T113" si="25">M113+O113+K113</f>
        <v>0</v>
      </c>
      <c r="U113" s="236">
        <f>IF(J113=0,(S113+T113/EERR!$D$2/1.19),(S113+T113/EERR!$D$2/1.19)/J113)</f>
        <v>0</v>
      </c>
      <c r="V113" s="234"/>
      <c r="X113" s="141">
        <f>IF((M113+N113)&gt;0,SUMIF(Transbank!$A$2:$A$181,Nov!A113,Transbank!$L$2:$L$181),K113+(L113+Nov!P113)*EERR!$D$2+Nov!O113)</f>
        <v>0</v>
      </c>
      <c r="Y113" s="141">
        <f>X113/EERR!$D$2</f>
        <v>0</v>
      </c>
    </row>
    <row r="114" spans="1:25" x14ac:dyDescent="0.25">
      <c r="A114" s="227"/>
      <c r="B114" s="227"/>
      <c r="C114" s="227"/>
      <c r="D114" s="227"/>
      <c r="E114" s="227"/>
      <c r="F114" s="227"/>
      <c r="G114" s="227"/>
      <c r="H114" s="228"/>
      <c r="I114" s="228"/>
      <c r="J114" s="233">
        <f t="shared" ref="J114:T114" si="26">SUM(J113:J113)</f>
        <v>0</v>
      </c>
      <c r="K114" s="233">
        <f t="shared" si="26"/>
        <v>0</v>
      </c>
      <c r="L114" s="233">
        <f t="shared" si="26"/>
        <v>0</v>
      </c>
      <c r="M114" s="233">
        <f t="shared" si="26"/>
        <v>0</v>
      </c>
      <c r="N114" s="233">
        <f>SUM(N112:N113)</f>
        <v>0</v>
      </c>
      <c r="O114" s="233">
        <f t="shared" si="26"/>
        <v>0</v>
      </c>
      <c r="P114" s="233">
        <f t="shared" si="26"/>
        <v>0</v>
      </c>
      <c r="Q114" s="233"/>
      <c r="R114" s="233"/>
      <c r="S114" s="233">
        <f t="shared" si="26"/>
        <v>0</v>
      </c>
      <c r="T114" s="233">
        <f t="shared" si="26"/>
        <v>0</v>
      </c>
      <c r="U114" s="239"/>
      <c r="V114" s="233"/>
      <c r="W114" s="227"/>
      <c r="X114" s="240"/>
      <c r="Y114" s="240"/>
    </row>
    <row r="115" spans="1:25" x14ac:dyDescent="0.25">
      <c r="A115" s="227"/>
      <c r="B115" s="227"/>
      <c r="C115" s="227"/>
      <c r="D115" s="227"/>
      <c r="E115" s="241"/>
      <c r="F115" s="241"/>
      <c r="G115" s="241"/>
      <c r="H115" s="242">
        <f>H66+H87+H111</f>
        <v>0</v>
      </c>
      <c r="I115" s="242">
        <f>I66+I87+I111</f>
        <v>0</v>
      </c>
      <c r="J115" s="242">
        <f>J66+J87+J111+J114</f>
        <v>251</v>
      </c>
      <c r="K115" s="242">
        <f t="shared" ref="K115:S115" si="27">K66+K87+K111+K114</f>
        <v>0</v>
      </c>
      <c r="L115" s="242">
        <f t="shared" si="27"/>
        <v>8593</v>
      </c>
      <c r="M115" s="242">
        <f t="shared" si="27"/>
        <v>606511</v>
      </c>
      <c r="N115" s="242">
        <f t="shared" si="27"/>
        <v>28422</v>
      </c>
      <c r="O115" s="242">
        <f t="shared" si="27"/>
        <v>541690</v>
      </c>
      <c r="P115" s="242">
        <f t="shared" si="27"/>
        <v>1045</v>
      </c>
      <c r="Q115" s="242">
        <f t="shared" si="27"/>
        <v>179071</v>
      </c>
      <c r="R115" s="242">
        <f t="shared" si="27"/>
        <v>2536.5</v>
      </c>
      <c r="S115" s="242">
        <f t="shared" si="27"/>
        <v>52369.5</v>
      </c>
      <c r="T115" s="242">
        <f>(T66+T87+T111+T114)/1.19</f>
        <v>1438369.7478991598</v>
      </c>
      <c r="U115" s="242">
        <f>(U66*J66+U87*J87+U111*J111)/J115</f>
        <v>216.02312413590667</v>
      </c>
      <c r="V115" s="242">
        <f>V66+V87+V111</f>
        <v>42378147.834999993</v>
      </c>
      <c r="W115" s="242">
        <f ca="1">W66+W87+W111+W114</f>
        <v>250</v>
      </c>
      <c r="X115" s="240">
        <f>X66+X87+X111</f>
        <v>42024050.154999994</v>
      </c>
      <c r="Y115" s="240"/>
    </row>
    <row r="116" spans="1:25" ht="12.75" x14ac:dyDescent="0.2">
      <c r="A116" s="227"/>
      <c r="B116" s="227"/>
      <c r="C116" s="227"/>
      <c r="D116" s="227"/>
      <c r="E116" s="227"/>
      <c r="F116" s="227"/>
      <c r="G116" s="227"/>
      <c r="H116" s="233"/>
      <c r="I116" s="233"/>
      <c r="J116" s="233"/>
      <c r="K116" s="233">
        <f>(K115)/EERR!$D$2</f>
        <v>0</v>
      </c>
      <c r="L116" s="233">
        <f>L115</f>
        <v>8593</v>
      </c>
      <c r="M116" s="233">
        <f>(M115)/EERR!$D$2</f>
        <v>781.05288913499805</v>
      </c>
      <c r="N116" s="233">
        <f>N115</f>
        <v>28422</v>
      </c>
      <c r="O116" s="233">
        <f>(O115)/EERR!$D$2</f>
        <v>697.57768534377294</v>
      </c>
      <c r="P116" s="233">
        <f>(P115)/EERR!$D$2</f>
        <v>1.3457303645705898</v>
      </c>
      <c r="Q116" s="233"/>
      <c r="R116" s="233"/>
      <c r="S116" s="233">
        <f>S115+S114</f>
        <v>52369.5</v>
      </c>
      <c r="T116" s="233">
        <f>(T115)/EERR!D2</f>
        <v>1852.3041581125776</v>
      </c>
      <c r="U116" s="233">
        <f>U115+U114</f>
        <v>216.02312413590667</v>
      </c>
      <c r="V116" s="233">
        <f>V115+V114</f>
        <v>42378147.834999993</v>
      </c>
      <c r="W116" s="233">
        <f>SUM(K116:V116)</f>
        <v>42471080.638587087</v>
      </c>
      <c r="X116" s="227"/>
      <c r="Y116" s="227"/>
    </row>
    <row r="117" spans="1:25" ht="12.75" x14ac:dyDescent="0.2">
      <c r="J117" s="222">
        <f>J115/(300)</f>
        <v>0.83666666666666667</v>
      </c>
      <c r="L117" s="313"/>
      <c r="S117" s="363">
        <f>SUM(S116:T116)</f>
        <v>54221.80415811258</v>
      </c>
      <c r="T117" s="363"/>
    </row>
    <row r="118" spans="1:25" ht="12.75" x14ac:dyDescent="0.2">
      <c r="L118" s="33"/>
      <c r="S118" s="364">
        <f>S117*EERR!D2</f>
        <v>42104857.582899161</v>
      </c>
      <c r="T118" s="364">
        <f>S117*EERR!D2</f>
        <v>42104857.582899161</v>
      </c>
    </row>
    <row r="119" spans="1:25" ht="12.75" x14ac:dyDescent="0.2">
      <c r="H119" s="354">
        <f>+L115+P115</f>
        <v>9638</v>
      </c>
      <c r="K119" s="90">
        <f>K115/1.19</f>
        <v>0</v>
      </c>
      <c r="L119" s="33"/>
      <c r="Y119" s="132">
        <f>36000*620</f>
        <v>22320000</v>
      </c>
    </row>
    <row r="120" spans="1:25" ht="12.75" x14ac:dyDescent="0.2">
      <c r="G120" s="34" t="s">
        <v>187</v>
      </c>
      <c r="H120" s="34" t="s">
        <v>188</v>
      </c>
      <c r="I120" s="132"/>
      <c r="J120" s="132"/>
      <c r="K120" s="132"/>
      <c r="L120" s="132"/>
      <c r="S120" s="36">
        <f>S115*689</f>
        <v>36082585.5</v>
      </c>
      <c r="T120" s="36">
        <f>T115*0.19</f>
        <v>273290.25210084039</v>
      </c>
    </row>
    <row r="121" spans="1:25" ht="12.75" x14ac:dyDescent="0.2">
      <c r="E121" s="131" t="s">
        <v>329</v>
      </c>
      <c r="F121" s="131"/>
      <c r="G121" s="29">
        <f>-'BCI '!H172</f>
        <v>615690</v>
      </c>
      <c r="H121" s="29">
        <f>-'BCI '!H173</f>
        <v>8593</v>
      </c>
      <c r="I121" s="132"/>
      <c r="J121" s="132"/>
      <c r="K121" s="132"/>
      <c r="L121" s="132"/>
    </row>
    <row r="122" spans="1:25" ht="12.75" x14ac:dyDescent="0.2">
      <c r="E122" s="131" t="s">
        <v>328</v>
      </c>
      <c r="F122" s="133"/>
      <c r="G122" s="137">
        <f>+K115</f>
        <v>0</v>
      </c>
      <c r="H122" s="38">
        <f>+L115</f>
        <v>8593</v>
      </c>
      <c r="I122" s="132"/>
      <c r="J122" s="132"/>
      <c r="K122" s="132"/>
      <c r="L122" s="132"/>
    </row>
    <row r="123" spans="1:25" ht="12.75" x14ac:dyDescent="0.2">
      <c r="E123" s="131"/>
      <c r="F123" s="133"/>
      <c r="G123" s="325">
        <f>+G121-G122</f>
        <v>615690</v>
      </c>
      <c r="H123" s="326">
        <f>+H121-H122</f>
        <v>0</v>
      </c>
      <c r="I123" s="132"/>
      <c r="J123" s="132"/>
      <c r="K123" s="132"/>
      <c r="L123" s="132"/>
    </row>
    <row r="124" spans="1:25" ht="12.75" x14ac:dyDescent="0.2">
      <c r="L124" s="32"/>
    </row>
    <row r="125" spans="1:25" ht="12.75" x14ac:dyDescent="0.2">
      <c r="L125" s="32"/>
    </row>
    <row r="126" spans="1:25" ht="16.5" thickBot="1" x14ac:dyDescent="0.3">
      <c r="E126" s="323" t="s">
        <v>83</v>
      </c>
      <c r="F126" s="324">
        <f>(K115+M115)*0.19</f>
        <v>115237.09</v>
      </c>
      <c r="L126" s="32"/>
    </row>
    <row r="127" spans="1:25" ht="12.75" x14ac:dyDescent="0.2">
      <c r="L127" s="32"/>
    </row>
    <row r="128" spans="1:25" ht="12.75" x14ac:dyDescent="0.2">
      <c r="L128" s="32"/>
    </row>
    <row r="129" spans="12:12" ht="12.75" x14ac:dyDescent="0.2">
      <c r="L129" s="32"/>
    </row>
    <row r="130" spans="12:12" ht="12.75" x14ac:dyDescent="0.2">
      <c r="L130" s="32"/>
    </row>
    <row r="131" spans="12:12" ht="12.75" x14ac:dyDescent="0.2">
      <c r="L131" s="32"/>
    </row>
    <row r="132" spans="12:12" ht="12.75" x14ac:dyDescent="0.2">
      <c r="L132" s="32"/>
    </row>
    <row r="133" spans="12:12" ht="12.75" x14ac:dyDescent="0.2">
      <c r="L133" s="32"/>
    </row>
    <row r="134" spans="12:12" ht="12.75" x14ac:dyDescent="0.2">
      <c r="L134" s="32"/>
    </row>
    <row r="135" spans="12:12" ht="12.75" x14ac:dyDescent="0.2">
      <c r="L135" s="32"/>
    </row>
    <row r="136" spans="12:12" ht="12.75" x14ac:dyDescent="0.2">
      <c r="L136" s="32"/>
    </row>
    <row r="137" spans="12:12" ht="12.75" x14ac:dyDescent="0.2">
      <c r="L137" s="32"/>
    </row>
    <row r="138" spans="12:12" ht="12.75" x14ac:dyDescent="0.2">
      <c r="L138" s="32"/>
    </row>
    <row r="139" spans="12:12" ht="12.75" x14ac:dyDescent="0.2">
      <c r="L139" s="32"/>
    </row>
    <row r="140" spans="12:12" ht="12.75" x14ac:dyDescent="0.2">
      <c r="L140" s="32"/>
    </row>
    <row r="141" spans="12:12" ht="12.75" x14ac:dyDescent="0.2">
      <c r="L141" s="32"/>
    </row>
    <row r="142" spans="12:12" ht="12.75" x14ac:dyDescent="0.2">
      <c r="L142" s="32"/>
    </row>
    <row r="143" spans="12:12" ht="12.75" x14ac:dyDescent="0.2">
      <c r="L143" s="32"/>
    </row>
    <row r="144" spans="12:12" ht="12.75" x14ac:dyDescent="0.2">
      <c r="L144" s="32"/>
    </row>
    <row r="145" spans="12:12" ht="12.75" x14ac:dyDescent="0.2">
      <c r="L145" s="32"/>
    </row>
    <row r="146" spans="12:12" ht="12.75" x14ac:dyDescent="0.2">
      <c r="L146" s="32"/>
    </row>
    <row r="147" spans="12:12" ht="12.75" x14ac:dyDescent="0.2">
      <c r="L147" s="32"/>
    </row>
    <row r="148" spans="12:12" ht="12.75" x14ac:dyDescent="0.2">
      <c r="L148" s="32"/>
    </row>
    <row r="149" spans="12:12" ht="12.75" x14ac:dyDescent="0.2">
      <c r="L149" s="32"/>
    </row>
    <row r="150" spans="12:12" ht="12.75" x14ac:dyDescent="0.2">
      <c r="L150" s="32"/>
    </row>
    <row r="151" spans="12:12" ht="12.75" x14ac:dyDescent="0.2">
      <c r="L151" s="32"/>
    </row>
    <row r="152" spans="12:12" ht="12.75" x14ac:dyDescent="0.2">
      <c r="L152" s="32"/>
    </row>
    <row r="153" spans="12:12" ht="12.75" x14ac:dyDescent="0.2">
      <c r="L153" s="32"/>
    </row>
    <row r="154" spans="12:12" ht="12.75" x14ac:dyDescent="0.2">
      <c r="L154" s="32"/>
    </row>
    <row r="155" spans="12:12" ht="12.75" x14ac:dyDescent="0.2">
      <c r="L155" s="32"/>
    </row>
    <row r="156" spans="12:12" ht="12.75" x14ac:dyDescent="0.2">
      <c r="L156" s="32"/>
    </row>
    <row r="157" spans="12:12" ht="12.75" x14ac:dyDescent="0.2">
      <c r="L157" s="32"/>
    </row>
    <row r="158" spans="12:12" ht="12.75" x14ac:dyDescent="0.2">
      <c r="L158" s="32"/>
    </row>
    <row r="159" spans="12:12" ht="12.75" x14ac:dyDescent="0.2">
      <c r="L159" s="32"/>
    </row>
    <row r="160" spans="12:12" ht="12.75" x14ac:dyDescent="0.2">
      <c r="L160" s="32"/>
    </row>
    <row r="161" spans="12:12" ht="12.75" x14ac:dyDescent="0.2">
      <c r="L161" s="32"/>
    </row>
    <row r="162" spans="12:12" ht="12.75" x14ac:dyDescent="0.2">
      <c r="L162" s="32"/>
    </row>
    <row r="163" spans="12:12" ht="12.75" x14ac:dyDescent="0.2">
      <c r="L163" s="32"/>
    </row>
    <row r="164" spans="12:12" ht="12.75" x14ac:dyDescent="0.2">
      <c r="L164" s="32"/>
    </row>
    <row r="165" spans="12:12" ht="12.75" x14ac:dyDescent="0.2">
      <c r="L165" s="32"/>
    </row>
    <row r="166" spans="12:12" ht="12.75" x14ac:dyDescent="0.2">
      <c r="L166" s="32"/>
    </row>
    <row r="167" spans="12:12" ht="12.75" x14ac:dyDescent="0.2">
      <c r="L167" s="32"/>
    </row>
    <row r="168" spans="12:12" ht="12.75" x14ac:dyDescent="0.2">
      <c r="L168" s="32"/>
    </row>
    <row r="169" spans="12:12" ht="12.75" x14ac:dyDescent="0.2">
      <c r="L169" s="32"/>
    </row>
    <row r="170" spans="12:12" ht="12.75" x14ac:dyDescent="0.2">
      <c r="L170" s="32"/>
    </row>
    <row r="171" spans="12:12" ht="12.75" x14ac:dyDescent="0.2">
      <c r="L171" s="32"/>
    </row>
    <row r="172" spans="12:12" ht="12.75" x14ac:dyDescent="0.2">
      <c r="L172" s="32"/>
    </row>
    <row r="173" spans="12:12" ht="12.75" x14ac:dyDescent="0.2">
      <c r="L173" s="32"/>
    </row>
    <row r="174" spans="12:12" ht="12.75" x14ac:dyDescent="0.2">
      <c r="L174" s="32"/>
    </row>
    <row r="175" spans="12:12" ht="12.75" x14ac:dyDescent="0.2">
      <c r="L175" s="32"/>
    </row>
    <row r="176" spans="12:12" ht="12.75" x14ac:dyDescent="0.2">
      <c r="L176" s="32"/>
    </row>
    <row r="177" spans="12:12" ht="12.75" x14ac:dyDescent="0.2">
      <c r="L177" s="32"/>
    </row>
    <row r="178" spans="12:12" ht="12.75" x14ac:dyDescent="0.2">
      <c r="L178" s="32"/>
    </row>
    <row r="179" spans="12:12" ht="12.75" x14ac:dyDescent="0.2">
      <c r="L179" s="32"/>
    </row>
    <row r="180" spans="12:12" ht="12.75" x14ac:dyDescent="0.2">
      <c r="L180" s="32"/>
    </row>
    <row r="181" spans="12:12" ht="12.75" x14ac:dyDescent="0.2">
      <c r="L181" s="32"/>
    </row>
    <row r="182" spans="12:12" ht="12.75" x14ac:dyDescent="0.2">
      <c r="L182" s="32"/>
    </row>
    <row r="183" spans="12:12" ht="12.75" x14ac:dyDescent="0.2">
      <c r="L183" s="32"/>
    </row>
    <row r="184" spans="12:12" ht="12.75" x14ac:dyDescent="0.2">
      <c r="L184" s="32"/>
    </row>
    <row r="185" spans="12:12" ht="12.75" x14ac:dyDescent="0.2">
      <c r="L185" s="32"/>
    </row>
    <row r="186" spans="12:12" ht="12.75" x14ac:dyDescent="0.2">
      <c r="L186" s="32"/>
    </row>
    <row r="187" spans="12:12" ht="12.75" x14ac:dyDescent="0.2">
      <c r="L187" s="32"/>
    </row>
    <row r="188" spans="12:12" ht="12.75" x14ac:dyDescent="0.2">
      <c r="L188" s="32"/>
    </row>
  </sheetData>
  <autoFilter ref="A2:X110"/>
  <sortState ref="E69:R73">
    <sortCondition ref="H69:H73"/>
  </sortState>
  <mergeCells count="7">
    <mergeCell ref="B1:D1"/>
    <mergeCell ref="S117:T117"/>
    <mergeCell ref="S118:T118"/>
    <mergeCell ref="K1:L1"/>
    <mergeCell ref="M1:N1"/>
    <mergeCell ref="O1:P1"/>
    <mergeCell ref="Q1:R1"/>
  </mergeCells>
  <conditionalFormatting sqref="W35:W11012 W3:W33">
    <cfRule type="expression" dxfId="5" priority="24">
      <formula>IF(J3=W3,0,1)</formula>
    </cfRule>
  </conditionalFormatting>
  <conditionalFormatting sqref="AR55 BQ55 CP55 DO55 EN55 FM55 GL55 HK55 IJ55 JI55 KH55 LG55 MF55 NE55 OD55 PC55 QB55 RA55 RZ55 SY55 TX55 UW55 VV55 WU55 XT55 YS55 ZR55 AAQ55 ABP55 ACO55 ADN55 AEM55 AFL55 AGK55 AHJ55 AII55 AJH55 AKG55 ALF55 AME55 AND55 AOC55 APB55 AQA55 AQZ55 ARY55 ASX55 ATW55 AUV55 AVU55 AWT55 AXS55 AYR55 AZQ55 BAP55 BBO55 BCN55 BDM55 BEL55 BFK55 BGJ55 BHI55 BIH55 BJG55 BKF55 BLE55 BMD55 BNC55 BOB55 BPA55 BPZ55 BQY55 BRX55 BSW55 BTV55 BUU55 BVT55 BWS55 BXR55 BYQ55 BZP55 CAO55 CBN55 CCM55 CDL55 CEK55 CFJ55 CGI55 CHH55 CIG55 CJF55 CKE55 CLD55 CMC55 CNB55 COA55 COZ55 CPY55 CQX55 CRW55 CSV55 CTU55 CUT55 CVS55 CWR55 CXQ55 CYP55 CZO55 DAN55 DBM55 DCL55 DDK55 DEJ55 DFI55 DGH55 DHG55 DIF55 DJE55 DKD55 DLC55 DMB55 DNA55 DNZ55 DOY55 DPX55 DQW55 DRV55 DSU55 DTT55 DUS55 DVR55 DWQ55 DXP55 DYO55 DZN55 EAM55 EBL55 ECK55 EDJ55 EEI55 EFH55 EGG55 EHF55 EIE55 EJD55 EKC55 ELB55 EMA55 EMZ55 ENY55 EOX55 EPW55 EQV55 ERU55 EST55 ETS55 EUR55 EVQ55 EWP55 EXO55 EYN55 EZM55 FAL55 FBK55 FCJ55 FDI55 FEH55 FFG55 FGF55 FHE55 FID55 FJC55 FKB55 FLA55 FLZ55 FMY55 FNX55 FOW55 FPV55 FQU55 FRT55 FSS55 FTR55 FUQ55 FVP55 FWO55 FXN55 FYM55 FZL55 GAK55 GBJ55 GCI55 GDH55 GEG55 GFF55 GGE55 GHD55 GIC55 GJB55 GKA55 GKZ55 GLY55 GMX55 GNW55 GOV55 GPU55 GQT55 GRS55 GSR55 GTQ55 GUP55 GVO55 GWN55 GXM55 GYL55 GZK55 HAJ55 HBI55 HCH55 HDG55 HEF55 HFE55 HGD55 HHC55 HIB55 HJA55 HJZ55 HKY55 HLX55 HMW55 HNV55 HOU55 HPT55 HQS55 HRR55 HSQ55 HTP55 HUO55 HVN55 HWM55 HXL55 HYK55 HZJ55 IAI55 IBH55 ICG55 IDF55 IEE55 IFD55 IGC55 IHB55 IIA55 IIZ55 IJY55 IKX55 ILW55 IMV55 INU55 IOT55 IPS55 IQR55 IRQ55 ISP55 ITO55 IUN55 IVM55 IWL55 IXK55 IYJ55 IZI55 JAH55 JBG55 JCF55 JDE55 JED55 JFC55 JGB55 JHA55 JHZ55 JIY55 JJX55 JKW55 JLV55 JMU55 JNT55 JOS55 JPR55 JQQ55 JRP55 JSO55 JTN55 JUM55 JVL55 JWK55 JXJ55 JYI55 JZH55 KAG55 KBF55 KCE55 KDD55 KEC55 KFB55 KGA55 KGZ55 KHY55 KIX55 KJW55 KKV55 KLU55 KMT55 KNS55 KOR55 KPQ55 KQP55 KRO55 KSN55 KTM55 KUL55 KVK55 KWJ55 KXI55 KYH55 KZG55 LAF55 LBE55 LCD55 LDC55 LEB55 LFA55 LFZ55 LGY55 LHX55 LIW55 LJV55 LKU55 LLT55 LMS55 LNR55 LOQ55 LPP55 LQO55 LRN55 LSM55 LTL55 LUK55 LVJ55 LWI55 LXH55 LYG55 LZF55 MAE55 MBD55 MCC55 MDB55 MEA55 MEZ55 MFY55 MGX55 MHW55 MIV55 MJU55 MKT55 MLS55 MMR55 MNQ55 MOP55 MPO55 MQN55 MRM55 MSL55 MTK55 MUJ55 MVI55 MWH55 MXG55 MYF55 MZE55 NAD55 NBC55 NCB55 NDA55 NDZ55 NEY55 NFX55 NGW55 NHV55 NIU55 NJT55 NKS55 NLR55 NMQ55 NNP55 NOO55 NPN55 NQM55 NRL55 NSK55 NTJ55 NUI55 NVH55 NWG55 NXF55 NYE55 NZD55 OAC55 OBB55 OCA55 OCZ55 ODY55 OEX55 OFW55 OGV55 OHU55 OIT55 OJS55 OKR55 OLQ55 OMP55 ONO55 OON55 OPM55 OQL55 ORK55 OSJ55 OTI55 OUH55 OVG55 OWF55 OXE55 OYD55 OZC55 PAB55 PBA55 PBZ55 PCY55 PDX55 PEW55 PFV55 PGU55 PHT55 PIS55 PJR55 PKQ55 PLP55 PMO55 PNN55 POM55 PPL55 PQK55 PRJ55 PSI55 PTH55 PUG55 PVF55 PWE55 PXD55 PYC55 PZB55 QAA55 QAZ55 QBY55 QCX55 QDW55 QEV55 QFU55 QGT55 QHS55 QIR55 QJQ55 QKP55 QLO55 QMN55 QNM55 QOL55 QPK55 QQJ55 QRI55 QSH55 QTG55 QUF55 QVE55 QWD55 QXC55 QYB55 QZA55 QZZ55 RAY55 RBX55 RCW55 RDV55 REU55 RFT55 RGS55 RHR55 RIQ55 RJP55 RKO55 RLN55 RMM55 RNL55 ROK55 RPJ55 RQI55 RRH55 RSG55 RTF55 RUE55 RVD55 RWC55 RXB55 RYA55 RYZ55 RZY55 SAX55 SBW55 SCV55 SDU55 SET55 SFS55 SGR55 SHQ55 SIP55 SJO55 SKN55 SLM55 SML55 SNK55 SOJ55 SPI55 SQH55 SRG55 SSF55 STE55 SUD55 SVC55 SWB55 SXA55 SXZ55 SYY55 SZX55 TAW55 TBV55 TCU55 TDT55 TES55 TFR55 TGQ55 THP55 TIO55 TJN55 TKM55 TLL55 TMK55 TNJ55 TOI55 TPH55 TQG55 TRF55 TSE55 TTD55 TUC55 TVB55 TWA55 TWZ55 TXY55 TYX55 TZW55 UAV55 UBU55 UCT55 UDS55 UER55 UFQ55 UGP55 UHO55 UIN55 UJM55 UKL55 ULK55 UMJ55 UNI55 UOH55 UPG55 UQF55 URE55 USD55 UTC55 UUB55 UVA55 UVZ55 UWY55 UXX55 UYW55 UZV55 VAU55 VBT55 VCS55 VDR55 VEQ55 VFP55 VGO55 VHN55 VIM55 VJL55 VKK55 VLJ55 VMI55 VNH55 VOG55 VPF55 VQE55 VRD55 VSC55 VTB55 VUA55 VUZ55 VVY55 VWX55 VXW55 VYV55 VZU55 WAT55 WBS55 WCR55 WDQ55 WEP55 WFO55 WGN55 WHM55 WIL55 WJK55 WKJ55 WLI55 WMH55 WNG55 WOF55 WPE55 WQD55 WRC55 WSB55 WTA55 WTZ55 WUY55 WVX55 WWW55 WXV55 WYU55 WZT55 XAS55 XBR55 XCQ55 XDP55 XEO55">
    <cfRule type="expression" dxfId="4" priority="11">
      <formula>IF(AE55=AR55,0,1)</formula>
    </cfRule>
  </conditionalFormatting>
  <conditionalFormatting sqref="W75:W80">
    <cfRule type="expression" dxfId="3" priority="5">
      <formula>IF(J75=W75,0,1)</formula>
    </cfRule>
  </conditionalFormatting>
  <conditionalFormatting sqref="X67:X86 X88:X111 X35:X65 X3:X33">
    <cfRule type="expression" dxfId="2" priority="4">
      <formula>IF($Z$3&gt;0,1,0)</formula>
    </cfRule>
  </conditionalFormatting>
  <conditionalFormatting sqref="W34">
    <cfRule type="expression" dxfId="1" priority="2">
      <formula>IF(J34=W34,0,1)</formula>
    </cfRule>
  </conditionalFormatting>
  <conditionalFormatting sqref="X34">
    <cfRule type="expression" dxfId="0" priority="1">
      <formula>IF($Z$3&gt;0,1,0)</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workbookViewId="0">
      <selection activeCell="A65" sqref="A65"/>
    </sheetView>
  </sheetViews>
  <sheetFormatPr baseColWidth="10" defaultColWidth="11.5703125" defaultRowHeight="15" x14ac:dyDescent="0.25"/>
  <cols>
    <col min="1" max="1" width="19.28515625" style="194" customWidth="1"/>
    <col min="2" max="2" width="15.5703125" style="194" customWidth="1"/>
    <col min="3" max="3" width="16.5703125" style="194" customWidth="1"/>
    <col min="4" max="4" width="16.5703125" style="253" customWidth="1"/>
    <col min="5" max="5" width="12.42578125" style="194" customWidth="1"/>
    <col min="6" max="6" width="11.28515625" style="194" customWidth="1"/>
    <col min="7" max="7" width="12.28515625" style="194" customWidth="1"/>
    <col min="8" max="8" width="36.5703125" style="194" customWidth="1"/>
    <col min="9" max="9" width="11.85546875" style="194" customWidth="1"/>
    <col min="10" max="10" width="19.140625" style="194" customWidth="1"/>
    <col min="11" max="11" width="12.7109375" style="194" bestFit="1" customWidth="1"/>
    <col min="12" max="16384" width="11.5703125" style="194"/>
  </cols>
  <sheetData>
    <row r="1" spans="1:14" x14ac:dyDescent="0.25">
      <c r="A1" s="193"/>
      <c r="B1" s="193"/>
      <c r="C1" s="193"/>
      <c r="D1" s="193"/>
      <c r="E1" s="193"/>
      <c r="F1" s="193"/>
      <c r="G1" s="193"/>
      <c r="H1" s="193"/>
      <c r="I1" s="193"/>
      <c r="J1" s="4"/>
    </row>
    <row r="3" spans="1:14" x14ac:dyDescent="0.25">
      <c r="A3" s="194" t="s">
        <v>60</v>
      </c>
    </row>
    <row r="4" spans="1:14" x14ac:dyDescent="0.25">
      <c r="A4" s="6" t="s">
        <v>23</v>
      </c>
      <c r="B4" s="6" t="s">
        <v>250</v>
      </c>
      <c r="C4" s="6" t="s">
        <v>234</v>
      </c>
      <c r="D4" s="6"/>
      <c r="E4" s="6" t="s">
        <v>251</v>
      </c>
      <c r="F4" s="6" t="s">
        <v>252</v>
      </c>
      <c r="G4" s="6" t="s">
        <v>253</v>
      </c>
      <c r="H4" s="6" t="s">
        <v>254</v>
      </c>
      <c r="I4" s="6" t="s">
        <v>255</v>
      </c>
      <c r="J4" s="6" t="s">
        <v>307</v>
      </c>
      <c r="K4" s="6" t="s">
        <v>308</v>
      </c>
      <c r="N4" s="314" t="s">
        <v>309</v>
      </c>
    </row>
    <row r="5" spans="1:14" x14ac:dyDescent="0.25">
      <c r="A5" s="37">
        <v>1847738112</v>
      </c>
      <c r="B5" s="6" t="s">
        <v>249</v>
      </c>
      <c r="C5" s="249" t="s">
        <v>235</v>
      </c>
      <c r="D5" s="249"/>
      <c r="E5" s="249">
        <v>43489.382256944446</v>
      </c>
      <c r="F5" s="249">
        <v>43770</v>
      </c>
      <c r="G5" s="249">
        <v>43771</v>
      </c>
      <c r="H5" s="249" t="s">
        <v>373</v>
      </c>
      <c r="I5" s="274">
        <v>190</v>
      </c>
      <c r="J5" s="110">
        <f t="shared" ref="J5:J36" si="0">G5-F5</f>
        <v>1</v>
      </c>
      <c r="K5" s="6">
        <f>SUMIF(Nov!$G$3:$G$110,A5,Nov!$J$3:$J$110)</f>
        <v>1</v>
      </c>
      <c r="L5" s="226">
        <f t="shared" ref="L5" si="1">+I5/K5</f>
        <v>190</v>
      </c>
      <c r="M5" s="253">
        <f t="shared" ref="M5" si="2">ROUND(I5/L5,0)</f>
        <v>1</v>
      </c>
      <c r="N5" s="315">
        <f t="shared" ref="N5" si="3">+M5-K5</f>
        <v>0</v>
      </c>
    </row>
    <row r="6" spans="1:14" x14ac:dyDescent="0.25">
      <c r="A6" s="37">
        <v>1907294784124</v>
      </c>
      <c r="B6" s="6" t="s">
        <v>248</v>
      </c>
      <c r="C6" s="249" t="s">
        <v>237</v>
      </c>
      <c r="D6" s="249" t="s">
        <v>291</v>
      </c>
      <c r="E6" s="249">
        <v>43675.686550925922</v>
      </c>
      <c r="F6" s="249">
        <v>43771</v>
      </c>
      <c r="G6" s="249">
        <v>43775</v>
      </c>
      <c r="H6" s="249" t="s">
        <v>762</v>
      </c>
      <c r="I6" s="274">
        <v>855</v>
      </c>
      <c r="J6" s="110">
        <f t="shared" si="0"/>
        <v>4</v>
      </c>
      <c r="K6" s="6">
        <f>SUMIF(Nov!$G$3:$G$110,A6,Nov!$J$3:$J$110)</f>
        <v>4</v>
      </c>
      <c r="L6" s="226">
        <f t="shared" ref="L6:L69" si="4">+I6/K6</f>
        <v>213.75</v>
      </c>
      <c r="M6" s="253">
        <f t="shared" ref="M6:M69" si="5">ROUND(I6/L6,0)</f>
        <v>4</v>
      </c>
      <c r="N6" s="315">
        <f t="shared" ref="N6:N69" si="6">+M6-K6</f>
        <v>0</v>
      </c>
    </row>
    <row r="7" spans="1:14" x14ac:dyDescent="0.25">
      <c r="A7" s="37">
        <v>2611406488</v>
      </c>
      <c r="B7" s="6" t="s">
        <v>248</v>
      </c>
      <c r="C7" s="249" t="s">
        <v>235</v>
      </c>
      <c r="D7" s="249"/>
      <c r="E7" s="249">
        <v>43681.992627314816</v>
      </c>
      <c r="F7" s="249">
        <v>43771</v>
      </c>
      <c r="G7" s="249">
        <v>43777</v>
      </c>
      <c r="H7" s="249" t="s">
        <v>763</v>
      </c>
      <c r="I7" s="274">
        <v>1340</v>
      </c>
      <c r="J7" s="110">
        <f t="shared" si="0"/>
        <v>6</v>
      </c>
      <c r="K7" s="6">
        <f>SUMIF(Nov!$G$3:$G$110,A7,Nov!$J$3:$J$110)</f>
        <v>6</v>
      </c>
      <c r="L7" s="226">
        <f t="shared" si="4"/>
        <v>223.33333333333334</v>
      </c>
      <c r="M7" s="253">
        <f t="shared" si="5"/>
        <v>6</v>
      </c>
      <c r="N7" s="315">
        <f t="shared" si="6"/>
        <v>0</v>
      </c>
    </row>
    <row r="8" spans="1:14" x14ac:dyDescent="0.25">
      <c r="A8" s="37">
        <v>1901174115019</v>
      </c>
      <c r="B8" s="6" t="s">
        <v>248</v>
      </c>
      <c r="C8" s="249" t="s">
        <v>237</v>
      </c>
      <c r="D8" s="249" t="s">
        <v>291</v>
      </c>
      <c r="E8" s="249">
        <v>43482.621990740743</v>
      </c>
      <c r="F8" s="249">
        <v>43772</v>
      </c>
      <c r="G8" s="249">
        <v>43775</v>
      </c>
      <c r="H8" s="249" t="s">
        <v>764</v>
      </c>
      <c r="I8" s="274">
        <v>541.5</v>
      </c>
      <c r="J8" s="110">
        <f t="shared" si="0"/>
        <v>3</v>
      </c>
      <c r="K8" s="6">
        <f>SUMIF(Nov!$G$3:$G$110,A8,Nov!$J$3:$J$110)</f>
        <v>3</v>
      </c>
      <c r="L8" s="226">
        <f t="shared" si="4"/>
        <v>180.5</v>
      </c>
      <c r="M8" s="253">
        <f t="shared" si="5"/>
        <v>3</v>
      </c>
      <c r="N8" s="315">
        <f t="shared" si="6"/>
        <v>0</v>
      </c>
    </row>
    <row r="9" spans="1:14" x14ac:dyDescent="0.25">
      <c r="A9" s="37">
        <v>1906214654834</v>
      </c>
      <c r="B9" s="6" t="s">
        <v>248</v>
      </c>
      <c r="C9" s="249" t="s">
        <v>237</v>
      </c>
      <c r="D9" s="249" t="s">
        <v>291</v>
      </c>
      <c r="E9" s="249">
        <v>43637.74119212963</v>
      </c>
      <c r="F9" s="249">
        <v>43772</v>
      </c>
      <c r="G9" s="249">
        <v>43777</v>
      </c>
      <c r="H9" s="249" t="s">
        <v>765</v>
      </c>
      <c r="I9" s="274">
        <v>1045</v>
      </c>
      <c r="J9" s="110">
        <f t="shared" si="0"/>
        <v>5</v>
      </c>
      <c r="K9" s="6">
        <f>SUMIF(Nov!$G$3:$G$110,A9,Nov!$J$3:$J$110)</f>
        <v>5</v>
      </c>
      <c r="L9" s="226">
        <f t="shared" si="4"/>
        <v>209</v>
      </c>
      <c r="M9" s="253">
        <f t="shared" si="5"/>
        <v>5</v>
      </c>
      <c r="N9" s="315">
        <f t="shared" si="6"/>
        <v>0</v>
      </c>
    </row>
    <row r="10" spans="1:14" s="253" customFormat="1" x14ac:dyDescent="0.25">
      <c r="A10" s="37">
        <v>1909304990525</v>
      </c>
      <c r="B10" s="6" t="s">
        <v>248</v>
      </c>
      <c r="C10" s="249" t="s">
        <v>237</v>
      </c>
      <c r="D10" s="249" t="s">
        <v>291</v>
      </c>
      <c r="E10" s="249">
        <v>43738.847037037034</v>
      </c>
      <c r="F10" s="249">
        <v>43772</v>
      </c>
      <c r="G10" s="249">
        <v>43773</v>
      </c>
      <c r="H10" s="249" t="s">
        <v>766</v>
      </c>
      <c r="I10" s="274">
        <v>209</v>
      </c>
      <c r="J10" s="110">
        <f t="shared" si="0"/>
        <v>1</v>
      </c>
      <c r="K10" s="6">
        <f>SUMIF(Nov!$G$3:$G$110,A10,Nov!$J$3:$J$110)</f>
        <v>1</v>
      </c>
      <c r="L10" s="226">
        <f t="shared" si="4"/>
        <v>209</v>
      </c>
      <c r="M10" s="253">
        <f t="shared" si="5"/>
        <v>1</v>
      </c>
      <c r="N10" s="315">
        <f t="shared" si="6"/>
        <v>0</v>
      </c>
    </row>
    <row r="11" spans="1:14" s="253" customFormat="1" x14ac:dyDescent="0.25">
      <c r="A11" s="37">
        <v>1909304990535</v>
      </c>
      <c r="B11" s="6" t="s">
        <v>248</v>
      </c>
      <c r="C11" s="249" t="s">
        <v>237</v>
      </c>
      <c r="D11" s="249" t="s">
        <v>291</v>
      </c>
      <c r="E11" s="249">
        <v>43738.848541666666</v>
      </c>
      <c r="F11" s="249">
        <v>43772</v>
      </c>
      <c r="G11" s="249">
        <v>43773</v>
      </c>
      <c r="H11" s="249" t="s">
        <v>766</v>
      </c>
      <c r="I11" s="274">
        <v>209</v>
      </c>
      <c r="J11" s="110">
        <f t="shared" si="0"/>
        <v>1</v>
      </c>
      <c r="K11" s="6">
        <f>SUMIF(Nov!$G$3:$G$110,A11,Nov!$J$3:$J$110)</f>
        <v>1</v>
      </c>
      <c r="L11" s="226">
        <f t="shared" si="4"/>
        <v>209</v>
      </c>
      <c r="M11" s="253">
        <f t="shared" si="5"/>
        <v>1</v>
      </c>
      <c r="N11" s="315">
        <f t="shared" si="6"/>
        <v>0</v>
      </c>
    </row>
    <row r="12" spans="1:14" s="253" customFormat="1" x14ac:dyDescent="0.25">
      <c r="A12" s="37">
        <v>3468268554</v>
      </c>
      <c r="B12" s="6" t="s">
        <v>248</v>
      </c>
      <c r="C12" s="249" t="s">
        <v>235</v>
      </c>
      <c r="D12" s="249"/>
      <c r="E12" s="249">
        <v>43759.949826388889</v>
      </c>
      <c r="F12" s="249">
        <v>43772</v>
      </c>
      <c r="G12" s="249">
        <v>43773</v>
      </c>
      <c r="H12" s="249" t="s">
        <v>767</v>
      </c>
      <c r="I12" s="274">
        <v>198</v>
      </c>
      <c r="J12" s="110">
        <f t="shared" si="0"/>
        <v>1</v>
      </c>
      <c r="K12" s="6">
        <f>SUMIF(Nov!$G$3:$G$110,A12,Nov!$J$3:$J$110)</f>
        <v>1</v>
      </c>
      <c r="L12" s="226">
        <f t="shared" si="4"/>
        <v>198</v>
      </c>
      <c r="M12" s="253">
        <f t="shared" si="5"/>
        <v>1</v>
      </c>
      <c r="N12" s="315">
        <f t="shared" si="6"/>
        <v>0</v>
      </c>
    </row>
    <row r="13" spans="1:14" s="253" customFormat="1" x14ac:dyDescent="0.25">
      <c r="A13" s="37">
        <v>1662181693</v>
      </c>
      <c r="B13" s="6" t="s">
        <v>249</v>
      </c>
      <c r="C13" s="249" t="s">
        <v>235</v>
      </c>
      <c r="D13" s="249"/>
      <c r="E13" s="249">
        <v>43517.684050925927</v>
      </c>
      <c r="F13" s="249">
        <v>43773</v>
      </c>
      <c r="G13" s="249">
        <v>43777</v>
      </c>
      <c r="H13" s="249" t="s">
        <v>768</v>
      </c>
      <c r="I13" s="274">
        <v>1640</v>
      </c>
      <c r="J13" s="110">
        <f t="shared" si="0"/>
        <v>4</v>
      </c>
      <c r="K13" s="6">
        <f>SUMIF(Nov!$G$3:$G$110,A13,Nov!$J$3:$J$110)</f>
        <v>8</v>
      </c>
      <c r="L13" s="226">
        <f t="shared" si="4"/>
        <v>205</v>
      </c>
      <c r="M13" s="253">
        <f t="shared" si="5"/>
        <v>8</v>
      </c>
      <c r="N13" s="315">
        <f t="shared" si="6"/>
        <v>0</v>
      </c>
    </row>
    <row r="14" spans="1:14" s="253" customFormat="1" x14ac:dyDescent="0.25">
      <c r="A14" s="37">
        <v>1905244559426</v>
      </c>
      <c r="B14" s="6" t="s">
        <v>248</v>
      </c>
      <c r="C14" s="249" t="s">
        <v>237</v>
      </c>
      <c r="D14" s="249" t="s">
        <v>291</v>
      </c>
      <c r="E14" s="249">
        <v>43609.549224537041</v>
      </c>
      <c r="F14" s="249">
        <v>43773</v>
      </c>
      <c r="G14" s="249">
        <v>43777</v>
      </c>
      <c r="H14" s="249" t="s">
        <v>769</v>
      </c>
      <c r="I14" s="274">
        <v>836</v>
      </c>
      <c r="J14" s="110">
        <f t="shared" si="0"/>
        <v>4</v>
      </c>
      <c r="K14" s="6">
        <f>SUMIF(Nov!$G$3:$G$110,A14,Nov!$J$3:$J$110)</f>
        <v>4</v>
      </c>
      <c r="L14" s="226">
        <f t="shared" si="4"/>
        <v>209</v>
      </c>
      <c r="M14" s="253">
        <f t="shared" si="5"/>
        <v>4</v>
      </c>
      <c r="N14" s="315">
        <f t="shared" si="6"/>
        <v>0</v>
      </c>
    </row>
    <row r="15" spans="1:14" s="253" customFormat="1" x14ac:dyDescent="0.25">
      <c r="A15" s="37">
        <v>2260881681</v>
      </c>
      <c r="B15" s="6" t="s">
        <v>248</v>
      </c>
      <c r="C15" s="249" t="s">
        <v>235</v>
      </c>
      <c r="D15" s="249"/>
      <c r="E15" s="249">
        <v>43746.637199074074</v>
      </c>
      <c r="F15" s="249">
        <v>43773</v>
      </c>
      <c r="G15" s="249">
        <v>43775</v>
      </c>
      <c r="H15" s="249" t="s">
        <v>770</v>
      </c>
      <c r="I15" s="274">
        <v>440</v>
      </c>
      <c r="J15" s="110">
        <f t="shared" si="0"/>
        <v>2</v>
      </c>
      <c r="K15" s="6">
        <f>SUMIF(Nov!$G$3:$G$110,A15,Nov!$J$3:$J$110)</f>
        <v>2</v>
      </c>
      <c r="L15" s="226">
        <f t="shared" si="4"/>
        <v>220</v>
      </c>
      <c r="M15" s="253">
        <f t="shared" si="5"/>
        <v>2</v>
      </c>
      <c r="N15" s="315">
        <f t="shared" si="6"/>
        <v>0</v>
      </c>
    </row>
    <row r="16" spans="1:14" s="253" customFormat="1" x14ac:dyDescent="0.25">
      <c r="A16" s="37">
        <v>1245949586</v>
      </c>
      <c r="B16" s="6" t="s">
        <v>248</v>
      </c>
      <c r="C16" s="249" t="s">
        <v>236</v>
      </c>
      <c r="D16" s="249" t="s">
        <v>292</v>
      </c>
      <c r="E16" s="249">
        <v>43582.551388888889</v>
      </c>
      <c r="F16" s="249">
        <v>43774</v>
      </c>
      <c r="G16" s="249">
        <v>43776</v>
      </c>
      <c r="H16" s="249" t="s">
        <v>771</v>
      </c>
      <c r="I16" s="274">
        <v>440</v>
      </c>
      <c r="J16" s="110">
        <f t="shared" si="0"/>
        <v>2</v>
      </c>
      <c r="K16" s="6">
        <f>SUMIF(Nov!$G$3:$G$110,A16,Nov!$J$3:$J$110)</f>
        <v>2</v>
      </c>
      <c r="L16" s="226">
        <f t="shared" si="4"/>
        <v>220</v>
      </c>
      <c r="M16" s="253">
        <f t="shared" si="5"/>
        <v>2</v>
      </c>
      <c r="N16" s="315">
        <f t="shared" si="6"/>
        <v>0</v>
      </c>
    </row>
    <row r="17" spans="1:14" s="253" customFormat="1" x14ac:dyDescent="0.25">
      <c r="A17" s="37">
        <v>3912484980</v>
      </c>
      <c r="B17" s="6" t="s">
        <v>248</v>
      </c>
      <c r="C17" s="249" t="s">
        <v>235</v>
      </c>
      <c r="D17" s="249"/>
      <c r="E17" s="249">
        <v>43605.660266203704</v>
      </c>
      <c r="F17" s="249">
        <v>43774</v>
      </c>
      <c r="G17" s="249">
        <v>43777</v>
      </c>
      <c r="H17" s="249" t="s">
        <v>772</v>
      </c>
      <c r="I17" s="274">
        <v>660</v>
      </c>
      <c r="J17" s="110">
        <f t="shared" si="0"/>
        <v>3</v>
      </c>
      <c r="K17" s="6">
        <f>SUMIF(Nov!$G$3:$G$110,A17,Nov!$J$3:$J$110)</f>
        <v>3</v>
      </c>
      <c r="L17" s="226">
        <f t="shared" si="4"/>
        <v>220</v>
      </c>
      <c r="M17" s="253">
        <f t="shared" si="5"/>
        <v>3</v>
      </c>
      <c r="N17" s="315">
        <f t="shared" si="6"/>
        <v>0</v>
      </c>
    </row>
    <row r="18" spans="1:14" s="253" customFormat="1" x14ac:dyDescent="0.25">
      <c r="A18" s="37">
        <v>2628549654</v>
      </c>
      <c r="B18" s="6" t="s">
        <v>248</v>
      </c>
      <c r="C18" s="249" t="s">
        <v>235</v>
      </c>
      <c r="D18" s="249"/>
      <c r="E18" s="249">
        <v>43619.913958333331</v>
      </c>
      <c r="F18" s="249">
        <v>43775</v>
      </c>
      <c r="G18" s="249">
        <v>43780</v>
      </c>
      <c r="H18" s="249" t="s">
        <v>773</v>
      </c>
      <c r="I18" s="274">
        <v>1100</v>
      </c>
      <c r="J18" s="110">
        <f t="shared" si="0"/>
        <v>5</v>
      </c>
      <c r="K18" s="6">
        <f>SUMIF(Nov!$G$3:$G$110,A18,Nov!$J$3:$J$110)</f>
        <v>5</v>
      </c>
      <c r="L18" s="226">
        <f t="shared" si="4"/>
        <v>220</v>
      </c>
      <c r="M18" s="253">
        <f t="shared" si="5"/>
        <v>5</v>
      </c>
      <c r="N18" s="315">
        <f t="shared" si="6"/>
        <v>0</v>
      </c>
    </row>
    <row r="19" spans="1:14" s="253" customFormat="1" x14ac:dyDescent="0.25">
      <c r="A19" s="37">
        <v>1907044697949</v>
      </c>
      <c r="B19" s="6" t="s">
        <v>248</v>
      </c>
      <c r="C19" s="249" t="s">
        <v>237</v>
      </c>
      <c r="D19" s="249" t="s">
        <v>291</v>
      </c>
      <c r="E19" s="249">
        <v>43650.494027777779</v>
      </c>
      <c r="F19" s="249">
        <v>43776</v>
      </c>
      <c r="G19" s="249">
        <v>43779</v>
      </c>
      <c r="H19" s="249" t="s">
        <v>774</v>
      </c>
      <c r="I19" s="274">
        <v>627</v>
      </c>
      <c r="J19" s="110">
        <f t="shared" si="0"/>
        <v>3</v>
      </c>
      <c r="K19" s="6">
        <f>SUMIF(Nov!$G$3:$G$110,A19,Nov!$J$3:$J$110)</f>
        <v>3</v>
      </c>
      <c r="L19" s="226">
        <f t="shared" si="4"/>
        <v>209</v>
      </c>
      <c r="M19" s="253">
        <f t="shared" si="5"/>
        <v>3</v>
      </c>
      <c r="N19" s="315">
        <f t="shared" si="6"/>
        <v>0</v>
      </c>
    </row>
    <row r="20" spans="1:14" s="253" customFormat="1" x14ac:dyDescent="0.25">
      <c r="A20" s="37">
        <v>3756821918</v>
      </c>
      <c r="B20" s="6" t="s">
        <v>248</v>
      </c>
      <c r="C20" s="249" t="s">
        <v>235</v>
      </c>
      <c r="D20" s="249"/>
      <c r="E20" s="249">
        <v>43746.997928240744</v>
      </c>
      <c r="F20" s="249">
        <v>43776</v>
      </c>
      <c r="G20" s="249">
        <v>43777</v>
      </c>
      <c r="H20" s="249" t="s">
        <v>374</v>
      </c>
      <c r="I20" s="274">
        <v>220</v>
      </c>
      <c r="J20" s="110">
        <f t="shared" si="0"/>
        <v>1</v>
      </c>
      <c r="K20" s="6">
        <f>SUMIF(Nov!$G$3:$G$110,A20,Nov!$J$3:$J$110)</f>
        <v>1</v>
      </c>
      <c r="L20" s="226">
        <f t="shared" si="4"/>
        <v>220</v>
      </c>
      <c r="M20" s="253">
        <f t="shared" si="5"/>
        <v>1</v>
      </c>
      <c r="N20" s="315">
        <f t="shared" si="6"/>
        <v>0</v>
      </c>
    </row>
    <row r="21" spans="1:14" s="253" customFormat="1" x14ac:dyDescent="0.25">
      <c r="A21" s="37">
        <v>3010621357</v>
      </c>
      <c r="B21" s="6" t="s">
        <v>248</v>
      </c>
      <c r="C21" s="249" t="s">
        <v>235</v>
      </c>
      <c r="D21" s="249"/>
      <c r="E21" s="249">
        <v>43687.562789351854</v>
      </c>
      <c r="F21" s="249">
        <v>43777</v>
      </c>
      <c r="G21" s="249">
        <v>43779</v>
      </c>
      <c r="H21" s="249" t="s">
        <v>775</v>
      </c>
      <c r="I21" s="274">
        <v>440</v>
      </c>
      <c r="J21" s="110">
        <f t="shared" si="0"/>
        <v>2</v>
      </c>
      <c r="K21" s="6">
        <f>SUMIF(Nov!$G$3:$G$110,A21,Nov!$J$3:$J$110)</f>
        <v>2</v>
      </c>
      <c r="L21" s="226">
        <f t="shared" si="4"/>
        <v>220</v>
      </c>
      <c r="M21" s="253">
        <f t="shared" si="5"/>
        <v>2</v>
      </c>
      <c r="N21" s="315">
        <f t="shared" si="6"/>
        <v>0</v>
      </c>
    </row>
    <row r="22" spans="1:14" s="253" customFormat="1" x14ac:dyDescent="0.25">
      <c r="A22" s="37">
        <v>2895706800</v>
      </c>
      <c r="B22" s="6" t="s">
        <v>248</v>
      </c>
      <c r="C22" s="249" t="s">
        <v>235</v>
      </c>
      <c r="D22" s="249"/>
      <c r="E22" s="249">
        <v>43748.292604166665</v>
      </c>
      <c r="F22" s="249">
        <v>43777</v>
      </c>
      <c r="G22" s="249">
        <v>43779</v>
      </c>
      <c r="H22" s="249" t="s">
        <v>776</v>
      </c>
      <c r="I22" s="274">
        <v>440</v>
      </c>
      <c r="J22" s="110">
        <f t="shared" si="0"/>
        <v>2</v>
      </c>
      <c r="K22" s="6">
        <f>SUMIF(Nov!$G$3:$G$110,A22,Nov!$J$3:$J$110)</f>
        <v>2</v>
      </c>
      <c r="L22" s="226">
        <f t="shared" si="4"/>
        <v>220</v>
      </c>
      <c r="M22" s="253">
        <f t="shared" si="5"/>
        <v>2</v>
      </c>
      <c r="N22" s="315">
        <f t="shared" si="6"/>
        <v>0</v>
      </c>
    </row>
    <row r="23" spans="1:14" s="253" customFormat="1" x14ac:dyDescent="0.25">
      <c r="A23" s="37">
        <v>2973292102</v>
      </c>
      <c r="B23" s="6" t="s">
        <v>248</v>
      </c>
      <c r="C23" s="249" t="s">
        <v>235</v>
      </c>
      <c r="D23" s="249"/>
      <c r="E23" s="249">
        <v>43589.329872685186</v>
      </c>
      <c r="F23" s="249">
        <v>43778</v>
      </c>
      <c r="G23" s="249">
        <v>43781</v>
      </c>
      <c r="H23" s="249" t="s">
        <v>777</v>
      </c>
      <c r="I23" s="274">
        <v>660</v>
      </c>
      <c r="J23" s="110">
        <f t="shared" si="0"/>
        <v>3</v>
      </c>
      <c r="K23" s="6">
        <f>SUMIF(Nov!$G$3:$G$110,A23,Nov!$J$3:$J$110)</f>
        <v>3</v>
      </c>
      <c r="L23" s="226">
        <f t="shared" si="4"/>
        <v>220</v>
      </c>
      <c r="M23" s="253">
        <f t="shared" si="5"/>
        <v>3</v>
      </c>
      <c r="N23" s="315">
        <f t="shared" si="6"/>
        <v>0</v>
      </c>
    </row>
    <row r="24" spans="1:14" s="253" customFormat="1" x14ac:dyDescent="0.25">
      <c r="A24" s="37">
        <v>2732061028</v>
      </c>
      <c r="B24" s="6" t="s">
        <v>248</v>
      </c>
      <c r="C24" s="249" t="s">
        <v>235</v>
      </c>
      <c r="D24" s="249"/>
      <c r="E24" s="249">
        <v>43642.394409722219</v>
      </c>
      <c r="F24" s="249">
        <v>43778</v>
      </c>
      <c r="G24" s="249">
        <v>43787</v>
      </c>
      <c r="H24" s="249" t="s">
        <v>778</v>
      </c>
      <c r="I24" s="274">
        <v>4080</v>
      </c>
      <c r="J24" s="110">
        <f t="shared" si="0"/>
        <v>9</v>
      </c>
      <c r="K24" s="6">
        <f>SUMIF(Nov!$G$3:$G$110,A24,Nov!$J$3:$J$110)</f>
        <v>18</v>
      </c>
      <c r="L24" s="226">
        <f t="shared" si="4"/>
        <v>226.66666666666666</v>
      </c>
      <c r="M24" s="253">
        <f t="shared" si="5"/>
        <v>18</v>
      </c>
      <c r="N24" s="315">
        <f t="shared" si="6"/>
        <v>0</v>
      </c>
    </row>
    <row r="25" spans="1:14" s="253" customFormat="1" x14ac:dyDescent="0.25">
      <c r="A25" s="37">
        <v>2396191617</v>
      </c>
      <c r="B25" s="6" t="s">
        <v>248</v>
      </c>
      <c r="C25" s="249" t="s">
        <v>235</v>
      </c>
      <c r="D25" s="249"/>
      <c r="E25" s="249">
        <v>43643.235902777778</v>
      </c>
      <c r="F25" s="249">
        <v>43778</v>
      </c>
      <c r="G25" s="249">
        <v>43779</v>
      </c>
      <c r="H25" s="249" t="s">
        <v>779</v>
      </c>
      <c r="I25" s="274">
        <v>220</v>
      </c>
      <c r="J25" s="110">
        <f t="shared" si="0"/>
        <v>1</v>
      </c>
      <c r="K25" s="6">
        <f>SUMIF(Nov!$G$3:$G$110,A25,Nov!$J$3:$J$110)</f>
        <v>1</v>
      </c>
      <c r="L25" s="226">
        <f t="shared" si="4"/>
        <v>220</v>
      </c>
      <c r="M25" s="253">
        <f t="shared" si="5"/>
        <v>1</v>
      </c>
      <c r="N25" s="315">
        <f t="shared" si="6"/>
        <v>0</v>
      </c>
    </row>
    <row r="26" spans="1:14" s="253" customFormat="1" x14ac:dyDescent="0.25">
      <c r="A26" s="37">
        <v>3919296905</v>
      </c>
      <c r="B26" s="6" t="s">
        <v>248</v>
      </c>
      <c r="C26" s="249" t="s">
        <v>235</v>
      </c>
      <c r="D26" s="249"/>
      <c r="E26" s="249">
        <v>43680.45652777778</v>
      </c>
      <c r="F26" s="249">
        <v>43778</v>
      </c>
      <c r="G26" s="249">
        <v>43784</v>
      </c>
      <c r="H26" s="249" t="s">
        <v>780</v>
      </c>
      <c r="I26" s="274">
        <v>1340</v>
      </c>
      <c r="J26" s="110">
        <f t="shared" si="0"/>
        <v>6</v>
      </c>
      <c r="K26" s="6">
        <f>SUMIF(Nov!$G$3:$G$110,A26,Nov!$J$3:$J$110)</f>
        <v>6</v>
      </c>
      <c r="L26" s="226">
        <f t="shared" si="4"/>
        <v>223.33333333333334</v>
      </c>
      <c r="M26" s="253">
        <f t="shared" si="5"/>
        <v>6</v>
      </c>
      <c r="N26" s="315">
        <f t="shared" si="6"/>
        <v>0</v>
      </c>
    </row>
    <row r="27" spans="1:14" s="253" customFormat="1" x14ac:dyDescent="0.25">
      <c r="A27" s="37">
        <v>1911035090549</v>
      </c>
      <c r="B27" s="6" t="s">
        <v>248</v>
      </c>
      <c r="C27" s="249" t="s">
        <v>237</v>
      </c>
      <c r="D27" s="249" t="s">
        <v>291</v>
      </c>
      <c r="E27" s="249">
        <v>43772.354398148149</v>
      </c>
      <c r="F27" s="249">
        <v>43778</v>
      </c>
      <c r="G27" s="249">
        <v>43779</v>
      </c>
      <c r="H27" s="249" t="s">
        <v>781</v>
      </c>
      <c r="I27" s="274">
        <v>209</v>
      </c>
      <c r="J27" s="110">
        <f t="shared" si="0"/>
        <v>1</v>
      </c>
      <c r="K27" s="6">
        <f>SUMIF(Nov!$G$3:$G$110,A27,Nov!$J$3:$J$110)</f>
        <v>1</v>
      </c>
      <c r="L27" s="226">
        <f t="shared" si="4"/>
        <v>209</v>
      </c>
      <c r="M27" s="253">
        <f t="shared" si="5"/>
        <v>1</v>
      </c>
      <c r="N27" s="315">
        <f t="shared" si="6"/>
        <v>0</v>
      </c>
    </row>
    <row r="28" spans="1:14" s="253" customFormat="1" x14ac:dyDescent="0.25">
      <c r="A28" s="37">
        <v>3218982437</v>
      </c>
      <c r="B28" s="6" t="s">
        <v>249</v>
      </c>
      <c r="C28" s="249" t="s">
        <v>235</v>
      </c>
      <c r="D28" s="249"/>
      <c r="E28" s="249">
        <v>43682.613900462966</v>
      </c>
      <c r="F28" s="249">
        <v>43779</v>
      </c>
      <c r="G28" s="249">
        <v>43782</v>
      </c>
      <c r="H28" s="249" t="s">
        <v>782</v>
      </c>
      <c r="I28" s="274">
        <v>660</v>
      </c>
      <c r="J28" s="110">
        <f t="shared" si="0"/>
        <v>3</v>
      </c>
      <c r="K28" s="6">
        <f>SUMIF(Nov!$G$3:$G$110,A28,Nov!$J$3:$J$110)</f>
        <v>3</v>
      </c>
      <c r="L28" s="226">
        <f t="shared" si="4"/>
        <v>220</v>
      </c>
      <c r="M28" s="253">
        <f t="shared" si="5"/>
        <v>3</v>
      </c>
      <c r="N28" s="315">
        <f t="shared" si="6"/>
        <v>0</v>
      </c>
    </row>
    <row r="29" spans="1:14" s="253" customFormat="1" x14ac:dyDescent="0.25">
      <c r="A29" s="37">
        <v>3548845749</v>
      </c>
      <c r="B29" s="6" t="s">
        <v>248</v>
      </c>
      <c r="C29" s="249" t="s">
        <v>235</v>
      </c>
      <c r="D29" s="249"/>
      <c r="E29" s="249">
        <v>43748.295173611114</v>
      </c>
      <c r="F29" s="249">
        <v>43779</v>
      </c>
      <c r="G29" s="249">
        <v>43780</v>
      </c>
      <c r="H29" s="249" t="s">
        <v>776</v>
      </c>
      <c r="I29" s="274">
        <v>220</v>
      </c>
      <c r="J29" s="110">
        <f t="shared" si="0"/>
        <v>1</v>
      </c>
      <c r="K29" s="6">
        <f>SUMIF(Nov!$G$3:$G$110,A29,Nov!$J$3:$J$110)</f>
        <v>1</v>
      </c>
      <c r="L29" s="226">
        <f t="shared" si="4"/>
        <v>220</v>
      </c>
      <c r="M29" s="253">
        <f t="shared" si="5"/>
        <v>1</v>
      </c>
      <c r="N29" s="315">
        <f t="shared" si="6"/>
        <v>0</v>
      </c>
    </row>
    <row r="30" spans="1:14" s="253" customFormat="1" x14ac:dyDescent="0.25">
      <c r="A30" s="37">
        <v>1910235060518</v>
      </c>
      <c r="B30" s="6" t="s">
        <v>248</v>
      </c>
      <c r="C30" s="249" t="s">
        <v>237</v>
      </c>
      <c r="D30" s="249" t="s">
        <v>291</v>
      </c>
      <c r="E30" s="249">
        <v>43761.533495370371</v>
      </c>
      <c r="F30" s="249">
        <v>43779</v>
      </c>
      <c r="G30" s="249">
        <v>43781</v>
      </c>
      <c r="H30" s="249" t="s">
        <v>781</v>
      </c>
      <c r="I30" s="274">
        <v>418</v>
      </c>
      <c r="J30" s="110">
        <f t="shared" si="0"/>
        <v>2</v>
      </c>
      <c r="K30" s="6">
        <f>SUMIF(Nov!$G$3:$G$110,A30,Nov!$J$3:$J$110)</f>
        <v>2</v>
      </c>
      <c r="L30" s="226">
        <f t="shared" si="4"/>
        <v>209</v>
      </c>
      <c r="M30" s="253">
        <f t="shared" si="5"/>
        <v>2</v>
      </c>
      <c r="N30" s="315">
        <f t="shared" si="6"/>
        <v>0</v>
      </c>
    </row>
    <row r="31" spans="1:14" s="253" customFormat="1" x14ac:dyDescent="0.25">
      <c r="A31" s="37">
        <v>1910235060536</v>
      </c>
      <c r="B31" s="6" t="s">
        <v>248</v>
      </c>
      <c r="C31" s="249" t="s">
        <v>237</v>
      </c>
      <c r="D31" s="249" t="s">
        <v>291</v>
      </c>
      <c r="E31" s="249">
        <v>43761.53597222222</v>
      </c>
      <c r="F31" s="249">
        <v>43779</v>
      </c>
      <c r="G31" s="249">
        <v>43781</v>
      </c>
      <c r="H31" s="249" t="s">
        <v>783</v>
      </c>
      <c r="I31" s="274">
        <v>418</v>
      </c>
      <c r="J31" s="110">
        <f t="shared" si="0"/>
        <v>2</v>
      </c>
      <c r="K31" s="6">
        <f>SUMIF(Nov!$G$3:$G$110,A31,Nov!$J$3:$J$110)</f>
        <v>2</v>
      </c>
      <c r="L31" s="226">
        <f t="shared" si="4"/>
        <v>209</v>
      </c>
      <c r="M31" s="253">
        <f t="shared" si="5"/>
        <v>2</v>
      </c>
      <c r="N31" s="315">
        <f t="shared" si="6"/>
        <v>0</v>
      </c>
    </row>
    <row r="32" spans="1:14" s="253" customFormat="1" x14ac:dyDescent="0.25">
      <c r="A32" s="37">
        <v>3860842933</v>
      </c>
      <c r="B32" s="6" t="s">
        <v>248</v>
      </c>
      <c r="C32" s="249" t="s">
        <v>235</v>
      </c>
      <c r="D32" s="249"/>
      <c r="E32" s="249">
        <v>43676.046585648146</v>
      </c>
      <c r="F32" s="249">
        <v>43780</v>
      </c>
      <c r="G32" s="249">
        <v>43784</v>
      </c>
      <c r="H32" s="249" t="s">
        <v>784</v>
      </c>
      <c r="I32" s="274">
        <v>900</v>
      </c>
      <c r="J32" s="110">
        <f t="shared" si="0"/>
        <v>4</v>
      </c>
      <c r="K32" s="6">
        <f>SUMIF(Nov!$G$3:$G$110,A32,Nov!$J$3:$J$110)</f>
        <v>4</v>
      </c>
      <c r="L32" s="226">
        <f t="shared" si="4"/>
        <v>225</v>
      </c>
      <c r="M32" s="253">
        <f t="shared" si="5"/>
        <v>4</v>
      </c>
      <c r="N32" s="315">
        <f t="shared" si="6"/>
        <v>0</v>
      </c>
    </row>
    <row r="33" spans="1:14" s="253" customFormat="1" x14ac:dyDescent="0.25">
      <c r="A33" s="37">
        <v>2806461456</v>
      </c>
      <c r="B33" s="6" t="s">
        <v>248</v>
      </c>
      <c r="C33" s="249" t="s">
        <v>235</v>
      </c>
      <c r="D33" s="249"/>
      <c r="E33" s="249">
        <v>43771.271701388891</v>
      </c>
      <c r="F33" s="249">
        <v>43780</v>
      </c>
      <c r="G33" s="249">
        <v>43781</v>
      </c>
      <c r="H33" s="249" t="s">
        <v>785</v>
      </c>
      <c r="I33" s="274">
        <v>198</v>
      </c>
      <c r="J33" s="110">
        <f t="shared" si="0"/>
        <v>1</v>
      </c>
      <c r="K33" s="6">
        <f>SUMIF(Nov!$G$3:$G$110,A33,Nov!$J$3:$J$110)</f>
        <v>1</v>
      </c>
      <c r="L33" s="226">
        <f t="shared" si="4"/>
        <v>198</v>
      </c>
      <c r="M33" s="253">
        <f t="shared" si="5"/>
        <v>1</v>
      </c>
      <c r="N33" s="315">
        <f t="shared" si="6"/>
        <v>0</v>
      </c>
    </row>
    <row r="34" spans="1:14" s="253" customFormat="1" x14ac:dyDescent="0.25">
      <c r="A34" s="37">
        <v>3162159720</v>
      </c>
      <c r="B34" s="6" t="s">
        <v>248</v>
      </c>
      <c r="C34" s="249" t="s">
        <v>235</v>
      </c>
      <c r="D34" s="249"/>
      <c r="E34" s="249">
        <v>43589.593645833331</v>
      </c>
      <c r="F34" s="249">
        <v>43781</v>
      </c>
      <c r="G34" s="249">
        <v>43782</v>
      </c>
      <c r="H34" s="249" t="s">
        <v>786</v>
      </c>
      <c r="I34" s="274">
        <v>220</v>
      </c>
      <c r="J34" s="110">
        <f t="shared" si="0"/>
        <v>1</v>
      </c>
      <c r="K34" s="6">
        <f>SUMIF(Nov!$G$3:$G$110,A34,Nov!$J$3:$J$110)</f>
        <v>1</v>
      </c>
      <c r="L34" s="226">
        <f t="shared" si="4"/>
        <v>220</v>
      </c>
      <c r="M34" s="253">
        <f t="shared" si="5"/>
        <v>1</v>
      </c>
      <c r="N34" s="315">
        <f t="shared" si="6"/>
        <v>0</v>
      </c>
    </row>
    <row r="35" spans="1:14" s="253" customFormat="1" x14ac:dyDescent="0.25">
      <c r="A35" s="37">
        <v>2732054652</v>
      </c>
      <c r="B35" s="6" t="s">
        <v>248</v>
      </c>
      <c r="C35" s="249" t="s">
        <v>235</v>
      </c>
      <c r="D35" s="249"/>
      <c r="E35" s="249">
        <v>43643.237719907411</v>
      </c>
      <c r="F35" s="249">
        <v>43781</v>
      </c>
      <c r="G35" s="249">
        <v>43783</v>
      </c>
      <c r="H35" s="249" t="s">
        <v>779</v>
      </c>
      <c r="I35" s="274">
        <v>440</v>
      </c>
      <c r="J35" s="110">
        <f t="shared" si="0"/>
        <v>2</v>
      </c>
      <c r="K35" s="6">
        <f>SUMIF(Nov!$G$3:$G$110,A35,Nov!$J$3:$J$110)</f>
        <v>2</v>
      </c>
      <c r="L35" s="226">
        <f t="shared" si="4"/>
        <v>220</v>
      </c>
      <c r="M35" s="253">
        <f t="shared" si="5"/>
        <v>2</v>
      </c>
      <c r="N35" s="315">
        <f t="shared" si="6"/>
        <v>0</v>
      </c>
    </row>
    <row r="36" spans="1:14" s="253" customFormat="1" x14ac:dyDescent="0.25">
      <c r="A36" s="37">
        <v>2886638530</v>
      </c>
      <c r="B36" s="6" t="s">
        <v>248</v>
      </c>
      <c r="C36" s="249" t="s">
        <v>235</v>
      </c>
      <c r="D36" s="249"/>
      <c r="E36" s="249">
        <v>43652.632662037038</v>
      </c>
      <c r="F36" s="249">
        <v>43781</v>
      </c>
      <c r="G36" s="249">
        <v>43785</v>
      </c>
      <c r="H36" s="249" t="s">
        <v>787</v>
      </c>
      <c r="I36" s="274">
        <v>920</v>
      </c>
      <c r="J36" s="110">
        <f t="shared" si="0"/>
        <v>4</v>
      </c>
      <c r="K36" s="6">
        <f>SUMIF(Nov!$G$3:$G$110,A36,Nov!$J$3:$J$110)</f>
        <v>4</v>
      </c>
      <c r="L36" s="226">
        <f t="shared" si="4"/>
        <v>230</v>
      </c>
      <c r="M36" s="253">
        <f t="shared" si="5"/>
        <v>4</v>
      </c>
      <c r="N36" s="315">
        <f t="shared" si="6"/>
        <v>0</v>
      </c>
    </row>
    <row r="37" spans="1:14" s="253" customFormat="1" x14ac:dyDescent="0.25">
      <c r="A37" s="37">
        <v>1910245064426</v>
      </c>
      <c r="B37" s="6" t="s">
        <v>248</v>
      </c>
      <c r="C37" s="249" t="s">
        <v>237</v>
      </c>
      <c r="D37" s="249" t="s">
        <v>291</v>
      </c>
      <c r="E37" s="249">
        <v>43762.668067129627</v>
      </c>
      <c r="F37" s="249">
        <v>43781</v>
      </c>
      <c r="G37" s="249">
        <v>43782</v>
      </c>
      <c r="H37" s="249" t="s">
        <v>781</v>
      </c>
      <c r="I37" s="274">
        <v>209</v>
      </c>
      <c r="J37" s="110">
        <f t="shared" ref="J37:J67" si="7">G37-F37</f>
        <v>1</v>
      </c>
      <c r="K37" s="6">
        <f>SUMIF(Nov!$G$3:$G$110,A37,Nov!$J$3:$J$110)</f>
        <v>1</v>
      </c>
      <c r="L37" s="226">
        <f t="shared" si="4"/>
        <v>209</v>
      </c>
      <c r="M37" s="253">
        <f t="shared" si="5"/>
        <v>1</v>
      </c>
      <c r="N37" s="315">
        <f t="shared" si="6"/>
        <v>0</v>
      </c>
    </row>
    <row r="38" spans="1:14" s="253" customFormat="1" x14ac:dyDescent="0.25">
      <c r="A38" s="37">
        <v>1341416135</v>
      </c>
      <c r="B38" s="6" t="s">
        <v>248</v>
      </c>
      <c r="C38" s="249" t="s">
        <v>235</v>
      </c>
      <c r="D38" s="249"/>
      <c r="E38" s="249">
        <v>43476.54859953704</v>
      </c>
      <c r="F38" s="249">
        <v>43782</v>
      </c>
      <c r="G38" s="249">
        <v>43785</v>
      </c>
      <c r="H38" s="249" t="s">
        <v>788</v>
      </c>
      <c r="I38" s="274">
        <v>570</v>
      </c>
      <c r="J38" s="110">
        <f t="shared" si="7"/>
        <v>3</v>
      </c>
      <c r="K38" s="6">
        <f>SUMIF(Nov!$G$3:$G$110,A38,Nov!$J$3:$J$110)</f>
        <v>3</v>
      </c>
      <c r="L38" s="226">
        <f t="shared" si="4"/>
        <v>190</v>
      </c>
      <c r="M38" s="253">
        <f t="shared" si="5"/>
        <v>3</v>
      </c>
      <c r="N38" s="315">
        <f t="shared" si="6"/>
        <v>0</v>
      </c>
    </row>
    <row r="39" spans="1:14" s="253" customFormat="1" x14ac:dyDescent="0.25">
      <c r="A39" s="37">
        <v>1250156848</v>
      </c>
      <c r="B39" s="6" t="s">
        <v>248</v>
      </c>
      <c r="C39" s="249" t="s">
        <v>236</v>
      </c>
      <c r="D39" s="249" t="s">
        <v>292</v>
      </c>
      <c r="E39" s="249">
        <v>43588.975694444445</v>
      </c>
      <c r="F39" s="249">
        <v>43782</v>
      </c>
      <c r="G39" s="249">
        <v>43783</v>
      </c>
      <c r="H39" s="249" t="s">
        <v>789</v>
      </c>
      <c r="I39" s="274">
        <v>220</v>
      </c>
      <c r="J39" s="110">
        <f t="shared" si="7"/>
        <v>1</v>
      </c>
      <c r="K39" s="6">
        <f>SUMIF(Nov!$G$3:$G$110,A39,Nov!$J$3:$J$110)</f>
        <v>1</v>
      </c>
      <c r="L39" s="226">
        <f t="shared" si="4"/>
        <v>220</v>
      </c>
      <c r="M39" s="253">
        <f t="shared" si="5"/>
        <v>1</v>
      </c>
      <c r="N39" s="315">
        <f t="shared" si="6"/>
        <v>0</v>
      </c>
    </row>
    <row r="40" spans="1:14" s="253" customFormat="1" x14ac:dyDescent="0.25">
      <c r="A40" s="37">
        <v>1211107527</v>
      </c>
      <c r="B40" s="6" t="s">
        <v>248</v>
      </c>
      <c r="C40" s="249" t="s">
        <v>236</v>
      </c>
      <c r="D40" s="249" t="s">
        <v>290</v>
      </c>
      <c r="E40" s="249">
        <v>43530.065972222219</v>
      </c>
      <c r="F40" s="249">
        <v>43783</v>
      </c>
      <c r="G40" s="249">
        <v>43787</v>
      </c>
      <c r="H40" s="249" t="s">
        <v>790</v>
      </c>
      <c r="I40" s="274">
        <v>940</v>
      </c>
      <c r="J40" s="110">
        <f t="shared" si="7"/>
        <v>4</v>
      </c>
      <c r="K40" s="6">
        <f>SUMIF(Nov!$G$3:$G$110,A40,Nov!$J$3:$J$110)</f>
        <v>4</v>
      </c>
      <c r="L40" s="226">
        <f t="shared" si="4"/>
        <v>235</v>
      </c>
      <c r="M40" s="253">
        <f t="shared" si="5"/>
        <v>4</v>
      </c>
      <c r="N40" s="315">
        <f t="shared" si="6"/>
        <v>0</v>
      </c>
    </row>
    <row r="41" spans="1:14" s="253" customFormat="1" x14ac:dyDescent="0.25">
      <c r="A41" s="37">
        <v>1910175043495</v>
      </c>
      <c r="B41" s="6" t="s">
        <v>248</v>
      </c>
      <c r="C41" s="249" t="s">
        <v>237</v>
      </c>
      <c r="D41" s="249" t="s">
        <v>291</v>
      </c>
      <c r="E41" s="249">
        <v>43755.588321759256</v>
      </c>
      <c r="F41" s="249">
        <v>43783</v>
      </c>
      <c r="G41" s="249">
        <v>43786</v>
      </c>
      <c r="H41" s="249" t="s">
        <v>791</v>
      </c>
      <c r="I41" s="274">
        <v>684</v>
      </c>
      <c r="J41" s="110">
        <f t="shared" si="7"/>
        <v>3</v>
      </c>
      <c r="K41" s="6">
        <f>SUMIF(Nov!$G$3:$G$110,A41,Nov!$J$3:$J$110)</f>
        <v>3</v>
      </c>
      <c r="L41" s="226">
        <f t="shared" si="4"/>
        <v>228</v>
      </c>
      <c r="M41" s="253">
        <f t="shared" si="5"/>
        <v>3</v>
      </c>
      <c r="N41" s="315">
        <f t="shared" si="6"/>
        <v>0</v>
      </c>
    </row>
    <row r="42" spans="1:14" s="253" customFormat="1" x14ac:dyDescent="0.25">
      <c r="A42" s="37">
        <v>1250292106</v>
      </c>
      <c r="B42" s="6" t="s">
        <v>248</v>
      </c>
      <c r="C42" s="249" t="s">
        <v>236</v>
      </c>
      <c r="D42" s="249" t="s">
        <v>292</v>
      </c>
      <c r="E42" s="249">
        <v>43589.311111111114</v>
      </c>
      <c r="F42" s="249">
        <v>43784</v>
      </c>
      <c r="G42" s="249">
        <v>43787</v>
      </c>
      <c r="H42" s="249" t="s">
        <v>777</v>
      </c>
      <c r="I42" s="274">
        <v>700</v>
      </c>
      <c r="J42" s="110">
        <f t="shared" si="7"/>
        <v>3</v>
      </c>
      <c r="K42" s="6">
        <f>SUMIF(Nov!$G$3:$G$110,A42,Nov!$J$3:$J$110)</f>
        <v>3</v>
      </c>
      <c r="L42" s="226">
        <f t="shared" si="4"/>
        <v>233.33333333333334</v>
      </c>
      <c r="M42" s="253">
        <f t="shared" si="5"/>
        <v>3</v>
      </c>
      <c r="N42" s="315">
        <f t="shared" si="6"/>
        <v>0</v>
      </c>
    </row>
    <row r="43" spans="1:14" s="253" customFormat="1" x14ac:dyDescent="0.25">
      <c r="A43" s="37">
        <v>1908114828866</v>
      </c>
      <c r="B43" s="6" t="s">
        <v>248</v>
      </c>
      <c r="C43" s="249" t="s">
        <v>237</v>
      </c>
      <c r="D43" s="249" t="s">
        <v>291</v>
      </c>
      <c r="E43" s="249">
        <v>43688.58221064815</v>
      </c>
      <c r="F43" s="249">
        <v>43784</v>
      </c>
      <c r="G43" s="249">
        <v>43786</v>
      </c>
      <c r="H43" s="249" t="s">
        <v>792</v>
      </c>
      <c r="I43" s="274">
        <v>456</v>
      </c>
      <c r="J43" s="110">
        <f t="shared" si="7"/>
        <v>2</v>
      </c>
      <c r="K43" s="6">
        <f>SUMIF(Nov!$G$3:$G$110,A43,Nov!$J$3:$J$110)</f>
        <v>2</v>
      </c>
      <c r="L43" s="226">
        <f t="shared" si="4"/>
        <v>228</v>
      </c>
      <c r="M43" s="253">
        <f t="shared" si="5"/>
        <v>2</v>
      </c>
      <c r="N43" s="315">
        <f t="shared" si="6"/>
        <v>0</v>
      </c>
    </row>
    <row r="44" spans="1:14" s="253" customFormat="1" x14ac:dyDescent="0.25">
      <c r="A44" s="37">
        <v>3078979386</v>
      </c>
      <c r="B44" s="6" t="s">
        <v>248</v>
      </c>
      <c r="C44" s="249" t="s">
        <v>235</v>
      </c>
      <c r="D44" s="249"/>
      <c r="E44" s="249">
        <v>43612.728252314817</v>
      </c>
      <c r="F44" s="249">
        <v>43785</v>
      </c>
      <c r="G44" s="249">
        <v>43791</v>
      </c>
      <c r="H44" s="249" t="s">
        <v>793</v>
      </c>
      <c r="I44" s="274">
        <v>1340</v>
      </c>
      <c r="J44" s="110">
        <f t="shared" si="7"/>
        <v>6</v>
      </c>
      <c r="K44" s="6">
        <f>SUMIF(Nov!$G$3:$G$110,A44,Nov!$J$3:$J$110)</f>
        <v>6</v>
      </c>
      <c r="L44" s="226">
        <f t="shared" si="4"/>
        <v>223.33333333333334</v>
      </c>
      <c r="M44" s="253">
        <f t="shared" si="5"/>
        <v>6</v>
      </c>
      <c r="N44" s="315">
        <f t="shared" si="6"/>
        <v>0</v>
      </c>
    </row>
    <row r="45" spans="1:14" s="253" customFormat="1" x14ac:dyDescent="0.25">
      <c r="A45" s="37">
        <v>3873934890</v>
      </c>
      <c r="B45" s="6" t="s">
        <v>248</v>
      </c>
      <c r="C45" s="249" t="s">
        <v>235</v>
      </c>
      <c r="D45" s="249"/>
      <c r="E45" s="249">
        <v>43763.957141203704</v>
      </c>
      <c r="F45" s="249">
        <v>43785</v>
      </c>
      <c r="G45" s="249">
        <v>43786</v>
      </c>
      <c r="H45" s="249" t="s">
        <v>794</v>
      </c>
      <c r="I45" s="274">
        <v>240</v>
      </c>
      <c r="J45" s="110">
        <f t="shared" si="7"/>
        <v>1</v>
      </c>
      <c r="K45" s="6">
        <f>SUMIF(Nov!$G$3:$G$110,A45,Nov!$J$3:$J$110)</f>
        <v>1</v>
      </c>
      <c r="L45" s="226">
        <f t="shared" si="4"/>
        <v>240</v>
      </c>
      <c r="M45" s="253">
        <f t="shared" si="5"/>
        <v>1</v>
      </c>
      <c r="N45" s="315">
        <f t="shared" si="6"/>
        <v>0</v>
      </c>
    </row>
    <row r="46" spans="1:14" s="253" customFormat="1" x14ac:dyDescent="0.25">
      <c r="A46" s="37">
        <v>3951299292</v>
      </c>
      <c r="B46" s="6" t="s">
        <v>248</v>
      </c>
      <c r="C46" s="249" t="s">
        <v>235</v>
      </c>
      <c r="D46" s="249"/>
      <c r="E46" s="249">
        <v>43780.908807870372</v>
      </c>
      <c r="F46" s="249">
        <v>43785</v>
      </c>
      <c r="G46" s="249">
        <v>43787</v>
      </c>
      <c r="H46" s="249" t="s">
        <v>795</v>
      </c>
      <c r="I46" s="274">
        <v>414</v>
      </c>
      <c r="J46" s="110">
        <f t="shared" si="7"/>
        <v>2</v>
      </c>
      <c r="K46" s="6">
        <f>SUMIF(Nov!$G$3:$G$110,A46,Nov!$J$3:$J$110)</f>
        <v>2</v>
      </c>
      <c r="L46" s="226">
        <f t="shared" si="4"/>
        <v>207</v>
      </c>
      <c r="M46" s="253">
        <f t="shared" si="5"/>
        <v>2</v>
      </c>
      <c r="N46" s="315">
        <f t="shared" si="6"/>
        <v>0</v>
      </c>
    </row>
    <row r="47" spans="1:14" s="253" customFormat="1" x14ac:dyDescent="0.25">
      <c r="A47" s="37">
        <v>1800879581</v>
      </c>
      <c r="B47" s="6" t="s">
        <v>249</v>
      </c>
      <c r="C47" s="249" t="s">
        <v>235</v>
      </c>
      <c r="D47" s="249"/>
      <c r="E47" s="249">
        <v>43501.562627314815</v>
      </c>
      <c r="F47" s="249">
        <v>43786</v>
      </c>
      <c r="G47" s="249">
        <v>43789</v>
      </c>
      <c r="H47" s="249" t="s">
        <v>796</v>
      </c>
      <c r="I47" s="274">
        <v>615</v>
      </c>
      <c r="J47" s="110">
        <f t="shared" si="7"/>
        <v>3</v>
      </c>
      <c r="K47" s="6">
        <f>SUMIF(Nov!$G$3:$G$110,A47,Nov!$J$3:$J$110)</f>
        <v>3</v>
      </c>
      <c r="L47" s="226">
        <f t="shared" si="4"/>
        <v>205</v>
      </c>
      <c r="M47" s="253">
        <f t="shared" si="5"/>
        <v>3</v>
      </c>
      <c r="N47" s="315">
        <f t="shared" si="6"/>
        <v>0</v>
      </c>
    </row>
    <row r="48" spans="1:14" s="253" customFormat="1" x14ac:dyDescent="0.25">
      <c r="A48" s="37">
        <v>3440760368</v>
      </c>
      <c r="B48" s="6" t="s">
        <v>249</v>
      </c>
      <c r="C48" s="249" t="s">
        <v>235</v>
      </c>
      <c r="D48" s="249"/>
      <c r="E48" s="249">
        <v>43730.980486111112</v>
      </c>
      <c r="F48" s="249">
        <v>43786</v>
      </c>
      <c r="G48" s="249">
        <v>43789</v>
      </c>
      <c r="H48" s="249" t="s">
        <v>794</v>
      </c>
      <c r="I48" s="274">
        <v>660</v>
      </c>
      <c r="J48" s="110">
        <f t="shared" si="7"/>
        <v>3</v>
      </c>
      <c r="K48" s="6">
        <f>SUMIF(Nov!$G$3:$G$110,A48,Nov!$J$3:$J$110)</f>
        <v>3</v>
      </c>
      <c r="L48" s="226">
        <f t="shared" si="4"/>
        <v>220</v>
      </c>
      <c r="M48" s="253">
        <f t="shared" si="5"/>
        <v>3</v>
      </c>
      <c r="N48" s="315">
        <f t="shared" si="6"/>
        <v>0</v>
      </c>
    </row>
    <row r="49" spans="1:14" s="253" customFormat="1" x14ac:dyDescent="0.25">
      <c r="A49" s="37">
        <v>2942088224</v>
      </c>
      <c r="B49" s="6" t="s">
        <v>248</v>
      </c>
      <c r="C49" s="249" t="s">
        <v>235</v>
      </c>
      <c r="D49" s="249"/>
      <c r="E49" s="249">
        <v>43745.066365740742</v>
      </c>
      <c r="F49" s="249">
        <v>43786</v>
      </c>
      <c r="G49" s="249">
        <v>43791</v>
      </c>
      <c r="H49" s="249" t="s">
        <v>797</v>
      </c>
      <c r="I49" s="274">
        <v>1100</v>
      </c>
      <c r="J49" s="110">
        <f t="shared" si="7"/>
        <v>5</v>
      </c>
      <c r="K49" s="6">
        <f>SUMIF(Nov!$G$3:$G$110,A49,Nov!$J$3:$J$110)</f>
        <v>5</v>
      </c>
      <c r="L49" s="226">
        <f t="shared" si="4"/>
        <v>220</v>
      </c>
      <c r="M49" s="253">
        <f t="shared" si="5"/>
        <v>5</v>
      </c>
      <c r="N49" s="315">
        <f t="shared" si="6"/>
        <v>0</v>
      </c>
    </row>
    <row r="50" spans="1:14" s="253" customFormat="1" x14ac:dyDescent="0.25">
      <c r="A50" s="37">
        <v>1360845627</v>
      </c>
      <c r="B50" s="6" t="s">
        <v>248</v>
      </c>
      <c r="C50" s="249" t="s">
        <v>236</v>
      </c>
      <c r="D50" s="249" t="s">
        <v>292</v>
      </c>
      <c r="E50" s="249">
        <v>43751.32916666667</v>
      </c>
      <c r="F50" s="249">
        <v>43786</v>
      </c>
      <c r="G50" s="249">
        <v>43788</v>
      </c>
      <c r="H50" s="249" t="s">
        <v>798</v>
      </c>
      <c r="I50" s="274">
        <v>440</v>
      </c>
      <c r="J50" s="110">
        <f t="shared" si="7"/>
        <v>2</v>
      </c>
      <c r="K50" s="6">
        <f>SUMIF(Nov!$G$3:$G$110,A50,Nov!$J$3:$J$110)</f>
        <v>2</v>
      </c>
      <c r="L50" s="226">
        <f t="shared" si="4"/>
        <v>220</v>
      </c>
      <c r="M50" s="253">
        <f t="shared" si="5"/>
        <v>2</v>
      </c>
      <c r="N50" s="315">
        <f t="shared" si="6"/>
        <v>0</v>
      </c>
    </row>
    <row r="51" spans="1:14" s="253" customFormat="1" x14ac:dyDescent="0.25">
      <c r="A51" s="37">
        <v>1299698851</v>
      </c>
      <c r="B51" s="6" t="s">
        <v>248</v>
      </c>
      <c r="C51" s="249" t="s">
        <v>236</v>
      </c>
      <c r="D51" s="249" t="s">
        <v>290</v>
      </c>
      <c r="E51" s="249">
        <v>43660.5625</v>
      </c>
      <c r="F51" s="249">
        <v>43787</v>
      </c>
      <c r="G51" s="249">
        <v>43790</v>
      </c>
      <c r="H51" s="249" t="s">
        <v>799</v>
      </c>
      <c r="I51" s="274">
        <v>660</v>
      </c>
      <c r="J51" s="110">
        <f t="shared" si="7"/>
        <v>3</v>
      </c>
      <c r="K51" s="6">
        <f>SUMIF(Nov!$G$3:$G$110,A51,Nov!$J$3:$J$110)</f>
        <v>3</v>
      </c>
      <c r="L51" s="226">
        <f t="shared" si="4"/>
        <v>220</v>
      </c>
      <c r="M51" s="253">
        <f t="shared" si="5"/>
        <v>3</v>
      </c>
      <c r="N51" s="315">
        <f t="shared" si="6"/>
        <v>0</v>
      </c>
    </row>
    <row r="52" spans="1:14" s="253" customFormat="1" x14ac:dyDescent="0.25">
      <c r="A52" s="37">
        <v>1908314895845</v>
      </c>
      <c r="B52" s="6" t="s">
        <v>248</v>
      </c>
      <c r="C52" s="249" t="s">
        <v>237</v>
      </c>
      <c r="D52" s="249" t="s">
        <v>291</v>
      </c>
      <c r="E52" s="249">
        <v>43709.019583333335</v>
      </c>
      <c r="F52" s="249">
        <v>43787</v>
      </c>
      <c r="G52" s="249">
        <v>43792</v>
      </c>
      <c r="H52" s="249" t="s">
        <v>800</v>
      </c>
      <c r="I52" s="274">
        <v>1045</v>
      </c>
      <c r="J52" s="110">
        <f t="shared" si="7"/>
        <v>5</v>
      </c>
      <c r="K52" s="6">
        <f>SUMIF(Nov!$G$3:$G$110,A52,Nov!$J$3:$J$110)</f>
        <v>5</v>
      </c>
      <c r="L52" s="226">
        <f t="shared" si="4"/>
        <v>209</v>
      </c>
      <c r="M52" s="253">
        <f t="shared" si="5"/>
        <v>5</v>
      </c>
      <c r="N52" s="315">
        <f t="shared" si="6"/>
        <v>0</v>
      </c>
    </row>
    <row r="53" spans="1:14" s="253" customFormat="1" x14ac:dyDescent="0.25">
      <c r="A53" s="37">
        <v>2799313284</v>
      </c>
      <c r="B53" s="6" t="s">
        <v>249</v>
      </c>
      <c r="C53" s="249" t="s">
        <v>235</v>
      </c>
      <c r="D53" s="249"/>
      <c r="E53" s="249">
        <v>43751.667326388888</v>
      </c>
      <c r="F53" s="249">
        <v>43787</v>
      </c>
      <c r="G53" s="249">
        <v>43792</v>
      </c>
      <c r="H53" s="249" t="s">
        <v>801</v>
      </c>
      <c r="I53" s="274">
        <v>990</v>
      </c>
      <c r="J53" s="110">
        <f t="shared" si="7"/>
        <v>5</v>
      </c>
      <c r="K53" s="6">
        <f>SUMIF(Nov!$G$3:$G$110,A53,Nov!$J$3:$J$110)</f>
        <v>5</v>
      </c>
      <c r="L53" s="226">
        <f t="shared" si="4"/>
        <v>198</v>
      </c>
      <c r="M53" s="253">
        <f t="shared" si="5"/>
        <v>5</v>
      </c>
      <c r="N53" s="315">
        <f t="shared" si="6"/>
        <v>0</v>
      </c>
    </row>
    <row r="54" spans="1:14" s="253" customFormat="1" x14ac:dyDescent="0.25">
      <c r="A54" s="37">
        <v>3775730212</v>
      </c>
      <c r="B54" s="6" t="s">
        <v>248</v>
      </c>
      <c r="C54" s="249" t="s">
        <v>235</v>
      </c>
      <c r="D54" s="249"/>
      <c r="E54" s="249">
        <v>43764.590763888889</v>
      </c>
      <c r="F54" s="249">
        <v>43788</v>
      </c>
      <c r="G54" s="249">
        <v>43794</v>
      </c>
      <c r="H54" s="249" t="s">
        <v>802</v>
      </c>
      <c r="I54" s="274">
        <v>1188</v>
      </c>
      <c r="J54" s="110">
        <f t="shared" si="7"/>
        <v>6</v>
      </c>
      <c r="K54" s="6">
        <f>SUMIF(Nov!$G$3:$G$110,A54,Nov!$J$3:$J$110)</f>
        <v>6</v>
      </c>
      <c r="L54" s="226">
        <f t="shared" si="4"/>
        <v>198</v>
      </c>
      <c r="M54" s="253">
        <f t="shared" si="5"/>
        <v>6</v>
      </c>
      <c r="N54" s="315">
        <f t="shared" si="6"/>
        <v>0</v>
      </c>
    </row>
    <row r="55" spans="1:14" s="253" customFormat="1" x14ac:dyDescent="0.25">
      <c r="A55" s="37">
        <v>1231232021</v>
      </c>
      <c r="B55" s="6" t="s">
        <v>248</v>
      </c>
      <c r="C55" s="249" t="s">
        <v>236</v>
      </c>
      <c r="D55" s="249" t="s">
        <v>290</v>
      </c>
      <c r="E55" s="249">
        <v>43559.611805555556</v>
      </c>
      <c r="F55" s="249">
        <v>43789</v>
      </c>
      <c r="G55" s="249">
        <v>43795</v>
      </c>
      <c r="H55" s="249" t="s">
        <v>803</v>
      </c>
      <c r="I55" s="274">
        <v>1320</v>
      </c>
      <c r="J55" s="110">
        <f t="shared" si="7"/>
        <v>6</v>
      </c>
      <c r="K55" s="6">
        <f>SUMIF(Nov!$G$3:$G$110,A55,Nov!$J$3:$J$110)</f>
        <v>6</v>
      </c>
      <c r="L55" s="226">
        <f t="shared" si="4"/>
        <v>220</v>
      </c>
      <c r="M55" s="253">
        <f t="shared" si="5"/>
        <v>6</v>
      </c>
      <c r="N55" s="315">
        <f t="shared" si="6"/>
        <v>0</v>
      </c>
    </row>
    <row r="56" spans="1:14" s="253" customFormat="1" x14ac:dyDescent="0.25">
      <c r="A56" s="37">
        <v>1259633920</v>
      </c>
      <c r="B56" s="6" t="s">
        <v>248</v>
      </c>
      <c r="C56" s="249" t="s">
        <v>236</v>
      </c>
      <c r="D56" s="249" t="s">
        <v>290</v>
      </c>
      <c r="E56" s="249">
        <v>43603.584722222222</v>
      </c>
      <c r="F56" s="249">
        <v>43789</v>
      </c>
      <c r="G56" s="249">
        <v>43795</v>
      </c>
      <c r="H56" s="249" t="s">
        <v>804</v>
      </c>
      <c r="I56" s="274">
        <v>1320</v>
      </c>
      <c r="J56" s="110">
        <f t="shared" si="7"/>
        <v>6</v>
      </c>
      <c r="K56" s="6">
        <f>SUMIF(Nov!$G$3:$G$110,A56,Nov!$J$3:$J$110)</f>
        <v>6</v>
      </c>
      <c r="L56" s="226">
        <f t="shared" si="4"/>
        <v>220</v>
      </c>
      <c r="M56" s="253">
        <f t="shared" si="5"/>
        <v>6</v>
      </c>
      <c r="N56" s="315">
        <f t="shared" si="6"/>
        <v>0</v>
      </c>
    </row>
    <row r="57" spans="1:14" s="253" customFormat="1" x14ac:dyDescent="0.25">
      <c r="A57" s="37">
        <v>3555270217</v>
      </c>
      <c r="B57" s="6" t="s">
        <v>248</v>
      </c>
      <c r="C57" s="249" t="s">
        <v>235</v>
      </c>
      <c r="D57" s="249"/>
      <c r="E57" s="249">
        <v>43659.029143518521</v>
      </c>
      <c r="F57" s="249">
        <v>43789</v>
      </c>
      <c r="G57" s="249">
        <v>43796</v>
      </c>
      <c r="H57" s="249" t="s">
        <v>805</v>
      </c>
      <c r="I57" s="274">
        <v>1540</v>
      </c>
      <c r="J57" s="110">
        <f t="shared" si="7"/>
        <v>7</v>
      </c>
      <c r="K57" s="6">
        <f>SUMIF(Nov!$G$3:$G$110,A57,Nov!$J$3:$J$110)</f>
        <v>7</v>
      </c>
      <c r="L57" s="226">
        <f t="shared" si="4"/>
        <v>220</v>
      </c>
      <c r="M57" s="253">
        <f t="shared" si="5"/>
        <v>7</v>
      </c>
      <c r="N57" s="315">
        <f t="shared" si="6"/>
        <v>0</v>
      </c>
    </row>
    <row r="58" spans="1:14" s="253" customFormat="1" x14ac:dyDescent="0.25">
      <c r="A58" s="37">
        <v>1910255067639</v>
      </c>
      <c r="B58" s="6" t="s">
        <v>248</v>
      </c>
      <c r="C58" s="249" t="s">
        <v>237</v>
      </c>
      <c r="D58" s="249" t="s">
        <v>291</v>
      </c>
      <c r="E58" s="249">
        <v>43763.723877314813</v>
      </c>
      <c r="F58" s="249">
        <v>43789</v>
      </c>
      <c r="G58" s="249">
        <v>43793</v>
      </c>
      <c r="H58" s="249" t="s">
        <v>806</v>
      </c>
      <c r="I58" s="274">
        <v>836</v>
      </c>
      <c r="J58" s="110">
        <f t="shared" si="7"/>
        <v>4</v>
      </c>
      <c r="K58" s="6">
        <f>SUMIF(Nov!$G$3:$G$110,A58,Nov!$J$3:$J$110)</f>
        <v>4</v>
      </c>
      <c r="L58" s="226">
        <f t="shared" si="4"/>
        <v>209</v>
      </c>
      <c r="M58" s="253">
        <f t="shared" si="5"/>
        <v>4</v>
      </c>
      <c r="N58" s="315">
        <f t="shared" si="6"/>
        <v>0</v>
      </c>
    </row>
    <row r="59" spans="1:14" s="253" customFormat="1" x14ac:dyDescent="0.25">
      <c r="A59" s="37">
        <v>1317603713</v>
      </c>
      <c r="B59" s="6" t="s">
        <v>248</v>
      </c>
      <c r="C59" s="249" t="s">
        <v>236</v>
      </c>
      <c r="D59" s="249" t="s">
        <v>290</v>
      </c>
      <c r="E59" s="249">
        <v>43685.380555555559</v>
      </c>
      <c r="F59" s="249">
        <v>43790</v>
      </c>
      <c r="G59" s="249">
        <v>43792</v>
      </c>
      <c r="H59" s="249" t="s">
        <v>807</v>
      </c>
      <c r="I59" s="274">
        <v>440</v>
      </c>
      <c r="J59" s="110">
        <f t="shared" si="7"/>
        <v>2</v>
      </c>
      <c r="K59" s="6">
        <f>SUMIF(Nov!$G$3:$G$110,A59,Nov!$J$3:$J$110)</f>
        <v>2</v>
      </c>
      <c r="L59" s="226">
        <f t="shared" si="4"/>
        <v>220</v>
      </c>
      <c r="M59" s="253">
        <f t="shared" si="5"/>
        <v>2</v>
      </c>
      <c r="N59" s="315">
        <f t="shared" si="6"/>
        <v>0</v>
      </c>
    </row>
    <row r="60" spans="1:14" s="253" customFormat="1" x14ac:dyDescent="0.25">
      <c r="A60" s="37">
        <v>2588573132</v>
      </c>
      <c r="B60" s="6" t="s">
        <v>248</v>
      </c>
      <c r="C60" s="249" t="s">
        <v>235</v>
      </c>
      <c r="D60" s="249"/>
      <c r="E60" s="249">
        <v>43655.572824074072</v>
      </c>
      <c r="F60" s="249">
        <v>43791</v>
      </c>
      <c r="G60" s="249">
        <v>43792</v>
      </c>
      <c r="H60" s="249" t="s">
        <v>808</v>
      </c>
      <c r="I60" s="274">
        <v>220</v>
      </c>
      <c r="J60" s="110">
        <f t="shared" si="7"/>
        <v>1</v>
      </c>
      <c r="K60" s="6">
        <f>SUMIF(Nov!$G$3:$G$110,A60,Nov!$J$3:$J$110)</f>
        <v>1</v>
      </c>
      <c r="L60" s="226">
        <f t="shared" si="4"/>
        <v>220</v>
      </c>
      <c r="M60" s="253">
        <f t="shared" si="5"/>
        <v>1</v>
      </c>
      <c r="N60" s="315">
        <f t="shared" si="6"/>
        <v>0</v>
      </c>
    </row>
    <row r="61" spans="1:14" s="253" customFormat="1" x14ac:dyDescent="0.25">
      <c r="A61" s="37">
        <v>1908314894870</v>
      </c>
      <c r="B61" s="6" t="s">
        <v>248</v>
      </c>
      <c r="C61" s="249" t="s">
        <v>237</v>
      </c>
      <c r="D61" s="249" t="s">
        <v>291</v>
      </c>
      <c r="E61" s="249">
        <v>43708.611342592594</v>
      </c>
      <c r="F61" s="249">
        <v>43792</v>
      </c>
      <c r="G61" s="249">
        <v>43795</v>
      </c>
      <c r="H61" s="249" t="s">
        <v>809</v>
      </c>
      <c r="I61" s="274">
        <v>627</v>
      </c>
      <c r="J61" s="110">
        <f t="shared" si="7"/>
        <v>3</v>
      </c>
      <c r="K61" s="6">
        <f>SUMIF(Nov!$G$3:$G$110,A61,Nov!$J$3:$J$110)</f>
        <v>3</v>
      </c>
      <c r="L61" s="226">
        <f t="shared" si="4"/>
        <v>209</v>
      </c>
      <c r="M61" s="253">
        <f t="shared" si="5"/>
        <v>3</v>
      </c>
      <c r="N61" s="315">
        <f t="shared" si="6"/>
        <v>0</v>
      </c>
    </row>
    <row r="62" spans="1:14" s="253" customFormat="1" x14ac:dyDescent="0.25">
      <c r="A62" s="37">
        <v>1902284262759</v>
      </c>
      <c r="B62" s="6" t="s">
        <v>248</v>
      </c>
      <c r="C62" s="249" t="s">
        <v>237</v>
      </c>
      <c r="D62" s="249" t="s">
        <v>291</v>
      </c>
      <c r="E62" s="249">
        <v>43524.767118055555</v>
      </c>
      <c r="F62" s="249">
        <v>43793</v>
      </c>
      <c r="G62" s="249">
        <v>43798</v>
      </c>
      <c r="H62" s="249" t="s">
        <v>810</v>
      </c>
      <c r="I62" s="274">
        <v>1045</v>
      </c>
      <c r="J62" s="110">
        <f t="shared" si="7"/>
        <v>5</v>
      </c>
      <c r="K62" s="6">
        <f>SUMIF(Nov!$G$3:$G$110,A62,Nov!$J$3:$J$110)</f>
        <v>5</v>
      </c>
      <c r="L62" s="226">
        <f t="shared" si="4"/>
        <v>209</v>
      </c>
      <c r="M62" s="253">
        <f t="shared" si="5"/>
        <v>5</v>
      </c>
      <c r="N62" s="315">
        <f t="shared" si="6"/>
        <v>0</v>
      </c>
    </row>
    <row r="63" spans="1:14" s="253" customFormat="1" x14ac:dyDescent="0.25">
      <c r="A63" s="37">
        <v>1329505823</v>
      </c>
      <c r="B63" s="6" t="s">
        <v>248</v>
      </c>
      <c r="C63" s="249" t="s">
        <v>235</v>
      </c>
      <c r="D63" s="249"/>
      <c r="E63" s="249">
        <v>43527.172511574077</v>
      </c>
      <c r="F63" s="249">
        <v>43793</v>
      </c>
      <c r="G63" s="249">
        <v>43798</v>
      </c>
      <c r="H63" s="249" t="s">
        <v>811</v>
      </c>
      <c r="I63" s="274">
        <v>1100</v>
      </c>
      <c r="J63" s="110">
        <f t="shared" si="7"/>
        <v>5</v>
      </c>
      <c r="K63" s="6">
        <f>SUMIF(Nov!$G$3:$G$110,A63,Nov!$J$3:$J$110)</f>
        <v>5</v>
      </c>
      <c r="L63" s="226">
        <f t="shared" si="4"/>
        <v>220</v>
      </c>
      <c r="M63" s="253">
        <f t="shared" si="5"/>
        <v>5</v>
      </c>
      <c r="N63" s="315">
        <f t="shared" si="6"/>
        <v>0</v>
      </c>
    </row>
    <row r="64" spans="1:14" s="253" customFormat="1" x14ac:dyDescent="0.25">
      <c r="A64" s="37">
        <v>2798233817</v>
      </c>
      <c r="B64" s="6" t="s">
        <v>249</v>
      </c>
      <c r="C64" s="249" t="s">
        <v>235</v>
      </c>
      <c r="D64" s="249"/>
      <c r="E64" s="249">
        <v>43716.680150462962</v>
      </c>
      <c r="F64" s="249">
        <v>43793</v>
      </c>
      <c r="G64" s="249">
        <v>43797</v>
      </c>
      <c r="H64" s="249" t="s">
        <v>812</v>
      </c>
      <c r="I64" s="274">
        <v>880</v>
      </c>
      <c r="J64" s="110">
        <f t="shared" si="7"/>
        <v>4</v>
      </c>
      <c r="K64" s="6">
        <f>SUMIF(Nov!$G$3:$G$110,A64,Nov!$J$3:$J$110)</f>
        <v>4</v>
      </c>
      <c r="L64" s="226">
        <f t="shared" si="4"/>
        <v>220</v>
      </c>
      <c r="M64" s="253">
        <f t="shared" si="5"/>
        <v>4</v>
      </c>
      <c r="N64" s="315">
        <f t="shared" si="6"/>
        <v>0</v>
      </c>
    </row>
    <row r="65" spans="1:14" s="253" customFormat="1" x14ac:dyDescent="0.25">
      <c r="A65" s="37">
        <v>3083653785</v>
      </c>
      <c r="B65" s="6" t="s">
        <v>248</v>
      </c>
      <c r="C65" s="249" t="s">
        <v>235</v>
      </c>
      <c r="D65" s="249"/>
      <c r="E65" s="249">
        <v>43751.853819444441</v>
      </c>
      <c r="F65" s="249">
        <v>43793</v>
      </c>
      <c r="G65" s="249">
        <v>43799</v>
      </c>
      <c r="H65" s="249" t="s">
        <v>813</v>
      </c>
      <c r="I65" s="274">
        <v>1320</v>
      </c>
      <c r="J65" s="110">
        <f t="shared" si="7"/>
        <v>6</v>
      </c>
      <c r="K65" s="6">
        <f>SUMIF(Nov!$G$3:$G$110,A65,Nov!$J$3:$J$110)</f>
        <v>6</v>
      </c>
      <c r="L65" s="226">
        <f t="shared" si="4"/>
        <v>220</v>
      </c>
      <c r="M65" s="253">
        <f t="shared" si="5"/>
        <v>6</v>
      </c>
      <c r="N65" s="315">
        <f t="shared" si="6"/>
        <v>0</v>
      </c>
    </row>
    <row r="66" spans="1:14" s="253" customFormat="1" x14ac:dyDescent="0.25">
      <c r="A66" s="37">
        <v>1910255067755</v>
      </c>
      <c r="B66" s="6" t="s">
        <v>248</v>
      </c>
      <c r="C66" s="249" t="s">
        <v>237</v>
      </c>
      <c r="D66" s="249" t="s">
        <v>291</v>
      </c>
      <c r="E66" s="249">
        <v>43763.758784722224</v>
      </c>
      <c r="F66" s="249">
        <v>43793</v>
      </c>
      <c r="G66" s="249">
        <v>43796</v>
      </c>
      <c r="H66" s="249" t="s">
        <v>806</v>
      </c>
      <c r="I66" s="274">
        <v>627</v>
      </c>
      <c r="J66" s="110">
        <f t="shared" si="7"/>
        <v>3</v>
      </c>
      <c r="K66" s="6">
        <f>SUMIF(Nov!$G$3:$G$110,A66,Nov!$J$3:$J$110)</f>
        <v>3</v>
      </c>
      <c r="L66" s="226">
        <f t="shared" si="4"/>
        <v>209</v>
      </c>
      <c r="M66" s="253">
        <f t="shared" si="5"/>
        <v>3</v>
      </c>
      <c r="N66" s="315">
        <f t="shared" si="6"/>
        <v>0</v>
      </c>
    </row>
    <row r="67" spans="1:14" s="253" customFormat="1" x14ac:dyDescent="0.25">
      <c r="A67" s="37">
        <v>2276759997</v>
      </c>
      <c r="B67" s="6" t="s">
        <v>248</v>
      </c>
      <c r="C67" s="249" t="s">
        <v>235</v>
      </c>
      <c r="D67" s="249"/>
      <c r="E67" s="249">
        <v>43770.872777777775</v>
      </c>
      <c r="F67" s="249">
        <v>43794</v>
      </c>
      <c r="G67" s="249">
        <v>43800</v>
      </c>
      <c r="H67" s="249" t="s">
        <v>814</v>
      </c>
      <c r="I67" s="274">
        <v>1320</v>
      </c>
      <c r="J67" s="110">
        <f t="shared" si="7"/>
        <v>6</v>
      </c>
      <c r="K67" s="6">
        <f>SUMIF(Nov!$G$3:$G$110,A67,Nov!$J$3:$J$110)</f>
        <v>6</v>
      </c>
      <c r="L67" s="226">
        <f t="shared" si="4"/>
        <v>220</v>
      </c>
      <c r="M67" s="253">
        <f t="shared" si="5"/>
        <v>6</v>
      </c>
      <c r="N67" s="315">
        <f t="shared" si="6"/>
        <v>0</v>
      </c>
    </row>
    <row r="68" spans="1:14" s="253" customFormat="1" x14ac:dyDescent="0.25">
      <c r="A68" s="37">
        <v>2617611766</v>
      </c>
      <c r="B68" s="6" t="s">
        <v>248</v>
      </c>
      <c r="C68" s="249" t="s">
        <v>235</v>
      </c>
      <c r="D68" s="249"/>
      <c r="E68" s="249">
        <v>43722.552893518521</v>
      </c>
      <c r="F68" s="249">
        <v>43795</v>
      </c>
      <c r="G68" s="249">
        <v>43797</v>
      </c>
      <c r="H68" s="249" t="s">
        <v>815</v>
      </c>
      <c r="I68" s="274">
        <v>440</v>
      </c>
      <c r="J68" s="110">
        <f>G68-F68</f>
        <v>2</v>
      </c>
      <c r="K68" s="6">
        <f>SUMIF(Nov!$G$3:$G$110,A68,Nov!$J$3:$J$110)</f>
        <v>2</v>
      </c>
      <c r="L68" s="226">
        <f t="shared" ref="L68" si="8">+I68/K68</f>
        <v>220</v>
      </c>
      <c r="M68" s="253">
        <f t="shared" ref="M68" si="9">ROUND(I68/L68,0)</f>
        <v>2</v>
      </c>
      <c r="N68" s="315">
        <f t="shared" ref="N68" si="10">+M68-K68</f>
        <v>0</v>
      </c>
    </row>
    <row r="69" spans="1:14" s="253" customFormat="1" x14ac:dyDescent="0.25">
      <c r="A69" s="37">
        <v>1345920553</v>
      </c>
      <c r="B69" s="6" t="s">
        <v>248</v>
      </c>
      <c r="C69" s="249" t="s">
        <v>236</v>
      </c>
      <c r="D69" s="249" t="s">
        <v>290</v>
      </c>
      <c r="E69" s="249">
        <v>43727.86041666667</v>
      </c>
      <c r="F69" s="249">
        <v>43795</v>
      </c>
      <c r="G69" s="249">
        <v>43802</v>
      </c>
      <c r="H69" s="249" t="s">
        <v>816</v>
      </c>
      <c r="I69" s="274">
        <v>1496</v>
      </c>
      <c r="J69" s="110">
        <f t="shared" ref="J69:J100" si="11">G69-F69</f>
        <v>7</v>
      </c>
      <c r="K69" s="6">
        <f>SUMIF(Nov!$G$3:$G$110,A69,Nov!$J$3:$J$110)</f>
        <v>7</v>
      </c>
      <c r="L69" s="226">
        <f t="shared" si="4"/>
        <v>213.71428571428572</v>
      </c>
      <c r="M69" s="253">
        <f t="shared" si="5"/>
        <v>7</v>
      </c>
      <c r="N69" s="315">
        <f t="shared" si="6"/>
        <v>0</v>
      </c>
    </row>
    <row r="70" spans="1:14" s="253" customFormat="1" x14ac:dyDescent="0.25">
      <c r="A70" s="37">
        <v>3255722573</v>
      </c>
      <c r="B70" s="6" t="s">
        <v>248</v>
      </c>
      <c r="C70" s="249" t="s">
        <v>235</v>
      </c>
      <c r="D70" s="249"/>
      <c r="E70" s="249">
        <v>43791.390439814815</v>
      </c>
      <c r="F70" s="249">
        <v>43795</v>
      </c>
      <c r="G70" s="249">
        <v>43796</v>
      </c>
      <c r="H70" s="249" t="s">
        <v>817</v>
      </c>
      <c r="I70" s="274">
        <v>198</v>
      </c>
      <c r="J70" s="110">
        <f t="shared" si="11"/>
        <v>1</v>
      </c>
      <c r="K70" s="6">
        <f>SUMIF(Nov!$G$3:$G$110,A70,Nov!$J$3:$J$110)</f>
        <v>1</v>
      </c>
      <c r="L70" s="226">
        <f t="shared" ref="L70:L90" si="12">+I70/K70</f>
        <v>198</v>
      </c>
      <c r="M70" s="253">
        <f t="shared" ref="M70:M90" si="13">ROUND(I70/L70,0)</f>
        <v>1</v>
      </c>
      <c r="N70" s="315">
        <f t="shared" ref="N70:N90" si="14">+M70-K70</f>
        <v>0</v>
      </c>
    </row>
    <row r="71" spans="1:14" s="253" customFormat="1" x14ac:dyDescent="0.25">
      <c r="A71" s="37">
        <v>3687759396</v>
      </c>
      <c r="B71" s="6" t="s">
        <v>248</v>
      </c>
      <c r="C71" s="249" t="s">
        <v>235</v>
      </c>
      <c r="D71" s="249"/>
      <c r="E71" s="249">
        <v>43791.485567129632</v>
      </c>
      <c r="F71" s="249">
        <v>43796</v>
      </c>
      <c r="G71" s="249">
        <v>43799</v>
      </c>
      <c r="H71" s="249" t="s">
        <v>818</v>
      </c>
      <c r="I71" s="274">
        <v>594</v>
      </c>
      <c r="J71" s="110">
        <f t="shared" si="11"/>
        <v>3</v>
      </c>
      <c r="K71" s="6">
        <f>SUMIF(Nov!$G$3:$G$110,A71,Nov!$J$3:$J$110)</f>
        <v>3</v>
      </c>
      <c r="L71" s="226">
        <f t="shared" si="12"/>
        <v>198</v>
      </c>
      <c r="M71" s="253">
        <f t="shared" si="13"/>
        <v>3</v>
      </c>
      <c r="N71" s="315">
        <f t="shared" si="14"/>
        <v>0</v>
      </c>
    </row>
    <row r="72" spans="1:14" s="253" customFormat="1" x14ac:dyDescent="0.25">
      <c r="A72" s="37">
        <v>3722157232</v>
      </c>
      <c r="B72" s="6" t="s">
        <v>248</v>
      </c>
      <c r="C72" s="249" t="s">
        <v>235</v>
      </c>
      <c r="D72" s="249"/>
      <c r="E72" s="249">
        <v>43741.663298611114</v>
      </c>
      <c r="F72" s="249">
        <v>43797</v>
      </c>
      <c r="G72" s="249">
        <v>43800</v>
      </c>
      <c r="H72" s="249" t="s">
        <v>819</v>
      </c>
      <c r="I72" s="274">
        <v>660</v>
      </c>
      <c r="J72" s="110">
        <f t="shared" si="11"/>
        <v>3</v>
      </c>
      <c r="K72" s="6">
        <f>SUMIF(Nov!$G$3:$G$110,A72,Nov!$J$3:$J$110)</f>
        <v>3</v>
      </c>
      <c r="L72" s="226">
        <f t="shared" si="12"/>
        <v>220</v>
      </c>
      <c r="M72" s="253">
        <f t="shared" si="13"/>
        <v>3</v>
      </c>
      <c r="N72" s="315">
        <f t="shared" si="14"/>
        <v>0</v>
      </c>
    </row>
    <row r="73" spans="1:14" s="253" customFormat="1" x14ac:dyDescent="0.25">
      <c r="A73" s="37">
        <v>3018907379</v>
      </c>
      <c r="B73" s="6" t="s">
        <v>248</v>
      </c>
      <c r="C73" s="249" t="s">
        <v>235</v>
      </c>
      <c r="D73" s="249"/>
      <c r="E73" s="249">
        <v>43789.070324074077</v>
      </c>
      <c r="F73" s="249">
        <v>43797</v>
      </c>
      <c r="G73" s="249">
        <v>43800</v>
      </c>
      <c r="H73" s="249" t="s">
        <v>820</v>
      </c>
      <c r="I73" s="274">
        <v>660</v>
      </c>
      <c r="J73" s="110">
        <f t="shared" si="11"/>
        <v>3</v>
      </c>
      <c r="K73" s="6">
        <f>SUMIF(Nov!$G$3:$G$110,A73,Nov!$J$3:$J$110)</f>
        <v>3</v>
      </c>
      <c r="L73" s="226">
        <f t="shared" si="12"/>
        <v>220</v>
      </c>
      <c r="M73" s="253">
        <f t="shared" si="13"/>
        <v>3</v>
      </c>
      <c r="N73" s="315">
        <f t="shared" si="14"/>
        <v>0</v>
      </c>
    </row>
    <row r="74" spans="1:14" s="253" customFormat="1" x14ac:dyDescent="0.25">
      <c r="A74" s="37">
        <v>1339863851</v>
      </c>
      <c r="B74" s="6" t="s">
        <v>248</v>
      </c>
      <c r="C74" s="249" t="s">
        <v>236</v>
      </c>
      <c r="D74" s="249" t="s">
        <v>306</v>
      </c>
      <c r="E74" s="249">
        <v>43718.711805555555</v>
      </c>
      <c r="F74" s="249">
        <v>43798</v>
      </c>
      <c r="G74" s="249">
        <v>43800</v>
      </c>
      <c r="H74" s="249" t="s">
        <v>821</v>
      </c>
      <c r="I74" s="274">
        <v>440</v>
      </c>
      <c r="J74" s="110">
        <f t="shared" si="11"/>
        <v>2</v>
      </c>
      <c r="K74" s="6">
        <f>SUMIF(Nov!$G$3:$G$110,A74,Nov!$J$3:$J$110)</f>
        <v>2</v>
      </c>
      <c r="L74" s="226">
        <f t="shared" si="12"/>
        <v>220</v>
      </c>
      <c r="M74" s="253">
        <f t="shared" si="13"/>
        <v>2</v>
      </c>
      <c r="N74" s="315">
        <f t="shared" si="14"/>
        <v>0</v>
      </c>
    </row>
    <row r="75" spans="1:14" s="253" customFormat="1" x14ac:dyDescent="0.25">
      <c r="A75" s="37">
        <v>3359981348</v>
      </c>
      <c r="B75" s="6" t="s">
        <v>249</v>
      </c>
      <c r="C75" s="249" t="s">
        <v>235</v>
      </c>
      <c r="D75" s="249"/>
      <c r="E75" s="249">
        <v>43600.506909722222</v>
      </c>
      <c r="F75" s="249">
        <v>43799</v>
      </c>
      <c r="G75" s="249">
        <v>43801</v>
      </c>
      <c r="H75" s="249" t="s">
        <v>822</v>
      </c>
      <c r="I75" s="274">
        <v>418</v>
      </c>
      <c r="J75" s="110">
        <f t="shared" si="11"/>
        <v>2</v>
      </c>
      <c r="K75" s="6">
        <f>SUMIF(Nov!$G$3:$G$110,A75,Nov!$J$3:$J$110)</f>
        <v>2</v>
      </c>
      <c r="L75" s="226">
        <f t="shared" si="12"/>
        <v>209</v>
      </c>
      <c r="M75" s="253">
        <f t="shared" si="13"/>
        <v>2</v>
      </c>
      <c r="N75" s="315">
        <f t="shared" si="14"/>
        <v>0</v>
      </c>
    </row>
    <row r="76" spans="1:14" s="253" customFormat="1" x14ac:dyDescent="0.25">
      <c r="A76" s="37">
        <v>1310759293</v>
      </c>
      <c r="B76" s="6" t="s">
        <v>248</v>
      </c>
      <c r="C76" s="249" t="s">
        <v>236</v>
      </c>
      <c r="D76" s="249" t="s">
        <v>290</v>
      </c>
      <c r="E76" s="249">
        <v>43675.746527777781</v>
      </c>
      <c r="F76" s="249">
        <v>43799</v>
      </c>
      <c r="G76" s="249">
        <v>43804</v>
      </c>
      <c r="H76" s="249" t="s">
        <v>823</v>
      </c>
      <c r="I76" s="274">
        <v>1100</v>
      </c>
      <c r="J76" s="110">
        <f t="shared" si="11"/>
        <v>5</v>
      </c>
      <c r="K76" s="6">
        <f>SUMIF(Nov!$G$3:$G$110,A76,Nov!$J$3:$J$110)</f>
        <v>3</v>
      </c>
      <c r="L76" s="226">
        <f t="shared" si="12"/>
        <v>366.66666666666669</v>
      </c>
      <c r="M76" s="253">
        <f t="shared" si="13"/>
        <v>3</v>
      </c>
      <c r="N76" s="315">
        <f t="shared" si="14"/>
        <v>0</v>
      </c>
    </row>
    <row r="77" spans="1:14" s="253" customFormat="1" x14ac:dyDescent="0.25">
      <c r="A77" s="37">
        <v>1311649384</v>
      </c>
      <c r="B77" s="6" t="s">
        <v>248</v>
      </c>
      <c r="C77" s="249" t="s">
        <v>236</v>
      </c>
      <c r="D77" s="249" t="s">
        <v>290</v>
      </c>
      <c r="E77" s="249">
        <v>43676.902083333334</v>
      </c>
      <c r="F77" s="249">
        <v>43799</v>
      </c>
      <c r="G77" s="249">
        <v>43802</v>
      </c>
      <c r="H77" s="249" t="s">
        <v>824</v>
      </c>
      <c r="I77" s="274">
        <v>660</v>
      </c>
      <c r="J77" s="110">
        <f t="shared" si="11"/>
        <v>3</v>
      </c>
      <c r="K77" s="6">
        <f>SUMIF(Nov!$G$3:$G$110,A77,Nov!$J$3:$J$110)</f>
        <v>3</v>
      </c>
      <c r="L77" s="226">
        <f t="shared" si="12"/>
        <v>220</v>
      </c>
      <c r="M77" s="253">
        <f t="shared" si="13"/>
        <v>3</v>
      </c>
      <c r="N77" s="315">
        <f t="shared" si="14"/>
        <v>0</v>
      </c>
    </row>
    <row r="78" spans="1:14" s="253" customFormat="1" x14ac:dyDescent="0.25">
      <c r="A78" s="37">
        <v>1386174455</v>
      </c>
      <c r="B78" s="6" t="s">
        <v>248</v>
      </c>
      <c r="C78" s="249" t="s">
        <v>236</v>
      </c>
      <c r="D78" s="249" t="s">
        <v>306</v>
      </c>
      <c r="E78" s="249">
        <v>43797.044444444444</v>
      </c>
      <c r="F78" s="249">
        <v>43799</v>
      </c>
      <c r="G78" s="249">
        <v>43801</v>
      </c>
      <c r="H78" s="249" t="s">
        <v>825</v>
      </c>
      <c r="I78" s="274">
        <v>418</v>
      </c>
      <c r="J78" s="110">
        <f t="shared" si="11"/>
        <v>2</v>
      </c>
      <c r="K78" s="6">
        <f>SUMIF(Nov!$G$3:$G$110,A78,Nov!$J$3:$J$110)</f>
        <v>2</v>
      </c>
      <c r="L78" s="226">
        <f t="shared" si="12"/>
        <v>209</v>
      </c>
      <c r="M78" s="253">
        <f t="shared" si="13"/>
        <v>2</v>
      </c>
      <c r="N78" s="315">
        <f t="shared" si="14"/>
        <v>0</v>
      </c>
    </row>
    <row r="79" spans="1:14" s="253" customFormat="1" x14ac:dyDescent="0.25">
      <c r="A79" s="37"/>
      <c r="B79" s="6"/>
      <c r="C79" s="249"/>
      <c r="D79" s="249"/>
      <c r="E79" s="249"/>
      <c r="F79" s="249"/>
      <c r="G79" s="249"/>
      <c r="H79" s="249"/>
      <c r="I79" s="274"/>
      <c r="J79" s="110">
        <f t="shared" si="11"/>
        <v>0</v>
      </c>
      <c r="K79" s="6">
        <f>SUMIF(Nov!$G$3:$G$110,A79,Nov!$J$3:$J$110)</f>
        <v>0</v>
      </c>
      <c r="L79" s="226" t="e">
        <f t="shared" si="12"/>
        <v>#DIV/0!</v>
      </c>
      <c r="M79" s="253" t="e">
        <f t="shared" si="13"/>
        <v>#DIV/0!</v>
      </c>
      <c r="N79" s="315" t="e">
        <f t="shared" si="14"/>
        <v>#DIV/0!</v>
      </c>
    </row>
    <row r="80" spans="1:14" s="253" customFormat="1" x14ac:dyDescent="0.25">
      <c r="A80" s="37"/>
      <c r="B80" s="6"/>
      <c r="C80" s="249"/>
      <c r="D80" s="249"/>
      <c r="E80" s="249"/>
      <c r="F80" s="249"/>
      <c r="G80" s="249"/>
      <c r="H80" s="249"/>
      <c r="I80" s="274"/>
      <c r="J80" s="110">
        <f t="shared" si="11"/>
        <v>0</v>
      </c>
      <c r="K80" s="6">
        <f>SUMIF(Nov!$G$3:$G$110,A80,Nov!$J$3:$J$110)</f>
        <v>0</v>
      </c>
      <c r="L80" s="226" t="e">
        <f t="shared" si="12"/>
        <v>#DIV/0!</v>
      </c>
      <c r="M80" s="253" t="e">
        <f t="shared" si="13"/>
        <v>#DIV/0!</v>
      </c>
      <c r="N80" s="315" t="e">
        <f t="shared" si="14"/>
        <v>#DIV/0!</v>
      </c>
    </row>
    <row r="81" spans="1:14" s="253" customFormat="1" x14ac:dyDescent="0.25">
      <c r="A81" s="37"/>
      <c r="B81" s="6"/>
      <c r="C81" s="249"/>
      <c r="D81" s="249"/>
      <c r="E81" s="249"/>
      <c r="F81" s="249"/>
      <c r="G81" s="249"/>
      <c r="H81" s="249"/>
      <c r="I81" s="274"/>
      <c r="J81" s="110">
        <f t="shared" si="11"/>
        <v>0</v>
      </c>
      <c r="K81" s="6">
        <f>SUMIF(Nov!$G$3:$G$110,A81,Nov!$J$3:$J$110)</f>
        <v>0</v>
      </c>
      <c r="L81" s="226" t="e">
        <f t="shared" si="12"/>
        <v>#DIV/0!</v>
      </c>
      <c r="M81" s="253" t="e">
        <f t="shared" si="13"/>
        <v>#DIV/0!</v>
      </c>
      <c r="N81" s="315" t="e">
        <f t="shared" si="14"/>
        <v>#DIV/0!</v>
      </c>
    </row>
    <row r="82" spans="1:14" s="253" customFormat="1" x14ac:dyDescent="0.25">
      <c r="A82" s="37"/>
      <c r="B82" s="6"/>
      <c r="C82" s="249"/>
      <c r="D82" s="249"/>
      <c r="E82" s="249"/>
      <c r="F82" s="249"/>
      <c r="G82" s="249"/>
      <c r="H82" s="249"/>
      <c r="I82" s="274"/>
      <c r="J82" s="110">
        <f t="shared" si="11"/>
        <v>0</v>
      </c>
      <c r="K82" s="6">
        <f>SUMIF(Nov!$G$3:$G$110,A82,Nov!$J$3:$J$110)</f>
        <v>0</v>
      </c>
      <c r="L82" s="226" t="e">
        <f t="shared" si="12"/>
        <v>#DIV/0!</v>
      </c>
      <c r="M82" s="253" t="e">
        <f t="shared" si="13"/>
        <v>#DIV/0!</v>
      </c>
      <c r="N82" s="315" t="e">
        <f t="shared" si="14"/>
        <v>#DIV/0!</v>
      </c>
    </row>
    <row r="83" spans="1:14" s="253" customFormat="1" x14ac:dyDescent="0.25">
      <c r="A83" s="37"/>
      <c r="B83" s="6"/>
      <c r="C83" s="249"/>
      <c r="D83" s="249"/>
      <c r="E83" s="249"/>
      <c r="F83" s="249"/>
      <c r="G83" s="249"/>
      <c r="H83" s="249"/>
      <c r="I83" s="274"/>
      <c r="J83" s="110">
        <f t="shared" si="11"/>
        <v>0</v>
      </c>
      <c r="K83" s="6">
        <f>SUMIF(Nov!$G$3:$G$110,A83,Nov!$J$3:$J$110)</f>
        <v>0</v>
      </c>
      <c r="L83" s="226" t="e">
        <f t="shared" si="12"/>
        <v>#DIV/0!</v>
      </c>
      <c r="M83" s="253" t="e">
        <f t="shared" si="13"/>
        <v>#DIV/0!</v>
      </c>
      <c r="N83" s="315" t="e">
        <f t="shared" si="14"/>
        <v>#DIV/0!</v>
      </c>
    </row>
    <row r="84" spans="1:14" s="253" customFormat="1" x14ac:dyDescent="0.25">
      <c r="A84" s="37"/>
      <c r="B84" s="6"/>
      <c r="C84" s="249"/>
      <c r="D84" s="249"/>
      <c r="E84" s="249"/>
      <c r="F84" s="249"/>
      <c r="G84" s="249"/>
      <c r="H84" s="249"/>
      <c r="I84" s="274"/>
      <c r="J84" s="110">
        <f t="shared" si="11"/>
        <v>0</v>
      </c>
      <c r="K84" s="6">
        <f>SUMIF(Nov!$G$3:$G$110,A84,Nov!$J$3:$J$110)</f>
        <v>0</v>
      </c>
      <c r="L84" s="226" t="e">
        <f t="shared" si="12"/>
        <v>#DIV/0!</v>
      </c>
      <c r="M84" s="253" t="e">
        <f t="shared" si="13"/>
        <v>#DIV/0!</v>
      </c>
      <c r="N84" s="315" t="e">
        <f t="shared" si="14"/>
        <v>#DIV/0!</v>
      </c>
    </row>
    <row r="85" spans="1:14" s="253" customFormat="1" x14ac:dyDescent="0.25">
      <c r="A85" s="37"/>
      <c r="B85" s="6"/>
      <c r="C85" s="249"/>
      <c r="D85" s="249"/>
      <c r="E85" s="249"/>
      <c r="F85" s="249"/>
      <c r="G85" s="249"/>
      <c r="H85" s="249"/>
      <c r="I85" s="274"/>
      <c r="J85" s="110">
        <f t="shared" si="11"/>
        <v>0</v>
      </c>
      <c r="K85" s="6">
        <f>SUMIF(Nov!$G$3:$G$110,A85,Nov!$J$3:$J$110)</f>
        <v>0</v>
      </c>
      <c r="L85" s="226" t="e">
        <f t="shared" si="12"/>
        <v>#DIV/0!</v>
      </c>
      <c r="M85" s="253" t="e">
        <f t="shared" si="13"/>
        <v>#DIV/0!</v>
      </c>
      <c r="N85" s="315" t="e">
        <f t="shared" si="14"/>
        <v>#DIV/0!</v>
      </c>
    </row>
    <row r="86" spans="1:14" s="253" customFormat="1" x14ac:dyDescent="0.25">
      <c r="A86" s="37"/>
      <c r="B86" s="6"/>
      <c r="C86" s="249"/>
      <c r="D86" s="249"/>
      <c r="E86" s="249"/>
      <c r="F86" s="249"/>
      <c r="G86" s="249"/>
      <c r="H86" s="249"/>
      <c r="I86" s="274"/>
      <c r="J86" s="110">
        <f t="shared" si="11"/>
        <v>0</v>
      </c>
      <c r="K86" s="6">
        <f>SUMIF(Nov!$G$3:$G$110,A86,Nov!$J$3:$J$110)</f>
        <v>0</v>
      </c>
      <c r="L86" s="226" t="e">
        <f t="shared" si="12"/>
        <v>#DIV/0!</v>
      </c>
      <c r="M86" s="253" t="e">
        <f t="shared" si="13"/>
        <v>#DIV/0!</v>
      </c>
      <c r="N86" s="315" t="e">
        <f t="shared" si="14"/>
        <v>#DIV/0!</v>
      </c>
    </row>
    <row r="87" spans="1:14" s="253" customFormat="1" x14ac:dyDescent="0.25">
      <c r="A87" s="37"/>
      <c r="B87" s="6"/>
      <c r="C87" s="249"/>
      <c r="D87" s="249"/>
      <c r="E87" s="249"/>
      <c r="F87" s="249"/>
      <c r="G87" s="249"/>
      <c r="H87" s="249"/>
      <c r="I87" s="274"/>
      <c r="J87" s="110">
        <f t="shared" si="11"/>
        <v>0</v>
      </c>
      <c r="K87" s="6">
        <f>SUMIF(Nov!$G$3:$G$110,A87,Nov!$J$3:$J$110)</f>
        <v>0</v>
      </c>
      <c r="L87" s="226" t="e">
        <f t="shared" si="12"/>
        <v>#DIV/0!</v>
      </c>
      <c r="M87" s="253" t="e">
        <f t="shared" si="13"/>
        <v>#DIV/0!</v>
      </c>
      <c r="N87" s="315" t="e">
        <f t="shared" si="14"/>
        <v>#DIV/0!</v>
      </c>
    </row>
    <row r="88" spans="1:14" s="253" customFormat="1" x14ac:dyDescent="0.25">
      <c r="A88" s="37"/>
      <c r="B88" s="6"/>
      <c r="C88" s="249"/>
      <c r="D88" s="249"/>
      <c r="E88" s="249"/>
      <c r="F88" s="249"/>
      <c r="G88" s="249"/>
      <c r="H88" s="249"/>
      <c r="I88" s="274"/>
      <c r="J88" s="110">
        <f t="shared" si="11"/>
        <v>0</v>
      </c>
      <c r="K88" s="6">
        <f>SUMIF(Nov!$G$3:$G$110,A88,Nov!$J$3:$J$110)</f>
        <v>0</v>
      </c>
      <c r="L88" s="226" t="e">
        <f t="shared" si="12"/>
        <v>#DIV/0!</v>
      </c>
      <c r="M88" s="253" t="e">
        <f t="shared" si="13"/>
        <v>#DIV/0!</v>
      </c>
      <c r="N88" s="315" t="e">
        <f t="shared" si="14"/>
        <v>#DIV/0!</v>
      </c>
    </row>
    <row r="89" spans="1:14" s="253" customFormat="1" x14ac:dyDescent="0.25">
      <c r="A89" s="37"/>
      <c r="B89" s="6"/>
      <c r="C89" s="249"/>
      <c r="D89" s="249"/>
      <c r="E89" s="249"/>
      <c r="F89" s="249"/>
      <c r="G89" s="249"/>
      <c r="H89" s="249"/>
      <c r="I89" s="274"/>
      <c r="J89" s="110">
        <f t="shared" si="11"/>
        <v>0</v>
      </c>
      <c r="K89" s="6">
        <f>SUMIF(Nov!$G$3:$G$110,A89,Nov!$J$3:$J$110)</f>
        <v>0</v>
      </c>
      <c r="L89" s="226" t="e">
        <f t="shared" si="12"/>
        <v>#DIV/0!</v>
      </c>
      <c r="M89" s="253" t="e">
        <f t="shared" si="13"/>
        <v>#DIV/0!</v>
      </c>
      <c r="N89" s="315" t="e">
        <f t="shared" si="14"/>
        <v>#DIV/0!</v>
      </c>
    </row>
    <row r="90" spans="1:14" s="253" customFormat="1" x14ac:dyDescent="0.25">
      <c r="A90" s="37"/>
      <c r="B90" s="6"/>
      <c r="C90" s="249"/>
      <c r="D90" s="249"/>
      <c r="E90" s="249"/>
      <c r="F90" s="249"/>
      <c r="G90" s="249"/>
      <c r="H90" s="249"/>
      <c r="I90" s="274"/>
      <c r="J90" s="110">
        <f t="shared" si="11"/>
        <v>0</v>
      </c>
      <c r="K90" s="6">
        <f>SUMIF(Nov!$G$3:$G$110,A90,Nov!$J$3:$J$110)</f>
        <v>0</v>
      </c>
      <c r="L90" s="226" t="e">
        <f t="shared" si="12"/>
        <v>#DIV/0!</v>
      </c>
      <c r="M90" s="253" t="e">
        <f t="shared" si="13"/>
        <v>#DIV/0!</v>
      </c>
      <c r="N90" s="315" t="e">
        <f t="shared" si="14"/>
        <v>#DIV/0!</v>
      </c>
    </row>
    <row r="91" spans="1:14" s="253" customFormat="1" x14ac:dyDescent="0.25">
      <c r="A91" s="37"/>
      <c r="B91" s="6"/>
      <c r="C91" s="249"/>
      <c r="D91" s="249"/>
      <c r="E91" s="249"/>
      <c r="F91" s="249"/>
      <c r="G91" s="249"/>
      <c r="H91" s="249"/>
      <c r="I91" s="274"/>
      <c r="J91" s="110">
        <f t="shared" si="11"/>
        <v>0</v>
      </c>
      <c r="K91" s="6">
        <f>SUMIF(Nov!$G$3:$G$110,A91,Nov!$J$3:$J$110)</f>
        <v>0</v>
      </c>
      <c r="L91" s="226"/>
      <c r="N91" s="315"/>
    </row>
    <row r="92" spans="1:14" s="253" customFormat="1" x14ac:dyDescent="0.25">
      <c r="A92" s="37"/>
      <c r="B92" s="6"/>
      <c r="C92" s="249"/>
      <c r="D92" s="249"/>
      <c r="E92" s="249"/>
      <c r="F92" s="249"/>
      <c r="G92" s="249"/>
      <c r="H92" s="249"/>
      <c r="I92" s="274"/>
      <c r="J92" s="110">
        <f t="shared" si="11"/>
        <v>0</v>
      </c>
      <c r="K92" s="6">
        <f>SUMIF(Nov!$G$3:$G$110,A92,Nov!$J$3:$J$110)</f>
        <v>0</v>
      </c>
      <c r="L92" s="226"/>
      <c r="N92" s="315"/>
    </row>
    <row r="93" spans="1:14" s="253" customFormat="1" x14ac:dyDescent="0.25">
      <c r="A93" s="37"/>
      <c r="B93" s="6"/>
      <c r="C93" s="249"/>
      <c r="D93" s="249"/>
      <c r="E93" s="249"/>
      <c r="F93" s="249"/>
      <c r="G93" s="249"/>
      <c r="H93" s="249"/>
      <c r="I93" s="274"/>
      <c r="J93" s="110">
        <f t="shared" si="11"/>
        <v>0</v>
      </c>
      <c r="K93" s="6">
        <f>SUMIF(Nov!$G$3:$G$110,A93,Nov!$J$3:$J$110)</f>
        <v>0</v>
      </c>
      <c r="L93" s="226"/>
      <c r="N93" s="315"/>
    </row>
    <row r="94" spans="1:14" s="253" customFormat="1" x14ac:dyDescent="0.25">
      <c r="A94" s="37"/>
      <c r="B94" s="6"/>
      <c r="C94" s="249"/>
      <c r="D94" s="249"/>
      <c r="E94" s="249"/>
      <c r="F94" s="249"/>
      <c r="G94" s="249"/>
      <c r="H94" s="249"/>
      <c r="I94" s="274"/>
      <c r="J94" s="110">
        <f t="shared" si="11"/>
        <v>0</v>
      </c>
      <c r="K94" s="6">
        <f>SUMIF(Nov!$G$3:$G$110,A94,Nov!$J$3:$J$110)</f>
        <v>0</v>
      </c>
      <c r="L94" s="226"/>
      <c r="N94" s="315"/>
    </row>
    <row r="95" spans="1:14" s="253" customFormat="1" x14ac:dyDescent="0.25">
      <c r="A95" s="37"/>
      <c r="B95" s="6"/>
      <c r="C95" s="249"/>
      <c r="D95" s="249"/>
      <c r="E95" s="249"/>
      <c r="F95" s="249"/>
      <c r="G95" s="249"/>
      <c r="H95" s="249"/>
      <c r="I95" s="274"/>
      <c r="J95" s="110">
        <f t="shared" si="11"/>
        <v>0</v>
      </c>
      <c r="K95" s="6">
        <f>SUMIF(Nov!$G$3:$G$110,A95,Nov!$J$3:$J$110)</f>
        <v>0</v>
      </c>
      <c r="L95" s="226"/>
      <c r="N95" s="315"/>
    </row>
    <row r="96" spans="1:14" x14ac:dyDescent="0.25">
      <c r="A96" s="37"/>
      <c r="B96" s="6"/>
      <c r="C96" s="249"/>
      <c r="D96" s="249"/>
      <c r="E96" s="249"/>
      <c r="F96" s="248"/>
      <c r="G96" s="248"/>
      <c r="H96" s="249"/>
      <c r="I96" s="274"/>
      <c r="J96" s="110">
        <f t="shared" si="11"/>
        <v>0</v>
      </c>
      <c r="K96" s="6">
        <f>SUMIF(Nov!$G$3:$G$110,A96,Nov!$J$3:$J$110)</f>
        <v>0</v>
      </c>
      <c r="L96" s="226"/>
      <c r="M96" s="253"/>
      <c r="N96" s="315"/>
    </row>
    <row r="97" spans="1:14" x14ac:dyDescent="0.25">
      <c r="A97" s="37"/>
      <c r="B97" s="6"/>
      <c r="C97" s="249"/>
      <c r="D97" s="249"/>
      <c r="E97" s="249"/>
      <c r="F97" s="6"/>
      <c r="G97" s="6"/>
      <c r="H97" s="249"/>
      <c r="I97" s="274"/>
      <c r="J97" s="110">
        <f t="shared" si="11"/>
        <v>0</v>
      </c>
      <c r="K97" s="6">
        <f>SUMIF(Nov!$G$3:$G$110,A97,Nov!$J$3:$J$110)</f>
        <v>0</v>
      </c>
      <c r="L97" s="226"/>
      <c r="M97" s="253"/>
      <c r="N97" s="315"/>
    </row>
    <row r="98" spans="1:14" x14ac:dyDescent="0.25">
      <c r="A98" s="37"/>
      <c r="B98" s="6"/>
      <c r="C98" s="249"/>
      <c r="D98" s="249"/>
      <c r="E98" s="249"/>
      <c r="F98" s="248"/>
      <c r="G98" s="248"/>
      <c r="H98" s="249"/>
      <c r="I98" s="274"/>
      <c r="J98" s="110">
        <f t="shared" si="11"/>
        <v>0</v>
      </c>
      <c r="K98" s="6">
        <f>SUMIF(Nov!$G$3:$G$110,A98,Nov!$J$3:$J$110)</f>
        <v>0</v>
      </c>
      <c r="L98" s="226"/>
      <c r="M98" s="253"/>
      <c r="N98" s="315"/>
    </row>
    <row r="99" spans="1:14" x14ac:dyDescent="0.25">
      <c r="A99" s="37"/>
      <c r="B99" s="6"/>
      <c r="C99" s="249"/>
      <c r="D99" s="249"/>
      <c r="E99" s="249"/>
      <c r="F99" s="249"/>
      <c r="G99" s="249"/>
      <c r="H99" s="249"/>
      <c r="I99" s="274"/>
      <c r="J99" s="110">
        <f t="shared" si="11"/>
        <v>0</v>
      </c>
      <c r="K99" s="6">
        <f>SUMIF(Nov!$G$3:$G$110,A99,Nov!$J$3:$J$110)</f>
        <v>0</v>
      </c>
      <c r="L99" s="226"/>
      <c r="M99" s="253"/>
      <c r="N99" s="315"/>
    </row>
    <row r="100" spans="1:14" x14ac:dyDescent="0.25">
      <c r="A100" s="37"/>
      <c r="B100" s="6"/>
      <c r="C100" s="249"/>
      <c r="D100" s="249"/>
      <c r="E100" s="249"/>
      <c r="F100" s="249"/>
      <c r="G100" s="249"/>
      <c r="H100" s="249"/>
      <c r="I100" s="274"/>
      <c r="J100" s="110">
        <f t="shared" si="11"/>
        <v>0</v>
      </c>
      <c r="K100" s="6">
        <f>SUMIF(Nov!$G$3:$G$110,A100,Nov!$J$3:$J$110)</f>
        <v>0</v>
      </c>
      <c r="L100" s="226"/>
      <c r="M100" s="253"/>
      <c r="N100" s="315"/>
    </row>
    <row r="101" spans="1:14" x14ac:dyDescent="0.25">
      <c r="A101" s="37"/>
      <c r="B101" s="6"/>
      <c r="C101" s="249"/>
      <c r="D101" s="249"/>
      <c r="E101" s="249"/>
      <c r="F101" s="6"/>
      <c r="G101" s="6"/>
      <c r="H101" s="249"/>
      <c r="I101" s="249"/>
      <c r="J101" s="110">
        <f t="shared" ref="J101:J110" si="15">G101-F101</f>
        <v>0</v>
      </c>
      <c r="K101" s="6">
        <f>SUMIF(Nov!$G$3:$G$110,A101,Nov!$J$3:$J$110)</f>
        <v>0</v>
      </c>
      <c r="L101" s="226"/>
      <c r="M101" s="253"/>
      <c r="N101" s="315"/>
    </row>
    <row r="102" spans="1:14" x14ac:dyDescent="0.25">
      <c r="A102" s="37"/>
      <c r="B102" s="6"/>
      <c r="C102" s="249"/>
      <c r="D102" s="249"/>
      <c r="E102" s="249"/>
      <c r="F102" s="6"/>
      <c r="G102" s="6"/>
      <c r="H102" s="249"/>
      <c r="I102" s="249"/>
      <c r="J102" s="110">
        <f t="shared" si="15"/>
        <v>0</v>
      </c>
      <c r="K102" s="6">
        <f>SUMIF(Nov!$G$3:$G$110,A102,Nov!$J$3:$J$110)</f>
        <v>0</v>
      </c>
      <c r="L102" s="226"/>
      <c r="M102" s="253"/>
      <c r="N102" s="315"/>
    </row>
    <row r="103" spans="1:14" x14ac:dyDescent="0.25">
      <c r="A103" s="37"/>
      <c r="B103" s="6"/>
      <c r="C103" s="249"/>
      <c r="D103" s="249"/>
      <c r="E103" s="249"/>
      <c r="F103" s="6"/>
      <c r="G103" s="6"/>
      <c r="H103" s="249"/>
      <c r="I103" s="249"/>
      <c r="J103" s="110">
        <f t="shared" si="15"/>
        <v>0</v>
      </c>
      <c r="K103" s="6">
        <f>SUMIF(Nov!$G$3:$G$110,A103,Nov!$J$3:$J$110)</f>
        <v>0</v>
      </c>
      <c r="L103" s="226"/>
      <c r="M103" s="253"/>
      <c r="N103" s="315"/>
    </row>
    <row r="104" spans="1:14" x14ac:dyDescent="0.25">
      <c r="A104" s="254"/>
      <c r="B104" s="255"/>
      <c r="C104" s="256"/>
      <c r="D104" s="256"/>
      <c r="E104" s="256"/>
      <c r="F104" s="255"/>
      <c r="G104" s="255"/>
      <c r="H104" s="256"/>
      <c r="I104" s="256"/>
      <c r="J104" s="110">
        <f t="shared" si="15"/>
        <v>0</v>
      </c>
      <c r="K104" s="6">
        <f>SUMIF(Nov!$G$3:$G$110,A104,Nov!$J$3:$J$110)</f>
        <v>0</v>
      </c>
      <c r="L104" s="226"/>
      <c r="M104" s="253"/>
      <c r="N104" s="315"/>
    </row>
    <row r="105" spans="1:14" x14ac:dyDescent="0.25">
      <c r="A105" s="37"/>
      <c r="B105" s="6"/>
      <c r="C105" s="249"/>
      <c r="D105" s="249"/>
      <c r="E105" s="249"/>
      <c r="F105" s="6"/>
      <c r="G105" s="6"/>
      <c r="H105" s="249"/>
      <c r="I105" s="249"/>
      <c r="J105" s="110">
        <f t="shared" si="15"/>
        <v>0</v>
      </c>
      <c r="K105" s="6">
        <f>SUMIF(Nov!$G$3:$G$110,A105,Nov!$J$3:$J$110)</f>
        <v>0</v>
      </c>
      <c r="L105" s="226"/>
      <c r="M105" s="253"/>
      <c r="N105" s="253"/>
    </row>
    <row r="106" spans="1:14" x14ac:dyDescent="0.25">
      <c r="A106" s="6"/>
      <c r="B106" s="6"/>
      <c r="C106" s="249"/>
      <c r="D106" s="249"/>
      <c r="E106" s="249"/>
      <c r="F106" s="6"/>
      <c r="G106" s="6"/>
      <c r="H106" s="249"/>
      <c r="I106" s="249"/>
      <c r="J106" s="110">
        <f t="shared" si="15"/>
        <v>0</v>
      </c>
      <c r="K106" s="6">
        <f>SUMIF(Nov!$G$3:$G$110,A106,Nov!$J$3:$J$110)</f>
        <v>0</v>
      </c>
      <c r="L106" s="226"/>
      <c r="M106" s="253"/>
      <c r="N106" s="253"/>
    </row>
    <row r="107" spans="1:14" x14ac:dyDescent="0.25">
      <c r="A107" s="6"/>
      <c r="B107" s="6"/>
      <c r="C107" s="249"/>
      <c r="D107" s="249"/>
      <c r="E107" s="249"/>
      <c r="F107" s="6"/>
      <c r="G107" s="6"/>
      <c r="H107" s="249"/>
      <c r="I107" s="249"/>
      <c r="J107" s="110">
        <f t="shared" si="15"/>
        <v>0</v>
      </c>
      <c r="K107" s="6">
        <f>SUMIF(Nov!$G$3:$G$110,A107,Nov!$J$3:$J$110)</f>
        <v>0</v>
      </c>
      <c r="L107" s="226"/>
      <c r="M107" s="253"/>
      <c r="N107" s="253"/>
    </row>
    <row r="108" spans="1:14" x14ac:dyDescent="0.25">
      <c r="A108" s="6"/>
      <c r="B108" s="6"/>
      <c r="C108" s="249"/>
      <c r="D108" s="249"/>
      <c r="E108" s="249"/>
      <c r="F108" s="6"/>
      <c r="G108" s="6"/>
      <c r="H108" s="249"/>
      <c r="I108" s="249"/>
      <c r="J108" s="110">
        <f t="shared" si="15"/>
        <v>0</v>
      </c>
      <c r="K108" s="6">
        <f>SUMIF(Nov!$G$3:$G$110,A108,Nov!$J$3:$J$110)</f>
        <v>0</v>
      </c>
      <c r="L108" s="226"/>
      <c r="M108" s="253"/>
      <c r="N108" s="253"/>
    </row>
    <row r="109" spans="1:14" x14ac:dyDescent="0.25">
      <c r="A109" s="6"/>
      <c r="B109" s="6"/>
      <c r="C109" s="249"/>
      <c r="D109" s="249"/>
      <c r="E109" s="249"/>
      <c r="F109" s="6"/>
      <c r="G109" s="6"/>
      <c r="H109" s="249"/>
      <c r="I109" s="249"/>
      <c r="J109" s="110">
        <f t="shared" si="15"/>
        <v>0</v>
      </c>
      <c r="K109" s="6">
        <f>SUMIF(Nov!$G$3:$G$110,A109,Nov!$J$3:$J$110)</f>
        <v>0</v>
      </c>
      <c r="L109" s="226"/>
      <c r="M109" s="253"/>
      <c r="N109" s="253"/>
    </row>
    <row r="110" spans="1:14" x14ac:dyDescent="0.25">
      <c r="A110" s="6"/>
      <c r="B110" s="6"/>
      <c r="C110" s="249"/>
      <c r="D110" s="249"/>
      <c r="E110" s="249"/>
      <c r="F110" s="6"/>
      <c r="G110" s="6"/>
      <c r="H110" s="249"/>
      <c r="I110" s="249"/>
      <c r="J110" s="110">
        <f t="shared" si="15"/>
        <v>0</v>
      </c>
      <c r="K110" s="6">
        <f>SUMIF(Nov!$G$3:$G$110,A110,Nov!$J$3:$J$110)</f>
        <v>0</v>
      </c>
      <c r="L110" s="226"/>
      <c r="M110" s="253"/>
      <c r="N110" s="253"/>
    </row>
    <row r="111" spans="1:14" x14ac:dyDescent="0.25">
      <c r="J111" s="110">
        <f>SUM(J5:J110)</f>
        <v>239</v>
      </c>
      <c r="K111" s="110">
        <f>SUM(K5:K110)</f>
        <v>250</v>
      </c>
      <c r="M111" s="194" t="e">
        <f>SUM(M5:M110)</f>
        <v>#DIV/0!</v>
      </c>
      <c r="N111" s="194" t="e">
        <f>+M111-J111</f>
        <v>#DIV/0!</v>
      </c>
    </row>
    <row r="121" spans="1:9" x14ac:dyDescent="0.25">
      <c r="A121" s="37"/>
      <c r="B121" s="6"/>
      <c r="C121" s="249"/>
      <c r="D121" s="249"/>
      <c r="E121" s="249"/>
      <c r="F121" s="249"/>
      <c r="G121" s="249"/>
      <c r="H121" s="249"/>
      <c r="I121" s="274"/>
    </row>
    <row r="122" spans="1:9" x14ac:dyDescent="0.25">
      <c r="A122" s="37"/>
      <c r="B122" s="6"/>
      <c r="C122" s="249"/>
      <c r="D122" s="249"/>
      <c r="E122" s="249"/>
      <c r="F122" s="249"/>
      <c r="G122" s="249"/>
      <c r="H122" s="249"/>
      <c r="I122" s="274"/>
    </row>
    <row r="123" spans="1:9" x14ac:dyDescent="0.25">
      <c r="A123" s="37"/>
      <c r="B123" s="6"/>
      <c r="C123" s="249"/>
      <c r="D123" s="249"/>
      <c r="E123" s="249"/>
      <c r="F123" s="249"/>
      <c r="G123" s="249"/>
      <c r="H123" s="249"/>
      <c r="I123" s="274"/>
    </row>
    <row r="129" spans="1:9" x14ac:dyDescent="0.25">
      <c r="A129" s="37">
        <v>1279844007</v>
      </c>
      <c r="B129" s="6" t="s">
        <v>248</v>
      </c>
      <c r="C129" s="249" t="s">
        <v>236</v>
      </c>
      <c r="D129" s="249" t="s">
        <v>306</v>
      </c>
      <c r="E129" s="249">
        <v>43633.456944444442</v>
      </c>
      <c r="F129" s="249">
        <v>43705</v>
      </c>
      <c r="G129" s="249">
        <v>43711</v>
      </c>
      <c r="H129" s="249" t="s">
        <v>314</v>
      </c>
      <c r="I129" s="274">
        <v>1320</v>
      </c>
    </row>
    <row r="130" spans="1:9" x14ac:dyDescent="0.25">
      <c r="A130" s="37">
        <v>1305097443</v>
      </c>
      <c r="B130" s="6" t="s">
        <v>248</v>
      </c>
      <c r="C130" s="249" t="s">
        <v>236</v>
      </c>
      <c r="D130" s="249" t="s">
        <v>292</v>
      </c>
      <c r="E130" s="249">
        <v>43667.833333333336</v>
      </c>
      <c r="F130" s="249">
        <v>43678</v>
      </c>
      <c r="G130" s="249">
        <v>43679</v>
      </c>
      <c r="H130" s="249" t="s">
        <v>315</v>
      </c>
      <c r="I130" s="274">
        <v>195</v>
      </c>
    </row>
    <row r="132" spans="1:9" x14ac:dyDescent="0.25">
      <c r="A132" s="194">
        <v>1905254561764</v>
      </c>
      <c r="B132" s="194" t="s">
        <v>248</v>
      </c>
      <c r="C132" s="194" t="s">
        <v>237</v>
      </c>
      <c r="D132" s="253" t="s">
        <v>291</v>
      </c>
      <c r="E132" s="194">
        <v>43610.470775462964</v>
      </c>
      <c r="F132" s="194">
        <v>43684</v>
      </c>
      <c r="G132" s="194">
        <v>43686</v>
      </c>
      <c r="H132" s="194" t="s">
        <v>316</v>
      </c>
      <c r="I132" s="194">
        <v>418</v>
      </c>
    </row>
    <row r="133" spans="1:9" x14ac:dyDescent="0.25">
      <c r="A133" s="194">
        <v>1908074814893</v>
      </c>
      <c r="B133" s="194" t="s">
        <v>248</v>
      </c>
      <c r="C133" s="194" t="s">
        <v>237</v>
      </c>
      <c r="D133" s="253" t="s">
        <v>291</v>
      </c>
      <c r="E133" s="194">
        <v>43684.350162037037</v>
      </c>
      <c r="F133" s="194">
        <v>43687</v>
      </c>
      <c r="G133" s="194">
        <v>43688</v>
      </c>
      <c r="H133" s="194" t="s">
        <v>317</v>
      </c>
      <c r="I133" s="194">
        <v>370.5</v>
      </c>
    </row>
  </sheetData>
  <autoFilter ref="A4:K4"/>
  <sortState ref="A5:I58">
    <sortCondition ref="C5:C58"/>
    <sortCondition ref="F5:F58"/>
  </sortState>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U410"/>
  <sheetViews>
    <sheetView topLeftCell="A49" zoomScale="70" zoomScaleNormal="70" workbookViewId="0">
      <selection activeCell="A55" sqref="A55:L55"/>
    </sheetView>
  </sheetViews>
  <sheetFormatPr baseColWidth="10" defaultRowHeight="15" x14ac:dyDescent="0.25"/>
  <cols>
    <col min="1" max="1" width="15.28515625" style="53" customWidth="1"/>
    <col min="2" max="2" width="24.140625" style="53" customWidth="1"/>
    <col min="3" max="3" width="11.7109375" style="53" customWidth="1"/>
    <col min="4" max="4" width="9.28515625" style="53" customWidth="1"/>
    <col min="5" max="5" width="21.28515625" style="53" customWidth="1"/>
    <col min="6" max="6" width="9.85546875" style="53" customWidth="1"/>
    <col min="7" max="7" width="21.28515625" style="53" customWidth="1"/>
    <col min="8" max="8" width="13.28515625" style="53" customWidth="1"/>
    <col min="9" max="9" width="18.85546875" style="147" customWidth="1"/>
    <col min="10" max="10" width="15.28515625" style="147" customWidth="1"/>
    <col min="11" max="11" width="13.28515625" style="53" customWidth="1"/>
    <col min="12" max="12" width="21" style="147" customWidth="1"/>
    <col min="13" max="13" width="14.28515625" style="53" customWidth="1"/>
    <col min="14" max="14" width="14.7109375" style="53" customWidth="1"/>
    <col min="15" max="15" width="12.5703125" style="53" customWidth="1"/>
    <col min="16" max="16" width="9.28515625" style="53" customWidth="1"/>
    <col min="17" max="17" width="12.85546875" style="53" customWidth="1"/>
    <col min="18" max="18" width="14.7109375" style="53" customWidth="1"/>
    <col min="19" max="19" width="13.28515625" style="53" customWidth="1"/>
    <col min="20" max="20" width="7.28515625" style="53" customWidth="1"/>
    <col min="21" max="21" width="10.28515625" style="53" customWidth="1"/>
    <col min="22" max="22" width="11.85546875" style="53" customWidth="1"/>
    <col min="23" max="23" width="18.28515625" style="53" customWidth="1"/>
    <col min="24" max="35" width="7.28515625" style="53" customWidth="1"/>
    <col min="36" max="228" width="9.140625" style="53" customWidth="1"/>
    <col min="229" max="229" width="30.140625" style="53" customWidth="1"/>
    <col min="230" max="230" width="52.140625" style="53" customWidth="1"/>
    <col min="231" max="231" width="47.7109375" style="53" customWidth="1"/>
    <col min="232" max="232" width="13.28515625" style="53" customWidth="1"/>
    <col min="233" max="233" width="9.85546875" style="53" customWidth="1"/>
    <col min="234" max="234" width="17.140625" style="53" customWidth="1"/>
    <col min="235" max="235" width="9.140625" style="53" customWidth="1"/>
    <col min="236" max="236" width="10.85546875" style="53" customWidth="1"/>
    <col min="237" max="237" width="11.28515625" style="53" customWidth="1"/>
    <col min="238" max="238" width="16.28515625" style="53" customWidth="1"/>
    <col min="239" max="239" width="8.28515625" style="53" customWidth="1"/>
    <col min="240" max="240" width="10.28515625" style="53" customWidth="1"/>
    <col min="241" max="241" width="11.28515625" style="53" customWidth="1"/>
    <col min="242" max="242" width="9.7109375" style="53" customWidth="1"/>
    <col min="243" max="484" width="9.140625" style="53" customWidth="1"/>
    <col min="485" max="485" width="30.140625" style="53" customWidth="1"/>
    <col min="486" max="486" width="52.140625" style="53" customWidth="1"/>
    <col min="487" max="487" width="47.7109375" style="53" customWidth="1"/>
    <col min="488" max="488" width="13.28515625" style="53" customWidth="1"/>
    <col min="489" max="489" width="9.85546875" style="53" customWidth="1"/>
    <col min="490" max="490" width="17.140625" style="53" customWidth="1"/>
    <col min="491" max="491" width="9.140625" style="53" customWidth="1"/>
    <col min="492" max="492" width="10.85546875" style="53" customWidth="1"/>
    <col min="493" max="493" width="11.28515625" style="53" customWidth="1"/>
    <col min="494" max="494" width="16.28515625" style="53" customWidth="1"/>
    <col min="495" max="495" width="8.28515625" style="53" customWidth="1"/>
    <col min="496" max="496" width="10.28515625" style="53" customWidth="1"/>
    <col min="497" max="497" width="11.28515625" style="53" customWidth="1"/>
    <col min="498" max="498" width="9.7109375" style="53" customWidth="1"/>
    <col min="499" max="740" width="9.140625" style="53" customWidth="1"/>
    <col min="741" max="741" width="30.140625" style="53" customWidth="1"/>
    <col min="742" max="742" width="52.140625" style="53" customWidth="1"/>
    <col min="743" max="743" width="47.7109375" style="53" customWidth="1"/>
    <col min="744" max="744" width="13.28515625" style="53" customWidth="1"/>
    <col min="745" max="745" width="9.85546875" style="53" customWidth="1"/>
    <col min="746" max="746" width="17.140625" style="53" customWidth="1"/>
    <col min="747" max="747" width="9.140625" style="53" customWidth="1"/>
    <col min="748" max="748" width="10.85546875" style="53" customWidth="1"/>
    <col min="749" max="749" width="11.28515625" style="53" customWidth="1"/>
    <col min="750" max="750" width="16.28515625" style="53" customWidth="1"/>
    <col min="751" max="751" width="8.28515625" style="53" customWidth="1"/>
    <col min="752" max="752" width="10.28515625" style="53" customWidth="1"/>
    <col min="753" max="753" width="11.28515625" style="53" customWidth="1"/>
    <col min="754" max="754" width="9.7109375" style="53" customWidth="1"/>
    <col min="755" max="996" width="9.140625" style="53" customWidth="1"/>
    <col min="997" max="997" width="30.140625" style="53" customWidth="1"/>
    <col min="998" max="998" width="52.140625" style="53" customWidth="1"/>
    <col min="999" max="999" width="47.7109375" style="53" customWidth="1"/>
    <col min="1000" max="1000" width="13.28515625" style="53" customWidth="1"/>
    <col min="1001" max="1001" width="9.85546875" style="53" customWidth="1"/>
    <col min="1002" max="1002" width="17.140625" style="53" customWidth="1"/>
    <col min="1003" max="1003" width="9.140625" style="53" customWidth="1"/>
    <col min="1004" max="1004" width="10.85546875" style="53" customWidth="1"/>
    <col min="1005" max="1005" width="11.28515625" style="53" customWidth="1"/>
    <col min="1006" max="1006" width="16.28515625" style="53" customWidth="1"/>
    <col min="1007" max="1007" width="8.28515625" style="53" customWidth="1"/>
    <col min="1008" max="1008" width="10.28515625" style="53" customWidth="1"/>
    <col min="1009" max="1009" width="11.28515625" style="53" customWidth="1"/>
    <col min="1010" max="1010" width="9.7109375" style="53" customWidth="1"/>
    <col min="1011" max="1252" width="9.140625" style="53" customWidth="1"/>
    <col min="1253" max="1253" width="30.140625" style="53" customWidth="1"/>
    <col min="1254" max="1254" width="52.140625" style="53" customWidth="1"/>
    <col min="1255" max="1255" width="47.7109375" style="53" customWidth="1"/>
    <col min="1256" max="1256" width="13.28515625" style="53" customWidth="1"/>
    <col min="1257" max="1257" width="9.85546875" style="53" customWidth="1"/>
    <col min="1258" max="1258" width="17.140625" style="53" customWidth="1"/>
    <col min="1259" max="1259" width="9.140625" style="53" customWidth="1"/>
    <col min="1260" max="1260" width="10.85546875" style="53" customWidth="1"/>
    <col min="1261" max="1261" width="11.28515625" style="53" customWidth="1"/>
    <col min="1262" max="1262" width="16.28515625" style="53" customWidth="1"/>
    <col min="1263" max="1263" width="8.28515625" style="53" customWidth="1"/>
    <col min="1264" max="1264" width="10.28515625" style="53" customWidth="1"/>
    <col min="1265" max="1265" width="11.28515625" style="53" customWidth="1"/>
    <col min="1266" max="1266" width="9.7109375" style="53" customWidth="1"/>
    <col min="1267" max="1508" width="9.140625" style="53" customWidth="1"/>
    <col min="1509" max="1509" width="30.140625" style="53" customWidth="1"/>
    <col min="1510" max="1510" width="52.140625" style="53" customWidth="1"/>
    <col min="1511" max="1511" width="47.7109375" style="53" customWidth="1"/>
    <col min="1512" max="1512" width="13.28515625" style="53" customWidth="1"/>
    <col min="1513" max="1513" width="9.85546875" style="53" customWidth="1"/>
    <col min="1514" max="1514" width="17.140625" style="53" customWidth="1"/>
    <col min="1515" max="1515" width="9.140625" style="53" customWidth="1"/>
    <col min="1516" max="1516" width="10.85546875" style="53" customWidth="1"/>
    <col min="1517" max="1517" width="11.28515625" style="53" customWidth="1"/>
    <col min="1518" max="1518" width="16.28515625" style="53" customWidth="1"/>
    <col min="1519" max="1519" width="8.28515625" style="53" customWidth="1"/>
    <col min="1520" max="1520" width="10.28515625" style="53" customWidth="1"/>
    <col min="1521" max="1521" width="11.28515625" style="53" customWidth="1"/>
    <col min="1522" max="1522" width="9.7109375" style="53" customWidth="1"/>
    <col min="1523" max="1764" width="9.140625" style="53" customWidth="1"/>
    <col min="1765" max="1765" width="30.140625" style="53" customWidth="1"/>
    <col min="1766" max="1766" width="52.140625" style="53" customWidth="1"/>
    <col min="1767" max="1767" width="47.7109375" style="53" customWidth="1"/>
    <col min="1768" max="1768" width="13.28515625" style="53" customWidth="1"/>
    <col min="1769" max="1769" width="9.85546875" style="53" customWidth="1"/>
    <col min="1770" max="1770" width="17.140625" style="53" customWidth="1"/>
    <col min="1771" max="1771" width="9.140625" style="53" customWidth="1"/>
    <col min="1772" max="1772" width="10.85546875" style="53" customWidth="1"/>
    <col min="1773" max="1773" width="11.28515625" style="53" customWidth="1"/>
    <col min="1774" max="1774" width="16.28515625" style="53" customWidth="1"/>
    <col min="1775" max="1775" width="8.28515625" style="53" customWidth="1"/>
    <col min="1776" max="1776" width="10.28515625" style="53" customWidth="1"/>
    <col min="1777" max="1777" width="11.28515625" style="53" customWidth="1"/>
    <col min="1778" max="1778" width="9.7109375" style="53" customWidth="1"/>
    <col min="1779" max="2020" width="9.140625" style="53" customWidth="1"/>
    <col min="2021" max="2021" width="30.140625" style="53" customWidth="1"/>
    <col min="2022" max="2022" width="52.140625" style="53" customWidth="1"/>
    <col min="2023" max="2023" width="47.7109375" style="53" customWidth="1"/>
    <col min="2024" max="2024" width="13.28515625" style="53" customWidth="1"/>
    <col min="2025" max="2025" width="9.85546875" style="53" customWidth="1"/>
    <col min="2026" max="2026" width="17.140625" style="53" customWidth="1"/>
    <col min="2027" max="2027" width="9.140625" style="53" customWidth="1"/>
    <col min="2028" max="2028" width="10.85546875" style="53" customWidth="1"/>
    <col min="2029" max="2029" width="11.28515625" style="53" customWidth="1"/>
    <col min="2030" max="2030" width="16.28515625" style="53" customWidth="1"/>
    <col min="2031" max="2031" width="8.28515625" style="53" customWidth="1"/>
    <col min="2032" max="2032" width="10.28515625" style="53" customWidth="1"/>
    <col min="2033" max="2033" width="11.28515625" style="53" customWidth="1"/>
    <col min="2034" max="2034" width="9.7109375" style="53" customWidth="1"/>
    <col min="2035" max="2276" width="9.140625" style="53" customWidth="1"/>
    <col min="2277" max="2277" width="30.140625" style="53" customWidth="1"/>
    <col min="2278" max="2278" width="52.140625" style="53" customWidth="1"/>
    <col min="2279" max="2279" width="47.7109375" style="53" customWidth="1"/>
    <col min="2280" max="2280" width="13.28515625" style="53" customWidth="1"/>
    <col min="2281" max="2281" width="9.85546875" style="53" customWidth="1"/>
    <col min="2282" max="2282" width="17.140625" style="53" customWidth="1"/>
    <col min="2283" max="2283" width="9.140625" style="53" customWidth="1"/>
    <col min="2284" max="2284" width="10.85546875" style="53" customWidth="1"/>
    <col min="2285" max="2285" width="11.28515625" style="53" customWidth="1"/>
    <col min="2286" max="2286" width="16.28515625" style="53" customWidth="1"/>
    <col min="2287" max="2287" width="8.28515625" style="53" customWidth="1"/>
    <col min="2288" max="2288" width="10.28515625" style="53" customWidth="1"/>
    <col min="2289" max="2289" width="11.28515625" style="53" customWidth="1"/>
    <col min="2290" max="2290" width="9.7109375" style="53" customWidth="1"/>
    <col min="2291" max="2532" width="9.140625" style="53" customWidth="1"/>
    <col min="2533" max="2533" width="30.140625" style="53" customWidth="1"/>
    <col min="2534" max="2534" width="52.140625" style="53" customWidth="1"/>
    <col min="2535" max="2535" width="47.7109375" style="53" customWidth="1"/>
    <col min="2536" max="2536" width="13.28515625" style="53" customWidth="1"/>
    <col min="2537" max="2537" width="9.85546875" style="53" customWidth="1"/>
    <col min="2538" max="2538" width="17.140625" style="53" customWidth="1"/>
    <col min="2539" max="2539" width="9.140625" style="53" customWidth="1"/>
    <col min="2540" max="2540" width="10.85546875" style="53" customWidth="1"/>
    <col min="2541" max="2541" width="11.28515625" style="53" customWidth="1"/>
    <col min="2542" max="2542" width="16.28515625" style="53" customWidth="1"/>
    <col min="2543" max="2543" width="8.28515625" style="53" customWidth="1"/>
    <col min="2544" max="2544" width="10.28515625" style="53" customWidth="1"/>
    <col min="2545" max="2545" width="11.28515625" style="53" customWidth="1"/>
    <col min="2546" max="2546" width="9.7109375" style="53" customWidth="1"/>
    <col min="2547" max="2788" width="9.140625" style="53" customWidth="1"/>
    <col min="2789" max="2789" width="30.140625" style="53" customWidth="1"/>
    <col min="2790" max="2790" width="52.140625" style="53" customWidth="1"/>
    <col min="2791" max="2791" width="47.7109375" style="53" customWidth="1"/>
    <col min="2792" max="2792" width="13.28515625" style="53" customWidth="1"/>
    <col min="2793" max="2793" width="9.85546875" style="53" customWidth="1"/>
    <col min="2794" max="2794" width="17.140625" style="53" customWidth="1"/>
    <col min="2795" max="2795" width="9.140625" style="53" customWidth="1"/>
    <col min="2796" max="2796" width="10.85546875" style="53" customWidth="1"/>
    <col min="2797" max="2797" width="11.28515625" style="53" customWidth="1"/>
    <col min="2798" max="2798" width="16.28515625" style="53" customWidth="1"/>
    <col min="2799" max="2799" width="8.28515625" style="53" customWidth="1"/>
    <col min="2800" max="2800" width="10.28515625" style="53" customWidth="1"/>
    <col min="2801" max="2801" width="11.28515625" style="53" customWidth="1"/>
    <col min="2802" max="2802" width="9.7109375" style="53" customWidth="1"/>
    <col min="2803" max="3044" width="9.140625" style="53" customWidth="1"/>
    <col min="3045" max="3045" width="30.140625" style="53" customWidth="1"/>
    <col min="3046" max="3046" width="52.140625" style="53" customWidth="1"/>
    <col min="3047" max="3047" width="47.7109375" style="53" customWidth="1"/>
    <col min="3048" max="3048" width="13.28515625" style="53" customWidth="1"/>
    <col min="3049" max="3049" width="9.85546875" style="53" customWidth="1"/>
    <col min="3050" max="3050" width="17.140625" style="53" customWidth="1"/>
    <col min="3051" max="3051" width="9.140625" style="53" customWidth="1"/>
    <col min="3052" max="3052" width="10.85546875" style="53" customWidth="1"/>
    <col min="3053" max="3053" width="11.28515625" style="53" customWidth="1"/>
    <col min="3054" max="3054" width="16.28515625" style="53" customWidth="1"/>
    <col min="3055" max="3055" width="8.28515625" style="53" customWidth="1"/>
    <col min="3056" max="3056" width="10.28515625" style="53" customWidth="1"/>
    <col min="3057" max="3057" width="11.28515625" style="53" customWidth="1"/>
    <col min="3058" max="3058" width="9.7109375" style="53" customWidth="1"/>
    <col min="3059" max="3300" width="9.140625" style="53" customWidth="1"/>
    <col min="3301" max="3301" width="30.140625" style="53" customWidth="1"/>
    <col min="3302" max="3302" width="52.140625" style="53" customWidth="1"/>
    <col min="3303" max="3303" width="47.7109375" style="53" customWidth="1"/>
    <col min="3304" max="3304" width="13.28515625" style="53" customWidth="1"/>
    <col min="3305" max="3305" width="9.85546875" style="53" customWidth="1"/>
    <col min="3306" max="3306" width="17.140625" style="53" customWidth="1"/>
    <col min="3307" max="3307" width="9.140625" style="53" customWidth="1"/>
    <col min="3308" max="3308" width="10.85546875" style="53" customWidth="1"/>
    <col min="3309" max="3309" width="11.28515625" style="53" customWidth="1"/>
    <col min="3310" max="3310" width="16.28515625" style="53" customWidth="1"/>
    <col min="3311" max="3311" width="8.28515625" style="53" customWidth="1"/>
    <col min="3312" max="3312" width="10.28515625" style="53" customWidth="1"/>
    <col min="3313" max="3313" width="11.28515625" style="53" customWidth="1"/>
    <col min="3314" max="3314" width="9.7109375" style="53" customWidth="1"/>
    <col min="3315" max="3556" width="9.140625" style="53" customWidth="1"/>
    <col min="3557" max="3557" width="30.140625" style="53" customWidth="1"/>
    <col min="3558" max="3558" width="52.140625" style="53" customWidth="1"/>
    <col min="3559" max="3559" width="47.7109375" style="53" customWidth="1"/>
    <col min="3560" max="3560" width="13.28515625" style="53" customWidth="1"/>
    <col min="3561" max="3561" width="9.85546875" style="53" customWidth="1"/>
    <col min="3562" max="3562" width="17.140625" style="53" customWidth="1"/>
    <col min="3563" max="3563" width="9.140625" style="53" customWidth="1"/>
    <col min="3564" max="3564" width="10.85546875" style="53" customWidth="1"/>
    <col min="3565" max="3565" width="11.28515625" style="53" customWidth="1"/>
    <col min="3566" max="3566" width="16.28515625" style="53" customWidth="1"/>
    <col min="3567" max="3567" width="8.28515625" style="53" customWidth="1"/>
    <col min="3568" max="3568" width="10.28515625" style="53" customWidth="1"/>
    <col min="3569" max="3569" width="11.28515625" style="53" customWidth="1"/>
    <col min="3570" max="3570" width="9.7109375" style="53" customWidth="1"/>
    <col min="3571" max="3812" width="9.140625" style="53" customWidth="1"/>
    <col min="3813" max="3813" width="30.140625" style="53" customWidth="1"/>
    <col min="3814" max="3814" width="52.140625" style="53" customWidth="1"/>
    <col min="3815" max="3815" width="47.7109375" style="53" customWidth="1"/>
    <col min="3816" max="3816" width="13.28515625" style="53" customWidth="1"/>
    <col min="3817" max="3817" width="9.85546875" style="53" customWidth="1"/>
    <col min="3818" max="3818" width="17.140625" style="53" customWidth="1"/>
    <col min="3819" max="3819" width="9.140625" style="53" customWidth="1"/>
    <col min="3820" max="3820" width="10.85546875" style="53" customWidth="1"/>
    <col min="3821" max="3821" width="11.28515625" style="53" customWidth="1"/>
    <col min="3822" max="3822" width="16.28515625" style="53" customWidth="1"/>
    <col min="3823" max="3823" width="8.28515625" style="53" customWidth="1"/>
    <col min="3824" max="3824" width="10.28515625" style="53" customWidth="1"/>
    <col min="3825" max="3825" width="11.28515625" style="53" customWidth="1"/>
    <col min="3826" max="3826" width="9.7109375" style="53" customWidth="1"/>
    <col min="3827" max="4068" width="9.140625" style="53" customWidth="1"/>
    <col min="4069" max="4069" width="30.140625" style="53" customWidth="1"/>
    <col min="4070" max="4070" width="52.140625" style="53" customWidth="1"/>
    <col min="4071" max="4071" width="47.7109375" style="53" customWidth="1"/>
    <col min="4072" max="4072" width="13.28515625" style="53" customWidth="1"/>
    <col min="4073" max="4073" width="9.85546875" style="53" customWidth="1"/>
    <col min="4074" max="4074" width="17.140625" style="53" customWidth="1"/>
    <col min="4075" max="4075" width="9.140625" style="53" customWidth="1"/>
    <col min="4076" max="4076" width="10.85546875" style="53" customWidth="1"/>
    <col min="4077" max="4077" width="11.28515625" style="53" customWidth="1"/>
    <col min="4078" max="4078" width="16.28515625" style="53" customWidth="1"/>
    <col min="4079" max="4079" width="8.28515625" style="53" customWidth="1"/>
    <col min="4080" max="4080" width="10.28515625" style="53" customWidth="1"/>
    <col min="4081" max="4081" width="11.28515625" style="53" customWidth="1"/>
    <col min="4082" max="4082" width="9.7109375" style="53" customWidth="1"/>
    <col min="4083" max="4324" width="9.140625" style="53" customWidth="1"/>
    <col min="4325" max="4325" width="30.140625" style="53" customWidth="1"/>
    <col min="4326" max="4326" width="52.140625" style="53" customWidth="1"/>
    <col min="4327" max="4327" width="47.7109375" style="53" customWidth="1"/>
    <col min="4328" max="4328" width="13.28515625" style="53" customWidth="1"/>
    <col min="4329" max="4329" width="9.85546875" style="53" customWidth="1"/>
    <col min="4330" max="4330" width="17.140625" style="53" customWidth="1"/>
    <col min="4331" max="4331" width="9.140625" style="53" customWidth="1"/>
    <col min="4332" max="4332" width="10.85546875" style="53" customWidth="1"/>
    <col min="4333" max="4333" width="11.28515625" style="53" customWidth="1"/>
    <col min="4334" max="4334" width="16.28515625" style="53" customWidth="1"/>
    <col min="4335" max="4335" width="8.28515625" style="53" customWidth="1"/>
    <col min="4336" max="4336" width="10.28515625" style="53" customWidth="1"/>
    <col min="4337" max="4337" width="11.28515625" style="53" customWidth="1"/>
    <col min="4338" max="4338" width="9.7109375" style="53" customWidth="1"/>
    <col min="4339" max="4580" width="9.140625" style="53" customWidth="1"/>
    <col min="4581" max="4581" width="30.140625" style="53" customWidth="1"/>
    <col min="4582" max="4582" width="52.140625" style="53" customWidth="1"/>
    <col min="4583" max="4583" width="47.7109375" style="53" customWidth="1"/>
    <col min="4584" max="4584" width="13.28515625" style="53" customWidth="1"/>
    <col min="4585" max="4585" width="9.85546875" style="53" customWidth="1"/>
    <col min="4586" max="4586" width="17.140625" style="53" customWidth="1"/>
    <col min="4587" max="4587" width="9.140625" style="53" customWidth="1"/>
    <col min="4588" max="4588" width="10.85546875" style="53" customWidth="1"/>
    <col min="4589" max="4589" width="11.28515625" style="53" customWidth="1"/>
    <col min="4590" max="4590" width="16.28515625" style="53" customWidth="1"/>
    <col min="4591" max="4591" width="8.28515625" style="53" customWidth="1"/>
    <col min="4592" max="4592" width="10.28515625" style="53" customWidth="1"/>
    <col min="4593" max="4593" width="11.28515625" style="53" customWidth="1"/>
    <col min="4594" max="4594" width="9.7109375" style="53" customWidth="1"/>
    <col min="4595" max="4836" width="9.140625" style="53" customWidth="1"/>
    <col min="4837" max="4837" width="30.140625" style="53" customWidth="1"/>
    <col min="4838" max="4838" width="52.140625" style="53" customWidth="1"/>
    <col min="4839" max="4839" width="47.7109375" style="53" customWidth="1"/>
    <col min="4840" max="4840" width="13.28515625" style="53" customWidth="1"/>
    <col min="4841" max="4841" width="9.85546875" style="53" customWidth="1"/>
    <col min="4842" max="4842" width="17.140625" style="53" customWidth="1"/>
    <col min="4843" max="4843" width="9.140625" style="53" customWidth="1"/>
    <col min="4844" max="4844" width="10.85546875" style="53" customWidth="1"/>
    <col min="4845" max="4845" width="11.28515625" style="53" customWidth="1"/>
    <col min="4846" max="4846" width="16.28515625" style="53" customWidth="1"/>
    <col min="4847" max="4847" width="8.28515625" style="53" customWidth="1"/>
    <col min="4848" max="4848" width="10.28515625" style="53" customWidth="1"/>
    <col min="4849" max="4849" width="11.28515625" style="53" customWidth="1"/>
    <col min="4850" max="4850" width="9.7109375" style="53" customWidth="1"/>
    <col min="4851" max="5092" width="9.140625" style="53" customWidth="1"/>
    <col min="5093" max="5093" width="30.140625" style="53" customWidth="1"/>
    <col min="5094" max="5094" width="52.140625" style="53" customWidth="1"/>
    <col min="5095" max="5095" width="47.7109375" style="53" customWidth="1"/>
    <col min="5096" max="5096" width="13.28515625" style="53" customWidth="1"/>
    <col min="5097" max="5097" width="9.85546875" style="53" customWidth="1"/>
    <col min="5098" max="5098" width="17.140625" style="53" customWidth="1"/>
    <col min="5099" max="5099" width="9.140625" style="53" customWidth="1"/>
    <col min="5100" max="5100" width="10.85546875" style="53" customWidth="1"/>
    <col min="5101" max="5101" width="11.28515625" style="53" customWidth="1"/>
    <col min="5102" max="5102" width="16.28515625" style="53" customWidth="1"/>
    <col min="5103" max="5103" width="8.28515625" style="53" customWidth="1"/>
    <col min="5104" max="5104" width="10.28515625" style="53" customWidth="1"/>
    <col min="5105" max="5105" width="11.28515625" style="53" customWidth="1"/>
    <col min="5106" max="5106" width="9.7109375" style="53" customWidth="1"/>
    <col min="5107" max="5348" width="9.140625" style="53" customWidth="1"/>
    <col min="5349" max="5349" width="30.140625" style="53" customWidth="1"/>
    <col min="5350" max="5350" width="52.140625" style="53" customWidth="1"/>
    <col min="5351" max="5351" width="47.7109375" style="53" customWidth="1"/>
    <col min="5352" max="5352" width="13.28515625" style="53" customWidth="1"/>
    <col min="5353" max="5353" width="9.85546875" style="53" customWidth="1"/>
    <col min="5354" max="5354" width="17.140625" style="53" customWidth="1"/>
    <col min="5355" max="5355" width="9.140625" style="53" customWidth="1"/>
    <col min="5356" max="5356" width="10.85546875" style="53" customWidth="1"/>
    <col min="5357" max="5357" width="11.28515625" style="53" customWidth="1"/>
    <col min="5358" max="5358" width="16.28515625" style="53" customWidth="1"/>
    <col min="5359" max="5359" width="8.28515625" style="53" customWidth="1"/>
    <col min="5360" max="5360" width="10.28515625" style="53" customWidth="1"/>
    <col min="5361" max="5361" width="11.28515625" style="53" customWidth="1"/>
    <col min="5362" max="5362" width="9.7109375" style="53" customWidth="1"/>
    <col min="5363" max="5604" width="9.140625" style="53" customWidth="1"/>
    <col min="5605" max="5605" width="30.140625" style="53" customWidth="1"/>
    <col min="5606" max="5606" width="52.140625" style="53" customWidth="1"/>
    <col min="5607" max="5607" width="47.7109375" style="53" customWidth="1"/>
    <col min="5608" max="5608" width="13.28515625" style="53" customWidth="1"/>
    <col min="5609" max="5609" width="9.85546875" style="53" customWidth="1"/>
    <col min="5610" max="5610" width="17.140625" style="53" customWidth="1"/>
    <col min="5611" max="5611" width="9.140625" style="53" customWidth="1"/>
    <col min="5612" max="5612" width="10.85546875" style="53" customWidth="1"/>
    <col min="5613" max="5613" width="11.28515625" style="53" customWidth="1"/>
    <col min="5614" max="5614" width="16.28515625" style="53" customWidth="1"/>
    <col min="5615" max="5615" width="8.28515625" style="53" customWidth="1"/>
    <col min="5616" max="5616" width="10.28515625" style="53" customWidth="1"/>
    <col min="5617" max="5617" width="11.28515625" style="53" customWidth="1"/>
    <col min="5618" max="5618" width="9.7109375" style="53" customWidth="1"/>
    <col min="5619" max="5860" width="9.140625" style="53" customWidth="1"/>
    <col min="5861" max="5861" width="30.140625" style="53" customWidth="1"/>
    <col min="5862" max="5862" width="52.140625" style="53" customWidth="1"/>
    <col min="5863" max="5863" width="47.7109375" style="53" customWidth="1"/>
    <col min="5864" max="5864" width="13.28515625" style="53" customWidth="1"/>
    <col min="5865" max="5865" width="9.85546875" style="53" customWidth="1"/>
    <col min="5866" max="5866" width="17.140625" style="53" customWidth="1"/>
    <col min="5867" max="5867" width="9.140625" style="53" customWidth="1"/>
    <col min="5868" max="5868" width="10.85546875" style="53" customWidth="1"/>
    <col min="5869" max="5869" width="11.28515625" style="53" customWidth="1"/>
    <col min="5870" max="5870" width="16.28515625" style="53" customWidth="1"/>
    <col min="5871" max="5871" width="8.28515625" style="53" customWidth="1"/>
    <col min="5872" max="5872" width="10.28515625" style="53" customWidth="1"/>
    <col min="5873" max="5873" width="11.28515625" style="53" customWidth="1"/>
    <col min="5874" max="5874" width="9.7109375" style="53" customWidth="1"/>
    <col min="5875" max="6116" width="9.140625" style="53" customWidth="1"/>
    <col min="6117" max="6117" width="30.140625" style="53" customWidth="1"/>
    <col min="6118" max="6118" width="52.140625" style="53" customWidth="1"/>
    <col min="6119" max="6119" width="47.7109375" style="53" customWidth="1"/>
    <col min="6120" max="6120" width="13.28515625" style="53" customWidth="1"/>
    <col min="6121" max="6121" width="9.85546875" style="53" customWidth="1"/>
    <col min="6122" max="6122" width="17.140625" style="53" customWidth="1"/>
    <col min="6123" max="6123" width="9.140625" style="53" customWidth="1"/>
    <col min="6124" max="6124" width="10.85546875" style="53" customWidth="1"/>
    <col min="6125" max="6125" width="11.28515625" style="53" customWidth="1"/>
    <col min="6126" max="6126" width="16.28515625" style="53" customWidth="1"/>
    <col min="6127" max="6127" width="8.28515625" style="53" customWidth="1"/>
    <col min="6128" max="6128" width="10.28515625" style="53" customWidth="1"/>
    <col min="6129" max="6129" width="11.28515625" style="53" customWidth="1"/>
    <col min="6130" max="6130" width="9.7109375" style="53" customWidth="1"/>
    <col min="6131" max="6372" width="9.140625" style="53" customWidth="1"/>
    <col min="6373" max="6373" width="30.140625" style="53" customWidth="1"/>
    <col min="6374" max="6374" width="52.140625" style="53" customWidth="1"/>
    <col min="6375" max="6375" width="47.7109375" style="53" customWidth="1"/>
    <col min="6376" max="6376" width="13.28515625" style="53" customWidth="1"/>
    <col min="6377" max="6377" width="9.85546875" style="53" customWidth="1"/>
    <col min="6378" max="6378" width="17.140625" style="53" customWidth="1"/>
    <col min="6379" max="6379" width="9.140625" style="53" customWidth="1"/>
    <col min="6380" max="6380" width="10.85546875" style="53" customWidth="1"/>
    <col min="6381" max="6381" width="11.28515625" style="53" customWidth="1"/>
    <col min="6382" max="6382" width="16.28515625" style="53" customWidth="1"/>
    <col min="6383" max="6383" width="8.28515625" style="53" customWidth="1"/>
    <col min="6384" max="6384" width="10.28515625" style="53" customWidth="1"/>
    <col min="6385" max="6385" width="11.28515625" style="53" customWidth="1"/>
    <col min="6386" max="6386" width="9.7109375" style="53" customWidth="1"/>
    <col min="6387" max="6628" width="9.140625" style="53" customWidth="1"/>
    <col min="6629" max="6629" width="30.140625" style="53" customWidth="1"/>
    <col min="6630" max="6630" width="52.140625" style="53" customWidth="1"/>
    <col min="6631" max="6631" width="47.7109375" style="53" customWidth="1"/>
    <col min="6632" max="6632" width="13.28515625" style="53" customWidth="1"/>
    <col min="6633" max="6633" width="9.85546875" style="53" customWidth="1"/>
    <col min="6634" max="6634" width="17.140625" style="53" customWidth="1"/>
    <col min="6635" max="6635" width="9.140625" style="53" customWidth="1"/>
    <col min="6636" max="6636" width="10.85546875" style="53" customWidth="1"/>
    <col min="6637" max="6637" width="11.28515625" style="53" customWidth="1"/>
    <col min="6638" max="6638" width="16.28515625" style="53" customWidth="1"/>
    <col min="6639" max="6639" width="8.28515625" style="53" customWidth="1"/>
    <col min="6640" max="6640" width="10.28515625" style="53" customWidth="1"/>
    <col min="6641" max="6641" width="11.28515625" style="53" customWidth="1"/>
    <col min="6642" max="6642" width="9.7109375" style="53" customWidth="1"/>
    <col min="6643" max="6884" width="9.140625" style="53" customWidth="1"/>
    <col min="6885" max="6885" width="30.140625" style="53" customWidth="1"/>
    <col min="6886" max="6886" width="52.140625" style="53" customWidth="1"/>
    <col min="6887" max="6887" width="47.7109375" style="53" customWidth="1"/>
    <col min="6888" max="6888" width="13.28515625" style="53" customWidth="1"/>
    <col min="6889" max="6889" width="9.85546875" style="53" customWidth="1"/>
    <col min="6890" max="6890" width="17.140625" style="53" customWidth="1"/>
    <col min="6891" max="6891" width="9.140625" style="53" customWidth="1"/>
    <col min="6892" max="6892" width="10.85546875" style="53" customWidth="1"/>
    <col min="6893" max="6893" width="11.28515625" style="53" customWidth="1"/>
    <col min="6894" max="6894" width="16.28515625" style="53" customWidth="1"/>
    <col min="6895" max="6895" width="8.28515625" style="53" customWidth="1"/>
    <col min="6896" max="6896" width="10.28515625" style="53" customWidth="1"/>
    <col min="6897" max="6897" width="11.28515625" style="53" customWidth="1"/>
    <col min="6898" max="6898" width="9.7109375" style="53" customWidth="1"/>
    <col min="6899" max="7140" width="9.140625" style="53" customWidth="1"/>
    <col min="7141" max="7141" width="30.140625" style="53" customWidth="1"/>
    <col min="7142" max="7142" width="52.140625" style="53" customWidth="1"/>
    <col min="7143" max="7143" width="47.7109375" style="53" customWidth="1"/>
    <col min="7144" max="7144" width="13.28515625" style="53" customWidth="1"/>
    <col min="7145" max="7145" width="9.85546875" style="53" customWidth="1"/>
    <col min="7146" max="7146" width="17.140625" style="53" customWidth="1"/>
    <col min="7147" max="7147" width="9.140625" style="53" customWidth="1"/>
    <col min="7148" max="7148" width="10.85546875" style="53" customWidth="1"/>
    <col min="7149" max="7149" width="11.28515625" style="53" customWidth="1"/>
    <col min="7150" max="7150" width="16.28515625" style="53" customWidth="1"/>
    <col min="7151" max="7151" width="8.28515625" style="53" customWidth="1"/>
    <col min="7152" max="7152" width="10.28515625" style="53" customWidth="1"/>
    <col min="7153" max="7153" width="11.28515625" style="53" customWidth="1"/>
    <col min="7154" max="7154" width="9.7109375" style="53" customWidth="1"/>
    <col min="7155" max="7396" width="9.140625" style="53" customWidth="1"/>
    <col min="7397" max="7397" width="30.140625" style="53" customWidth="1"/>
    <col min="7398" max="7398" width="52.140625" style="53" customWidth="1"/>
    <col min="7399" max="7399" width="47.7109375" style="53" customWidth="1"/>
    <col min="7400" max="7400" width="13.28515625" style="53" customWidth="1"/>
    <col min="7401" max="7401" width="9.85546875" style="53" customWidth="1"/>
    <col min="7402" max="7402" width="17.140625" style="53" customWidth="1"/>
    <col min="7403" max="7403" width="9.140625" style="53" customWidth="1"/>
    <col min="7404" max="7404" width="10.85546875" style="53" customWidth="1"/>
    <col min="7405" max="7405" width="11.28515625" style="53" customWidth="1"/>
    <col min="7406" max="7406" width="16.28515625" style="53" customWidth="1"/>
    <col min="7407" max="7407" width="8.28515625" style="53" customWidth="1"/>
    <col min="7408" max="7408" width="10.28515625" style="53" customWidth="1"/>
    <col min="7409" max="7409" width="11.28515625" style="53" customWidth="1"/>
    <col min="7410" max="7410" width="9.7109375" style="53" customWidth="1"/>
    <col min="7411" max="7652" width="9.140625" style="53" customWidth="1"/>
    <col min="7653" max="7653" width="30.140625" style="53" customWidth="1"/>
    <col min="7654" max="7654" width="52.140625" style="53" customWidth="1"/>
    <col min="7655" max="7655" width="47.7109375" style="53" customWidth="1"/>
    <col min="7656" max="7656" width="13.28515625" style="53" customWidth="1"/>
    <col min="7657" max="7657" width="9.85546875" style="53" customWidth="1"/>
    <col min="7658" max="7658" width="17.140625" style="53" customWidth="1"/>
    <col min="7659" max="7659" width="9.140625" style="53" customWidth="1"/>
    <col min="7660" max="7660" width="10.85546875" style="53" customWidth="1"/>
    <col min="7661" max="7661" width="11.28515625" style="53" customWidth="1"/>
    <col min="7662" max="7662" width="16.28515625" style="53" customWidth="1"/>
    <col min="7663" max="7663" width="8.28515625" style="53" customWidth="1"/>
    <col min="7664" max="7664" width="10.28515625" style="53" customWidth="1"/>
    <col min="7665" max="7665" width="11.28515625" style="53" customWidth="1"/>
    <col min="7666" max="7666" width="9.7109375" style="53" customWidth="1"/>
    <col min="7667" max="7908" width="9.140625" style="53" customWidth="1"/>
    <col min="7909" max="7909" width="30.140625" style="53" customWidth="1"/>
    <col min="7910" max="7910" width="52.140625" style="53" customWidth="1"/>
    <col min="7911" max="7911" width="47.7109375" style="53" customWidth="1"/>
    <col min="7912" max="7912" width="13.28515625" style="53" customWidth="1"/>
    <col min="7913" max="7913" width="9.85546875" style="53" customWidth="1"/>
    <col min="7914" max="7914" width="17.140625" style="53" customWidth="1"/>
    <col min="7915" max="7915" width="9.140625" style="53" customWidth="1"/>
    <col min="7916" max="7916" width="10.85546875" style="53" customWidth="1"/>
    <col min="7917" max="7917" width="11.28515625" style="53" customWidth="1"/>
    <col min="7918" max="7918" width="16.28515625" style="53" customWidth="1"/>
    <col min="7919" max="7919" width="8.28515625" style="53" customWidth="1"/>
    <col min="7920" max="7920" width="10.28515625" style="53" customWidth="1"/>
    <col min="7921" max="7921" width="11.28515625" style="53" customWidth="1"/>
    <col min="7922" max="7922" width="9.7109375" style="53" customWidth="1"/>
    <col min="7923" max="8164" width="9.140625" style="53" customWidth="1"/>
    <col min="8165" max="8165" width="30.140625" style="53" customWidth="1"/>
    <col min="8166" max="8166" width="52.140625" style="53" customWidth="1"/>
    <col min="8167" max="8167" width="47.7109375" style="53" customWidth="1"/>
    <col min="8168" max="8168" width="13.28515625" style="53" customWidth="1"/>
    <col min="8169" max="8169" width="9.85546875" style="53" customWidth="1"/>
    <col min="8170" max="8170" width="17.140625" style="53" customWidth="1"/>
    <col min="8171" max="8171" width="9.140625" style="53" customWidth="1"/>
    <col min="8172" max="8172" width="10.85546875" style="53" customWidth="1"/>
    <col min="8173" max="8173" width="11.28515625" style="53" customWidth="1"/>
    <col min="8174" max="8174" width="16.28515625" style="53" customWidth="1"/>
    <col min="8175" max="8175" width="8.28515625" style="53" customWidth="1"/>
    <col min="8176" max="8176" width="10.28515625" style="53" customWidth="1"/>
    <col min="8177" max="8177" width="11.28515625" style="53" customWidth="1"/>
    <col min="8178" max="8178" width="9.7109375" style="53" customWidth="1"/>
    <col min="8179" max="8420" width="9.140625" style="53" customWidth="1"/>
    <col min="8421" max="8421" width="30.140625" style="53" customWidth="1"/>
    <col min="8422" max="8422" width="52.140625" style="53" customWidth="1"/>
    <col min="8423" max="8423" width="47.7109375" style="53" customWidth="1"/>
    <col min="8424" max="8424" width="13.28515625" style="53" customWidth="1"/>
    <col min="8425" max="8425" width="9.85546875" style="53" customWidth="1"/>
    <col min="8426" max="8426" width="17.140625" style="53" customWidth="1"/>
    <col min="8427" max="8427" width="9.140625" style="53" customWidth="1"/>
    <col min="8428" max="8428" width="10.85546875" style="53" customWidth="1"/>
    <col min="8429" max="8429" width="11.28515625" style="53" customWidth="1"/>
    <col min="8430" max="8430" width="16.28515625" style="53" customWidth="1"/>
    <col min="8431" max="8431" width="8.28515625" style="53" customWidth="1"/>
    <col min="8432" max="8432" width="10.28515625" style="53" customWidth="1"/>
    <col min="8433" max="8433" width="11.28515625" style="53" customWidth="1"/>
    <col min="8434" max="8434" width="9.7109375" style="53" customWidth="1"/>
    <col min="8435" max="8676" width="9.140625" style="53" customWidth="1"/>
    <col min="8677" max="8677" width="30.140625" style="53" customWidth="1"/>
    <col min="8678" max="8678" width="52.140625" style="53" customWidth="1"/>
    <col min="8679" max="8679" width="47.7109375" style="53" customWidth="1"/>
    <col min="8680" max="8680" width="13.28515625" style="53" customWidth="1"/>
    <col min="8681" max="8681" width="9.85546875" style="53" customWidth="1"/>
    <col min="8682" max="8682" width="17.140625" style="53" customWidth="1"/>
    <col min="8683" max="8683" width="9.140625" style="53" customWidth="1"/>
    <col min="8684" max="8684" width="10.85546875" style="53" customWidth="1"/>
    <col min="8685" max="8685" width="11.28515625" style="53" customWidth="1"/>
    <col min="8686" max="8686" width="16.28515625" style="53" customWidth="1"/>
    <col min="8687" max="8687" width="8.28515625" style="53" customWidth="1"/>
    <col min="8688" max="8688" width="10.28515625" style="53" customWidth="1"/>
    <col min="8689" max="8689" width="11.28515625" style="53" customWidth="1"/>
    <col min="8690" max="8690" width="9.7109375" style="53" customWidth="1"/>
    <col min="8691" max="8932" width="9.140625" style="53" customWidth="1"/>
    <col min="8933" max="8933" width="30.140625" style="53" customWidth="1"/>
    <col min="8934" max="8934" width="52.140625" style="53" customWidth="1"/>
    <col min="8935" max="8935" width="47.7109375" style="53" customWidth="1"/>
    <col min="8936" max="8936" width="13.28515625" style="53" customWidth="1"/>
    <col min="8937" max="8937" width="9.85546875" style="53" customWidth="1"/>
    <col min="8938" max="8938" width="17.140625" style="53" customWidth="1"/>
    <col min="8939" max="8939" width="9.140625" style="53" customWidth="1"/>
    <col min="8940" max="8940" width="10.85546875" style="53" customWidth="1"/>
    <col min="8941" max="8941" width="11.28515625" style="53" customWidth="1"/>
    <col min="8942" max="8942" width="16.28515625" style="53" customWidth="1"/>
    <col min="8943" max="8943" width="8.28515625" style="53" customWidth="1"/>
    <col min="8944" max="8944" width="10.28515625" style="53" customWidth="1"/>
    <col min="8945" max="8945" width="11.28515625" style="53" customWidth="1"/>
    <col min="8946" max="8946" width="9.7109375" style="53" customWidth="1"/>
    <col min="8947" max="9188" width="9.140625" style="53" customWidth="1"/>
    <col min="9189" max="9189" width="30.140625" style="53" customWidth="1"/>
    <col min="9190" max="9190" width="52.140625" style="53" customWidth="1"/>
    <col min="9191" max="9191" width="47.7109375" style="53" customWidth="1"/>
    <col min="9192" max="9192" width="13.28515625" style="53" customWidth="1"/>
    <col min="9193" max="9193" width="9.85546875" style="53" customWidth="1"/>
    <col min="9194" max="9194" width="17.140625" style="53" customWidth="1"/>
    <col min="9195" max="9195" width="9.140625" style="53" customWidth="1"/>
    <col min="9196" max="9196" width="10.85546875" style="53" customWidth="1"/>
    <col min="9197" max="9197" width="11.28515625" style="53" customWidth="1"/>
    <col min="9198" max="9198" width="16.28515625" style="53" customWidth="1"/>
    <col min="9199" max="9199" width="8.28515625" style="53" customWidth="1"/>
    <col min="9200" max="9200" width="10.28515625" style="53" customWidth="1"/>
    <col min="9201" max="9201" width="11.28515625" style="53" customWidth="1"/>
    <col min="9202" max="9202" width="9.7109375" style="53" customWidth="1"/>
    <col min="9203" max="9444" width="9.140625" style="53" customWidth="1"/>
    <col min="9445" max="9445" width="30.140625" style="53" customWidth="1"/>
    <col min="9446" max="9446" width="52.140625" style="53" customWidth="1"/>
    <col min="9447" max="9447" width="47.7109375" style="53" customWidth="1"/>
    <col min="9448" max="9448" width="13.28515625" style="53" customWidth="1"/>
    <col min="9449" max="9449" width="9.85546875" style="53" customWidth="1"/>
    <col min="9450" max="9450" width="17.140625" style="53" customWidth="1"/>
    <col min="9451" max="9451" width="9.140625" style="53" customWidth="1"/>
    <col min="9452" max="9452" width="10.85546875" style="53" customWidth="1"/>
    <col min="9453" max="9453" width="11.28515625" style="53" customWidth="1"/>
    <col min="9454" max="9454" width="16.28515625" style="53" customWidth="1"/>
    <col min="9455" max="9455" width="8.28515625" style="53" customWidth="1"/>
    <col min="9456" max="9456" width="10.28515625" style="53" customWidth="1"/>
    <col min="9457" max="9457" width="11.28515625" style="53" customWidth="1"/>
    <col min="9458" max="9458" width="9.7109375" style="53" customWidth="1"/>
    <col min="9459" max="9700" width="9.140625" style="53" customWidth="1"/>
    <col min="9701" max="9701" width="30.140625" style="53" customWidth="1"/>
    <col min="9702" max="9702" width="52.140625" style="53" customWidth="1"/>
    <col min="9703" max="9703" width="47.7109375" style="53" customWidth="1"/>
    <col min="9704" max="9704" width="13.28515625" style="53" customWidth="1"/>
    <col min="9705" max="9705" width="9.85546875" style="53" customWidth="1"/>
    <col min="9706" max="9706" width="17.140625" style="53" customWidth="1"/>
    <col min="9707" max="9707" width="9.140625" style="53" customWidth="1"/>
    <col min="9708" max="9708" width="10.85546875" style="53" customWidth="1"/>
    <col min="9709" max="9709" width="11.28515625" style="53" customWidth="1"/>
    <col min="9710" max="9710" width="16.28515625" style="53" customWidth="1"/>
    <col min="9711" max="9711" width="8.28515625" style="53" customWidth="1"/>
    <col min="9712" max="9712" width="10.28515625" style="53" customWidth="1"/>
    <col min="9713" max="9713" width="11.28515625" style="53" customWidth="1"/>
    <col min="9714" max="9714" width="9.7109375" style="53" customWidth="1"/>
    <col min="9715" max="9956" width="9.140625" style="53" customWidth="1"/>
    <col min="9957" max="9957" width="30.140625" style="53" customWidth="1"/>
    <col min="9958" max="9958" width="52.140625" style="53" customWidth="1"/>
    <col min="9959" max="9959" width="47.7109375" style="53" customWidth="1"/>
    <col min="9960" max="9960" width="13.28515625" style="53" customWidth="1"/>
    <col min="9961" max="9961" width="9.85546875" style="53" customWidth="1"/>
    <col min="9962" max="9962" width="17.140625" style="53" customWidth="1"/>
    <col min="9963" max="9963" width="9.140625" style="53" customWidth="1"/>
    <col min="9964" max="9964" width="10.85546875" style="53" customWidth="1"/>
    <col min="9965" max="9965" width="11.28515625" style="53" customWidth="1"/>
    <col min="9966" max="9966" width="16.28515625" style="53" customWidth="1"/>
    <col min="9967" max="9967" width="8.28515625" style="53" customWidth="1"/>
    <col min="9968" max="9968" width="10.28515625" style="53" customWidth="1"/>
    <col min="9969" max="9969" width="11.28515625" style="53" customWidth="1"/>
    <col min="9970" max="9970" width="9.7109375" style="53" customWidth="1"/>
    <col min="9971" max="10212" width="9.140625" style="53" customWidth="1"/>
    <col min="10213" max="10213" width="30.140625" style="53" customWidth="1"/>
    <col min="10214" max="10214" width="52.140625" style="53" customWidth="1"/>
    <col min="10215" max="10215" width="47.7109375" style="53" customWidth="1"/>
    <col min="10216" max="10216" width="13.28515625" style="53" customWidth="1"/>
    <col min="10217" max="10217" width="9.85546875" style="53" customWidth="1"/>
    <col min="10218" max="10218" width="17.140625" style="53" customWidth="1"/>
    <col min="10219" max="10219" width="9.140625" style="53" customWidth="1"/>
    <col min="10220" max="10220" width="10.85546875" style="53" customWidth="1"/>
    <col min="10221" max="10221" width="11.28515625" style="53" customWidth="1"/>
    <col min="10222" max="10222" width="16.28515625" style="53" customWidth="1"/>
    <col min="10223" max="10223" width="8.28515625" style="53" customWidth="1"/>
    <col min="10224" max="10224" width="10.28515625" style="53" customWidth="1"/>
    <col min="10225" max="10225" width="11.28515625" style="53" customWidth="1"/>
    <col min="10226" max="10226" width="9.7109375" style="53" customWidth="1"/>
    <col min="10227" max="10468" width="9.140625" style="53" customWidth="1"/>
    <col min="10469" max="10469" width="30.140625" style="53" customWidth="1"/>
    <col min="10470" max="10470" width="52.140625" style="53" customWidth="1"/>
    <col min="10471" max="10471" width="47.7109375" style="53" customWidth="1"/>
    <col min="10472" max="10472" width="13.28515625" style="53" customWidth="1"/>
    <col min="10473" max="10473" width="9.85546875" style="53" customWidth="1"/>
    <col min="10474" max="10474" width="17.140625" style="53" customWidth="1"/>
    <col min="10475" max="10475" width="9.140625" style="53" customWidth="1"/>
    <col min="10476" max="10476" width="10.85546875" style="53" customWidth="1"/>
    <col min="10477" max="10477" width="11.28515625" style="53" customWidth="1"/>
    <col min="10478" max="10478" width="16.28515625" style="53" customWidth="1"/>
    <col min="10479" max="10479" width="8.28515625" style="53" customWidth="1"/>
    <col min="10480" max="10480" width="10.28515625" style="53" customWidth="1"/>
    <col min="10481" max="10481" width="11.28515625" style="53" customWidth="1"/>
    <col min="10482" max="10482" width="9.7109375" style="53" customWidth="1"/>
    <col min="10483" max="10724" width="9.140625" style="53" customWidth="1"/>
    <col min="10725" max="10725" width="30.140625" style="53" customWidth="1"/>
    <col min="10726" max="10726" width="52.140625" style="53" customWidth="1"/>
    <col min="10727" max="10727" width="47.7109375" style="53" customWidth="1"/>
    <col min="10728" max="10728" width="13.28515625" style="53" customWidth="1"/>
    <col min="10729" max="10729" width="9.85546875" style="53" customWidth="1"/>
    <col min="10730" max="10730" width="17.140625" style="53" customWidth="1"/>
    <col min="10731" max="10731" width="9.140625" style="53" customWidth="1"/>
    <col min="10732" max="10732" width="10.85546875" style="53" customWidth="1"/>
    <col min="10733" max="10733" width="11.28515625" style="53" customWidth="1"/>
    <col min="10734" max="10734" width="16.28515625" style="53" customWidth="1"/>
    <col min="10735" max="10735" width="8.28515625" style="53" customWidth="1"/>
    <col min="10736" max="10736" width="10.28515625" style="53" customWidth="1"/>
    <col min="10737" max="10737" width="11.28515625" style="53" customWidth="1"/>
    <col min="10738" max="10738" width="9.7109375" style="53" customWidth="1"/>
    <col min="10739" max="10980" width="9.140625" style="53" customWidth="1"/>
    <col min="10981" max="10981" width="30.140625" style="53" customWidth="1"/>
    <col min="10982" max="10982" width="52.140625" style="53" customWidth="1"/>
    <col min="10983" max="10983" width="47.7109375" style="53" customWidth="1"/>
    <col min="10984" max="10984" width="13.28515625" style="53" customWidth="1"/>
    <col min="10985" max="10985" width="9.85546875" style="53" customWidth="1"/>
    <col min="10986" max="10986" width="17.140625" style="53" customWidth="1"/>
    <col min="10987" max="10987" width="9.140625" style="53" customWidth="1"/>
    <col min="10988" max="10988" width="10.85546875" style="53" customWidth="1"/>
    <col min="10989" max="10989" width="11.28515625" style="53" customWidth="1"/>
    <col min="10990" max="10990" width="16.28515625" style="53" customWidth="1"/>
    <col min="10991" max="10991" width="8.28515625" style="53" customWidth="1"/>
    <col min="10992" max="10992" width="10.28515625" style="53" customWidth="1"/>
    <col min="10993" max="10993" width="11.28515625" style="53" customWidth="1"/>
    <col min="10994" max="10994" width="9.7109375" style="53" customWidth="1"/>
    <col min="10995" max="11236" width="9.140625" style="53" customWidth="1"/>
    <col min="11237" max="11237" width="30.140625" style="53" customWidth="1"/>
    <col min="11238" max="11238" width="52.140625" style="53" customWidth="1"/>
    <col min="11239" max="11239" width="47.7109375" style="53" customWidth="1"/>
    <col min="11240" max="11240" width="13.28515625" style="53" customWidth="1"/>
    <col min="11241" max="11241" width="9.85546875" style="53" customWidth="1"/>
    <col min="11242" max="11242" width="17.140625" style="53" customWidth="1"/>
    <col min="11243" max="11243" width="9.140625" style="53" customWidth="1"/>
    <col min="11244" max="11244" width="10.85546875" style="53" customWidth="1"/>
    <col min="11245" max="11245" width="11.28515625" style="53" customWidth="1"/>
    <col min="11246" max="11246" width="16.28515625" style="53" customWidth="1"/>
    <col min="11247" max="11247" width="8.28515625" style="53" customWidth="1"/>
    <col min="11248" max="11248" width="10.28515625" style="53" customWidth="1"/>
    <col min="11249" max="11249" width="11.28515625" style="53" customWidth="1"/>
    <col min="11250" max="11250" width="9.7109375" style="53" customWidth="1"/>
    <col min="11251" max="11492" width="9.140625" style="53" customWidth="1"/>
    <col min="11493" max="11493" width="30.140625" style="53" customWidth="1"/>
    <col min="11494" max="11494" width="52.140625" style="53" customWidth="1"/>
    <col min="11495" max="11495" width="47.7109375" style="53" customWidth="1"/>
    <col min="11496" max="11496" width="13.28515625" style="53" customWidth="1"/>
    <col min="11497" max="11497" width="9.85546875" style="53" customWidth="1"/>
    <col min="11498" max="11498" width="17.140625" style="53" customWidth="1"/>
    <col min="11499" max="11499" width="9.140625" style="53" customWidth="1"/>
    <col min="11500" max="11500" width="10.85546875" style="53" customWidth="1"/>
    <col min="11501" max="11501" width="11.28515625" style="53" customWidth="1"/>
    <col min="11502" max="11502" width="16.28515625" style="53" customWidth="1"/>
    <col min="11503" max="11503" width="8.28515625" style="53" customWidth="1"/>
    <col min="11504" max="11504" width="10.28515625" style="53" customWidth="1"/>
    <col min="11505" max="11505" width="11.28515625" style="53" customWidth="1"/>
    <col min="11506" max="11506" width="9.7109375" style="53" customWidth="1"/>
    <col min="11507" max="11748" width="9.140625" style="53" customWidth="1"/>
    <col min="11749" max="11749" width="30.140625" style="53" customWidth="1"/>
    <col min="11750" max="11750" width="52.140625" style="53" customWidth="1"/>
    <col min="11751" max="11751" width="47.7109375" style="53" customWidth="1"/>
    <col min="11752" max="11752" width="13.28515625" style="53" customWidth="1"/>
    <col min="11753" max="11753" width="9.85546875" style="53" customWidth="1"/>
    <col min="11754" max="11754" width="17.140625" style="53" customWidth="1"/>
    <col min="11755" max="11755" width="9.140625" style="53" customWidth="1"/>
    <col min="11756" max="11756" width="10.85546875" style="53" customWidth="1"/>
    <col min="11757" max="11757" width="11.28515625" style="53" customWidth="1"/>
    <col min="11758" max="11758" width="16.28515625" style="53" customWidth="1"/>
    <col min="11759" max="11759" width="8.28515625" style="53" customWidth="1"/>
    <col min="11760" max="11760" width="10.28515625" style="53" customWidth="1"/>
    <col min="11761" max="11761" width="11.28515625" style="53" customWidth="1"/>
    <col min="11762" max="11762" width="9.7109375" style="53" customWidth="1"/>
    <col min="11763" max="12004" width="9.140625" style="53" customWidth="1"/>
    <col min="12005" max="12005" width="30.140625" style="53" customWidth="1"/>
    <col min="12006" max="12006" width="52.140625" style="53" customWidth="1"/>
    <col min="12007" max="12007" width="47.7109375" style="53" customWidth="1"/>
    <col min="12008" max="12008" width="13.28515625" style="53" customWidth="1"/>
    <col min="12009" max="12009" width="9.85546875" style="53" customWidth="1"/>
    <col min="12010" max="12010" width="17.140625" style="53" customWidth="1"/>
    <col min="12011" max="12011" width="9.140625" style="53" customWidth="1"/>
    <col min="12012" max="12012" width="10.85546875" style="53" customWidth="1"/>
    <col min="12013" max="12013" width="11.28515625" style="53" customWidth="1"/>
    <col min="12014" max="12014" width="16.28515625" style="53" customWidth="1"/>
    <col min="12015" max="12015" width="8.28515625" style="53" customWidth="1"/>
    <col min="12016" max="12016" width="10.28515625" style="53" customWidth="1"/>
    <col min="12017" max="12017" width="11.28515625" style="53" customWidth="1"/>
    <col min="12018" max="12018" width="9.7109375" style="53" customWidth="1"/>
    <col min="12019" max="12260" width="9.140625" style="53" customWidth="1"/>
    <col min="12261" max="12261" width="30.140625" style="53" customWidth="1"/>
    <col min="12262" max="12262" width="52.140625" style="53" customWidth="1"/>
    <col min="12263" max="12263" width="47.7109375" style="53" customWidth="1"/>
    <col min="12264" max="12264" width="13.28515625" style="53" customWidth="1"/>
    <col min="12265" max="12265" width="9.85546875" style="53" customWidth="1"/>
    <col min="12266" max="12266" width="17.140625" style="53" customWidth="1"/>
    <col min="12267" max="12267" width="9.140625" style="53" customWidth="1"/>
    <col min="12268" max="12268" width="10.85546875" style="53" customWidth="1"/>
    <col min="12269" max="12269" width="11.28515625" style="53" customWidth="1"/>
    <col min="12270" max="12270" width="16.28515625" style="53" customWidth="1"/>
    <col min="12271" max="12271" width="8.28515625" style="53" customWidth="1"/>
    <col min="12272" max="12272" width="10.28515625" style="53" customWidth="1"/>
    <col min="12273" max="12273" width="11.28515625" style="53" customWidth="1"/>
    <col min="12274" max="12274" width="9.7109375" style="53" customWidth="1"/>
    <col min="12275" max="12516" width="9.140625" style="53" customWidth="1"/>
    <col min="12517" max="12517" width="30.140625" style="53" customWidth="1"/>
    <col min="12518" max="12518" width="52.140625" style="53" customWidth="1"/>
    <col min="12519" max="12519" width="47.7109375" style="53" customWidth="1"/>
    <col min="12520" max="12520" width="13.28515625" style="53" customWidth="1"/>
    <col min="12521" max="12521" width="9.85546875" style="53" customWidth="1"/>
    <col min="12522" max="12522" width="17.140625" style="53" customWidth="1"/>
    <col min="12523" max="12523" width="9.140625" style="53" customWidth="1"/>
    <col min="12524" max="12524" width="10.85546875" style="53" customWidth="1"/>
    <col min="12525" max="12525" width="11.28515625" style="53" customWidth="1"/>
    <col min="12526" max="12526" width="16.28515625" style="53" customWidth="1"/>
    <col min="12527" max="12527" width="8.28515625" style="53" customWidth="1"/>
    <col min="12528" max="12528" width="10.28515625" style="53" customWidth="1"/>
    <col min="12529" max="12529" width="11.28515625" style="53" customWidth="1"/>
    <col min="12530" max="12530" width="9.7109375" style="53" customWidth="1"/>
    <col min="12531" max="12772" width="9.140625" style="53" customWidth="1"/>
    <col min="12773" max="12773" width="30.140625" style="53" customWidth="1"/>
    <col min="12774" max="12774" width="52.140625" style="53" customWidth="1"/>
    <col min="12775" max="12775" width="47.7109375" style="53" customWidth="1"/>
    <col min="12776" max="12776" width="13.28515625" style="53" customWidth="1"/>
    <col min="12777" max="12777" width="9.85546875" style="53" customWidth="1"/>
    <col min="12778" max="12778" width="17.140625" style="53" customWidth="1"/>
    <col min="12779" max="12779" width="9.140625" style="53" customWidth="1"/>
    <col min="12780" max="12780" width="10.85546875" style="53" customWidth="1"/>
    <col min="12781" max="12781" width="11.28515625" style="53" customWidth="1"/>
    <col min="12782" max="12782" width="16.28515625" style="53" customWidth="1"/>
    <col min="12783" max="12783" width="8.28515625" style="53" customWidth="1"/>
    <col min="12784" max="12784" width="10.28515625" style="53" customWidth="1"/>
    <col min="12785" max="12785" width="11.28515625" style="53" customWidth="1"/>
    <col min="12786" max="12786" width="9.7109375" style="53" customWidth="1"/>
    <col min="12787" max="13028" width="9.140625" style="53" customWidth="1"/>
    <col min="13029" max="13029" width="30.140625" style="53" customWidth="1"/>
    <col min="13030" max="13030" width="52.140625" style="53" customWidth="1"/>
    <col min="13031" max="13031" width="47.7109375" style="53" customWidth="1"/>
    <col min="13032" max="13032" width="13.28515625" style="53" customWidth="1"/>
    <col min="13033" max="13033" width="9.85546875" style="53" customWidth="1"/>
    <col min="13034" max="13034" width="17.140625" style="53" customWidth="1"/>
    <col min="13035" max="13035" width="9.140625" style="53" customWidth="1"/>
    <col min="13036" max="13036" width="10.85546875" style="53" customWidth="1"/>
    <col min="13037" max="13037" width="11.28515625" style="53" customWidth="1"/>
    <col min="13038" max="13038" width="16.28515625" style="53" customWidth="1"/>
    <col min="13039" max="13039" width="8.28515625" style="53" customWidth="1"/>
    <col min="13040" max="13040" width="10.28515625" style="53" customWidth="1"/>
    <col min="13041" max="13041" width="11.28515625" style="53" customWidth="1"/>
    <col min="13042" max="13042" width="9.7109375" style="53" customWidth="1"/>
    <col min="13043" max="13284" width="9.140625" style="53" customWidth="1"/>
    <col min="13285" max="13285" width="30.140625" style="53" customWidth="1"/>
    <col min="13286" max="13286" width="52.140625" style="53" customWidth="1"/>
    <col min="13287" max="13287" width="47.7109375" style="53" customWidth="1"/>
    <col min="13288" max="13288" width="13.28515625" style="53" customWidth="1"/>
    <col min="13289" max="13289" width="9.85546875" style="53" customWidth="1"/>
    <col min="13290" max="13290" width="17.140625" style="53" customWidth="1"/>
    <col min="13291" max="13291" width="9.140625" style="53" customWidth="1"/>
    <col min="13292" max="13292" width="10.85546875" style="53" customWidth="1"/>
    <col min="13293" max="13293" width="11.28515625" style="53" customWidth="1"/>
    <col min="13294" max="13294" width="16.28515625" style="53" customWidth="1"/>
    <col min="13295" max="13295" width="8.28515625" style="53" customWidth="1"/>
    <col min="13296" max="13296" width="10.28515625" style="53" customWidth="1"/>
    <col min="13297" max="13297" width="11.28515625" style="53" customWidth="1"/>
    <col min="13298" max="13298" width="9.7109375" style="53" customWidth="1"/>
    <col min="13299" max="13540" width="9.140625" style="53" customWidth="1"/>
    <col min="13541" max="13541" width="30.140625" style="53" customWidth="1"/>
    <col min="13542" max="13542" width="52.140625" style="53" customWidth="1"/>
    <col min="13543" max="13543" width="47.7109375" style="53" customWidth="1"/>
    <col min="13544" max="13544" width="13.28515625" style="53" customWidth="1"/>
    <col min="13545" max="13545" width="9.85546875" style="53" customWidth="1"/>
    <col min="13546" max="13546" width="17.140625" style="53" customWidth="1"/>
    <col min="13547" max="13547" width="9.140625" style="53" customWidth="1"/>
    <col min="13548" max="13548" width="10.85546875" style="53" customWidth="1"/>
    <col min="13549" max="13549" width="11.28515625" style="53" customWidth="1"/>
    <col min="13550" max="13550" width="16.28515625" style="53" customWidth="1"/>
    <col min="13551" max="13551" width="8.28515625" style="53" customWidth="1"/>
    <col min="13552" max="13552" width="10.28515625" style="53" customWidth="1"/>
    <col min="13553" max="13553" width="11.28515625" style="53" customWidth="1"/>
    <col min="13554" max="13554" width="9.7109375" style="53" customWidth="1"/>
    <col min="13555" max="13796" width="9.140625" style="53" customWidth="1"/>
    <col min="13797" max="13797" width="30.140625" style="53" customWidth="1"/>
    <col min="13798" max="13798" width="52.140625" style="53" customWidth="1"/>
    <col min="13799" max="13799" width="47.7109375" style="53" customWidth="1"/>
    <col min="13800" max="13800" width="13.28515625" style="53" customWidth="1"/>
    <col min="13801" max="13801" width="9.85546875" style="53" customWidth="1"/>
    <col min="13802" max="13802" width="17.140625" style="53" customWidth="1"/>
    <col min="13803" max="13803" width="9.140625" style="53" customWidth="1"/>
    <col min="13804" max="13804" width="10.85546875" style="53" customWidth="1"/>
    <col min="13805" max="13805" width="11.28515625" style="53" customWidth="1"/>
    <col min="13806" max="13806" width="16.28515625" style="53" customWidth="1"/>
    <col min="13807" max="13807" width="8.28515625" style="53" customWidth="1"/>
    <col min="13808" max="13808" width="10.28515625" style="53" customWidth="1"/>
    <col min="13809" max="13809" width="11.28515625" style="53" customWidth="1"/>
    <col min="13810" max="13810" width="9.7109375" style="53" customWidth="1"/>
    <col min="13811" max="14052" width="9.140625" style="53" customWidth="1"/>
    <col min="14053" max="14053" width="30.140625" style="53" customWidth="1"/>
    <col min="14054" max="14054" width="52.140625" style="53" customWidth="1"/>
    <col min="14055" max="14055" width="47.7109375" style="53" customWidth="1"/>
    <col min="14056" max="14056" width="13.28515625" style="53" customWidth="1"/>
    <col min="14057" max="14057" width="9.85546875" style="53" customWidth="1"/>
    <col min="14058" max="14058" width="17.140625" style="53" customWidth="1"/>
    <col min="14059" max="14059" width="9.140625" style="53" customWidth="1"/>
    <col min="14060" max="14060" width="10.85546875" style="53" customWidth="1"/>
    <col min="14061" max="14061" width="11.28515625" style="53" customWidth="1"/>
    <col min="14062" max="14062" width="16.28515625" style="53" customWidth="1"/>
    <col min="14063" max="14063" width="8.28515625" style="53" customWidth="1"/>
    <col min="14064" max="14064" width="10.28515625" style="53" customWidth="1"/>
    <col min="14065" max="14065" width="11.28515625" style="53" customWidth="1"/>
    <col min="14066" max="14066" width="9.7109375" style="53" customWidth="1"/>
    <col min="14067" max="14308" width="9.140625" style="53" customWidth="1"/>
    <col min="14309" max="14309" width="30.140625" style="53" customWidth="1"/>
    <col min="14310" max="14310" width="52.140625" style="53" customWidth="1"/>
    <col min="14311" max="14311" width="47.7109375" style="53" customWidth="1"/>
    <col min="14312" max="14312" width="13.28515625" style="53" customWidth="1"/>
    <col min="14313" max="14313" width="9.85546875" style="53" customWidth="1"/>
    <col min="14314" max="14314" width="17.140625" style="53" customWidth="1"/>
    <col min="14315" max="14315" width="9.140625" style="53" customWidth="1"/>
    <col min="14316" max="14316" width="10.85546875" style="53" customWidth="1"/>
    <col min="14317" max="14317" width="11.28515625" style="53" customWidth="1"/>
    <col min="14318" max="14318" width="16.28515625" style="53" customWidth="1"/>
    <col min="14319" max="14319" width="8.28515625" style="53" customWidth="1"/>
    <col min="14320" max="14320" width="10.28515625" style="53" customWidth="1"/>
    <col min="14321" max="14321" width="11.28515625" style="53" customWidth="1"/>
    <col min="14322" max="14322" width="9.7109375" style="53" customWidth="1"/>
    <col min="14323" max="14564" width="9.140625" style="53" customWidth="1"/>
    <col min="14565" max="14565" width="30.140625" style="53" customWidth="1"/>
    <col min="14566" max="14566" width="52.140625" style="53" customWidth="1"/>
    <col min="14567" max="14567" width="47.7109375" style="53" customWidth="1"/>
    <col min="14568" max="14568" width="13.28515625" style="53" customWidth="1"/>
    <col min="14569" max="14569" width="9.85546875" style="53" customWidth="1"/>
    <col min="14570" max="14570" width="17.140625" style="53" customWidth="1"/>
    <col min="14571" max="14571" width="9.140625" style="53" customWidth="1"/>
    <col min="14572" max="14572" width="10.85546875" style="53" customWidth="1"/>
    <col min="14573" max="14573" width="11.28515625" style="53" customWidth="1"/>
    <col min="14574" max="14574" width="16.28515625" style="53" customWidth="1"/>
    <col min="14575" max="14575" width="8.28515625" style="53" customWidth="1"/>
    <col min="14576" max="14576" width="10.28515625" style="53" customWidth="1"/>
    <col min="14577" max="14577" width="11.28515625" style="53" customWidth="1"/>
    <col min="14578" max="14578" width="9.7109375" style="53" customWidth="1"/>
    <col min="14579" max="14820" width="9.140625" style="53" customWidth="1"/>
    <col min="14821" max="14821" width="30.140625" style="53" customWidth="1"/>
    <col min="14822" max="14822" width="52.140625" style="53" customWidth="1"/>
    <col min="14823" max="14823" width="47.7109375" style="53" customWidth="1"/>
    <col min="14824" max="14824" width="13.28515625" style="53" customWidth="1"/>
    <col min="14825" max="14825" width="9.85546875" style="53" customWidth="1"/>
    <col min="14826" max="14826" width="17.140625" style="53" customWidth="1"/>
    <col min="14827" max="14827" width="9.140625" style="53" customWidth="1"/>
    <col min="14828" max="14828" width="10.85546875" style="53" customWidth="1"/>
    <col min="14829" max="14829" width="11.28515625" style="53" customWidth="1"/>
    <col min="14830" max="14830" width="16.28515625" style="53" customWidth="1"/>
    <col min="14831" max="14831" width="8.28515625" style="53" customWidth="1"/>
    <col min="14832" max="14832" width="10.28515625" style="53" customWidth="1"/>
    <col min="14833" max="14833" width="11.28515625" style="53" customWidth="1"/>
    <col min="14834" max="14834" width="9.7109375" style="53" customWidth="1"/>
    <col min="14835" max="15076" width="9.140625" style="53" customWidth="1"/>
    <col min="15077" max="15077" width="30.140625" style="53" customWidth="1"/>
    <col min="15078" max="15078" width="52.140625" style="53" customWidth="1"/>
    <col min="15079" max="15079" width="47.7109375" style="53" customWidth="1"/>
    <col min="15080" max="15080" width="13.28515625" style="53" customWidth="1"/>
    <col min="15081" max="15081" width="9.85546875" style="53" customWidth="1"/>
    <col min="15082" max="15082" width="17.140625" style="53" customWidth="1"/>
    <col min="15083" max="15083" width="9.140625" style="53" customWidth="1"/>
    <col min="15084" max="15084" width="10.85546875" style="53" customWidth="1"/>
    <col min="15085" max="15085" width="11.28515625" style="53" customWidth="1"/>
    <col min="15086" max="15086" width="16.28515625" style="53" customWidth="1"/>
    <col min="15087" max="15087" width="8.28515625" style="53" customWidth="1"/>
    <col min="15088" max="15088" width="10.28515625" style="53" customWidth="1"/>
    <col min="15089" max="15089" width="11.28515625" style="53" customWidth="1"/>
    <col min="15090" max="15090" width="9.7109375" style="53" customWidth="1"/>
    <col min="15091" max="15332" width="9.140625" style="53" customWidth="1"/>
    <col min="15333" max="15333" width="30.140625" style="53" customWidth="1"/>
    <col min="15334" max="15334" width="52.140625" style="53" customWidth="1"/>
    <col min="15335" max="15335" width="47.7109375" style="53" customWidth="1"/>
    <col min="15336" max="15336" width="13.28515625" style="53" customWidth="1"/>
    <col min="15337" max="15337" width="9.85546875" style="53" customWidth="1"/>
    <col min="15338" max="15338" width="17.140625" style="53" customWidth="1"/>
    <col min="15339" max="15339" width="9.140625" style="53" customWidth="1"/>
    <col min="15340" max="15340" width="10.85546875" style="53" customWidth="1"/>
    <col min="15341" max="15341" width="11.28515625" style="53" customWidth="1"/>
    <col min="15342" max="15342" width="16.28515625" style="53" customWidth="1"/>
    <col min="15343" max="15343" width="8.28515625" style="53" customWidth="1"/>
    <col min="15344" max="15344" width="10.28515625" style="53" customWidth="1"/>
    <col min="15345" max="15345" width="11.28515625" style="53" customWidth="1"/>
    <col min="15346" max="15346" width="9.7109375" style="53" customWidth="1"/>
    <col min="15347" max="15588" width="9.140625" style="53" customWidth="1"/>
    <col min="15589" max="15589" width="30.140625" style="53" customWidth="1"/>
    <col min="15590" max="15590" width="52.140625" style="53" customWidth="1"/>
    <col min="15591" max="15591" width="47.7109375" style="53" customWidth="1"/>
    <col min="15592" max="15592" width="13.28515625" style="53" customWidth="1"/>
    <col min="15593" max="15593" width="9.85546875" style="53" customWidth="1"/>
    <col min="15594" max="15594" width="17.140625" style="53" customWidth="1"/>
    <col min="15595" max="15595" width="9.140625" style="53" customWidth="1"/>
    <col min="15596" max="15596" width="10.85546875" style="53" customWidth="1"/>
    <col min="15597" max="15597" width="11.28515625" style="53" customWidth="1"/>
    <col min="15598" max="15598" width="16.28515625" style="53" customWidth="1"/>
    <col min="15599" max="15599" width="8.28515625" style="53" customWidth="1"/>
    <col min="15600" max="15600" width="10.28515625" style="53" customWidth="1"/>
    <col min="15601" max="15601" width="11.28515625" style="53" customWidth="1"/>
    <col min="15602" max="15602" width="9.7109375" style="53" customWidth="1"/>
    <col min="15603" max="15844" width="9.140625" style="53" customWidth="1"/>
    <col min="15845" max="15845" width="30.140625" style="53" customWidth="1"/>
    <col min="15846" max="15846" width="52.140625" style="53" customWidth="1"/>
    <col min="15847" max="15847" width="47.7109375" style="53" customWidth="1"/>
    <col min="15848" max="15848" width="13.28515625" style="53" customWidth="1"/>
    <col min="15849" max="15849" width="9.85546875" style="53" customWidth="1"/>
    <col min="15850" max="15850" width="17.140625" style="53" customWidth="1"/>
    <col min="15851" max="15851" width="9.140625" style="53" customWidth="1"/>
    <col min="15852" max="15852" width="10.85546875" style="53" customWidth="1"/>
    <col min="15853" max="15853" width="11.28515625" style="53" customWidth="1"/>
    <col min="15854" max="15854" width="16.28515625" style="53" customWidth="1"/>
    <col min="15855" max="15855" width="8.28515625" style="53" customWidth="1"/>
    <col min="15856" max="15856" width="10.28515625" style="53" customWidth="1"/>
    <col min="15857" max="15857" width="11.28515625" style="53" customWidth="1"/>
    <col min="15858" max="15858" width="9.7109375" style="53" customWidth="1"/>
    <col min="15859" max="16100" width="9.140625" style="53" customWidth="1"/>
    <col min="16101" max="16101" width="30.140625" style="53" customWidth="1"/>
    <col min="16102" max="16102" width="52.140625" style="53" customWidth="1"/>
    <col min="16103" max="16103" width="47.7109375" style="53" customWidth="1"/>
    <col min="16104" max="16104" width="13.28515625" style="53" customWidth="1"/>
    <col min="16105" max="16105" width="9.85546875" style="53" customWidth="1"/>
    <col min="16106" max="16106" width="17.140625" style="53" customWidth="1"/>
    <col min="16107" max="16107" width="9.140625" style="53" customWidth="1"/>
    <col min="16108" max="16108" width="10.85546875" style="53" customWidth="1"/>
    <col min="16109" max="16109" width="11.28515625" style="53" customWidth="1"/>
    <col min="16110" max="16110" width="16.28515625" style="53" customWidth="1"/>
    <col min="16111" max="16111" width="8.28515625" style="53" customWidth="1"/>
    <col min="16112" max="16112" width="10.28515625" style="53" customWidth="1"/>
    <col min="16113" max="16113" width="11.28515625" style="53" customWidth="1"/>
    <col min="16114" max="16114" width="9.7109375" style="53" customWidth="1"/>
    <col min="16115" max="16384" width="9.140625" style="53" customWidth="1"/>
  </cols>
  <sheetData>
    <row r="1" spans="1:16" x14ac:dyDescent="0.25">
      <c r="A1" s="133" t="s">
        <v>87</v>
      </c>
      <c r="B1" s="164" t="s">
        <v>88</v>
      </c>
      <c r="C1" s="133" t="s">
        <v>89</v>
      </c>
      <c r="D1" s="133" t="s">
        <v>90</v>
      </c>
      <c r="E1" s="133" t="s">
        <v>91</v>
      </c>
      <c r="F1" s="133" t="s">
        <v>92</v>
      </c>
      <c r="G1" s="133" t="s">
        <v>93</v>
      </c>
      <c r="H1" s="133" t="s">
        <v>94</v>
      </c>
      <c r="I1" s="135" t="s">
        <v>95</v>
      </c>
      <c r="J1" s="135" t="s">
        <v>96</v>
      </c>
      <c r="K1" s="133" t="s">
        <v>97</v>
      </c>
      <c r="L1" s="135" t="s">
        <v>74</v>
      </c>
      <c r="M1" s="165" t="s">
        <v>48</v>
      </c>
      <c r="N1" s="165" t="s">
        <v>74</v>
      </c>
      <c r="O1" s="165" t="s">
        <v>48</v>
      </c>
      <c r="P1" s="165" t="s">
        <v>74</v>
      </c>
    </row>
    <row r="2" spans="1:16" x14ac:dyDescent="0.25">
      <c r="A2" s="286">
        <v>128</v>
      </c>
      <c r="B2" s="287" t="s">
        <v>827</v>
      </c>
      <c r="C2" s="288" t="s">
        <v>225</v>
      </c>
      <c r="D2" s="288" t="s">
        <v>111</v>
      </c>
      <c r="E2" s="288" t="s">
        <v>112</v>
      </c>
      <c r="F2" s="288" t="s">
        <v>113</v>
      </c>
      <c r="G2" s="288" t="s">
        <v>828</v>
      </c>
      <c r="H2" s="288" t="s">
        <v>114</v>
      </c>
      <c r="I2" s="289"/>
      <c r="J2" s="289">
        <v>220</v>
      </c>
      <c r="K2" s="288" t="s">
        <v>677</v>
      </c>
      <c r="L2" s="96">
        <f>I2+J2*EERR!$D$2</f>
        <v>170836.6</v>
      </c>
      <c r="M2" s="96">
        <f>L2/EERR!$D$2</f>
        <v>220.00000000000003</v>
      </c>
      <c r="N2" s="96">
        <f>SUMIF(Nov!$B$3:$B$116,A2,Nov!$V$3:$V$116)</f>
        <v>512509.8</v>
      </c>
      <c r="O2" s="166">
        <f>IF(H2="Venta U$",1,0)</f>
        <v>1</v>
      </c>
    </row>
    <row r="3" spans="1:16" x14ac:dyDescent="0.25">
      <c r="A3" s="286">
        <v>129</v>
      </c>
      <c r="B3" s="287" t="s">
        <v>827</v>
      </c>
      <c r="C3" s="288" t="s">
        <v>225</v>
      </c>
      <c r="D3" s="288" t="s">
        <v>111</v>
      </c>
      <c r="E3" s="288" t="s">
        <v>112</v>
      </c>
      <c r="F3" s="288" t="s">
        <v>117</v>
      </c>
      <c r="G3" s="288" t="s">
        <v>829</v>
      </c>
      <c r="H3" s="288" t="s">
        <v>114</v>
      </c>
      <c r="I3" s="289"/>
      <c r="J3" s="289">
        <v>220</v>
      </c>
      <c r="K3" s="288" t="s">
        <v>830</v>
      </c>
      <c r="L3" s="96">
        <f>I3+J3*EERR!$D$2</f>
        <v>170836.6</v>
      </c>
      <c r="M3" s="96">
        <f>L3/EERR!$D$2</f>
        <v>220.00000000000003</v>
      </c>
      <c r="N3" s="96">
        <f>SUMIF(Nov!$B$3:$B$116,A3,Nov!$V$3:$V$116)</f>
        <v>0</v>
      </c>
      <c r="O3" s="166">
        <f t="shared" ref="O3:O41" si="0">+A3-A2</f>
        <v>1</v>
      </c>
    </row>
    <row r="4" spans="1:16" x14ac:dyDescent="0.25">
      <c r="A4" s="286">
        <v>130</v>
      </c>
      <c r="B4" s="287" t="s">
        <v>831</v>
      </c>
      <c r="C4" s="288" t="s">
        <v>225</v>
      </c>
      <c r="D4" s="288" t="s">
        <v>111</v>
      </c>
      <c r="E4" s="288" t="s">
        <v>112</v>
      </c>
      <c r="F4" s="288" t="s">
        <v>116</v>
      </c>
      <c r="G4" s="288" t="s">
        <v>832</v>
      </c>
      <c r="H4" s="288" t="s">
        <v>114</v>
      </c>
      <c r="I4" s="289"/>
      <c r="J4" s="289">
        <v>220</v>
      </c>
      <c r="K4" s="288" t="s">
        <v>833</v>
      </c>
      <c r="L4" s="96">
        <f>I4+J4*EERR!$D$2</f>
        <v>170836.6</v>
      </c>
      <c r="M4" s="96">
        <f>L4/EERR!$D$2</f>
        <v>220.00000000000003</v>
      </c>
      <c r="N4" s="96">
        <f>SUMIF(Nov!$B$3:$B$116,A4,Nov!$V$3:$V$116)</f>
        <v>0</v>
      </c>
      <c r="O4" s="166">
        <f t="shared" si="0"/>
        <v>1</v>
      </c>
    </row>
    <row r="5" spans="1:16" x14ac:dyDescent="0.25">
      <c r="A5" s="286">
        <v>131</v>
      </c>
      <c r="B5" s="287" t="s">
        <v>834</v>
      </c>
      <c r="C5" s="288" t="s">
        <v>225</v>
      </c>
      <c r="D5" s="288" t="s">
        <v>111</v>
      </c>
      <c r="E5" s="288" t="s">
        <v>112</v>
      </c>
      <c r="F5" s="288" t="s">
        <v>116</v>
      </c>
      <c r="G5" s="288" t="s">
        <v>505</v>
      </c>
      <c r="H5" s="288" t="s">
        <v>114</v>
      </c>
      <c r="I5" s="289"/>
      <c r="J5" s="289">
        <v>198</v>
      </c>
      <c r="K5" s="288" t="s">
        <v>835</v>
      </c>
      <c r="L5" s="96">
        <f>I5+J5*EERR!$D$2</f>
        <v>153752.94</v>
      </c>
      <c r="M5" s="96">
        <f>L5/EERR!$D$2</f>
        <v>198</v>
      </c>
      <c r="N5" s="96">
        <f>SUMIF(Nov!$B$3:$B$116,A5,Nov!$V$3:$V$116)</f>
        <v>153752.94</v>
      </c>
      <c r="O5" s="166">
        <f t="shared" si="0"/>
        <v>1</v>
      </c>
    </row>
    <row r="6" spans="1:16" x14ac:dyDescent="0.25">
      <c r="A6" s="286">
        <v>132</v>
      </c>
      <c r="B6" s="287" t="s">
        <v>836</v>
      </c>
      <c r="C6" s="288" t="s">
        <v>225</v>
      </c>
      <c r="D6" s="288" t="s">
        <v>111</v>
      </c>
      <c r="E6" s="288" t="s">
        <v>112</v>
      </c>
      <c r="F6" s="288" t="s">
        <v>116</v>
      </c>
      <c r="G6" s="288" t="s">
        <v>837</v>
      </c>
      <c r="H6" s="288" t="s">
        <v>114</v>
      </c>
      <c r="I6" s="289"/>
      <c r="J6" s="289">
        <v>627</v>
      </c>
      <c r="K6" s="288" t="s">
        <v>838</v>
      </c>
      <c r="L6" s="96">
        <f>I6+J6*EERR!$D$2</f>
        <v>486884.31</v>
      </c>
      <c r="M6" s="96">
        <f>L6/EERR!$D$2</f>
        <v>627</v>
      </c>
      <c r="N6" s="96">
        <f>SUMIF(Nov!$B$3:$B$116,A6,Nov!$V$3:$V$116)</f>
        <v>0</v>
      </c>
      <c r="O6" s="166">
        <f t="shared" si="0"/>
        <v>1</v>
      </c>
    </row>
    <row r="7" spans="1:16" x14ac:dyDescent="0.25">
      <c r="A7" s="286">
        <v>133</v>
      </c>
      <c r="B7" s="287" t="s">
        <v>839</v>
      </c>
      <c r="C7" s="288" t="s">
        <v>225</v>
      </c>
      <c r="D7" s="288" t="s">
        <v>111</v>
      </c>
      <c r="E7" s="288" t="s">
        <v>112</v>
      </c>
      <c r="F7" s="288" t="s">
        <v>116</v>
      </c>
      <c r="G7" s="288" t="s">
        <v>404</v>
      </c>
      <c r="H7" s="288" t="s">
        <v>114</v>
      </c>
      <c r="I7" s="289"/>
      <c r="J7" s="289">
        <v>1100</v>
      </c>
      <c r="K7" s="288" t="s">
        <v>840</v>
      </c>
      <c r="L7" s="96">
        <f>I7+J7*EERR!$D$2</f>
        <v>854183</v>
      </c>
      <c r="M7" s="96">
        <f>L7/EERR!$D$2</f>
        <v>1100</v>
      </c>
      <c r="N7" s="96">
        <f>SUMIF(Nov!$B$3:$B$116,A7,Nov!$V$3:$V$116)</f>
        <v>0</v>
      </c>
      <c r="O7" s="166">
        <f t="shared" si="0"/>
        <v>1</v>
      </c>
    </row>
    <row r="8" spans="1:16" x14ac:dyDescent="0.25">
      <c r="A8" s="286">
        <v>134</v>
      </c>
      <c r="B8" s="287" t="s">
        <v>841</v>
      </c>
      <c r="C8" s="288" t="s">
        <v>225</v>
      </c>
      <c r="D8" s="288" t="s">
        <v>111</v>
      </c>
      <c r="E8" s="288" t="s">
        <v>112</v>
      </c>
      <c r="F8" s="288" t="s">
        <v>116</v>
      </c>
      <c r="G8" s="288" t="s">
        <v>404</v>
      </c>
      <c r="H8" s="288" t="s">
        <v>114</v>
      </c>
      <c r="I8" s="289"/>
      <c r="J8" s="289">
        <v>220</v>
      </c>
      <c r="K8" s="288" t="s">
        <v>842</v>
      </c>
      <c r="L8" s="96">
        <f>I8+J8*EERR!$D$2</f>
        <v>170836.6</v>
      </c>
      <c r="M8" s="96">
        <f>L8/EERR!$D$2</f>
        <v>220.00000000000003</v>
      </c>
      <c r="N8" s="96">
        <f>SUMIF(Nov!$B$3:$B$116,A8,Nov!$V$3:$V$116)</f>
        <v>341673.2</v>
      </c>
      <c r="O8" s="166">
        <f t="shared" si="0"/>
        <v>1</v>
      </c>
    </row>
    <row r="9" spans="1:16" x14ac:dyDescent="0.25">
      <c r="A9" s="286">
        <v>135</v>
      </c>
      <c r="B9" s="287" t="s">
        <v>843</v>
      </c>
      <c r="C9" s="288" t="s">
        <v>225</v>
      </c>
      <c r="D9" s="288" t="s">
        <v>111</v>
      </c>
      <c r="E9" s="288" t="s">
        <v>112</v>
      </c>
      <c r="F9" s="288" t="s">
        <v>117</v>
      </c>
      <c r="G9" s="288" t="s">
        <v>844</v>
      </c>
      <c r="H9" s="288" t="s">
        <v>114</v>
      </c>
      <c r="I9" s="289"/>
      <c r="J9" s="289">
        <v>198</v>
      </c>
      <c r="K9" s="288" t="s">
        <v>845</v>
      </c>
      <c r="L9" s="96">
        <f>I9+J9*EERR!$D$2</f>
        <v>153752.94</v>
      </c>
      <c r="M9" s="96">
        <f>L9/EERR!$D$2</f>
        <v>198</v>
      </c>
      <c r="N9" s="96">
        <f>SUMIF(Nov!$B$3:$B$116,A9,Nov!$V$3:$V$116)</f>
        <v>153752.94</v>
      </c>
      <c r="O9" s="166">
        <f t="shared" si="0"/>
        <v>1</v>
      </c>
    </row>
    <row r="10" spans="1:16" x14ac:dyDescent="0.25">
      <c r="A10" s="286">
        <v>136</v>
      </c>
      <c r="B10" s="287" t="s">
        <v>846</v>
      </c>
      <c r="C10" s="288" t="s">
        <v>224</v>
      </c>
      <c r="D10" s="288" t="s">
        <v>111</v>
      </c>
      <c r="E10" s="288" t="s">
        <v>115</v>
      </c>
      <c r="F10" s="288" t="s">
        <v>117</v>
      </c>
      <c r="G10" s="288" t="s">
        <v>847</v>
      </c>
      <c r="H10" s="288" t="s">
        <v>115</v>
      </c>
      <c r="I10" s="289">
        <v>4350</v>
      </c>
      <c r="J10" s="289"/>
      <c r="K10" s="288" t="s">
        <v>848</v>
      </c>
      <c r="L10" s="96">
        <f>I10+J10*EERR!$D$2</f>
        <v>4350</v>
      </c>
      <c r="M10" s="96">
        <f>L10/EERR!$D$2</f>
        <v>5.6018441013225502</v>
      </c>
      <c r="N10" s="96">
        <f>SUMIF(Nov!$B$3:$B$116,A10,Nov!$V$3:$V$116)</f>
        <v>0</v>
      </c>
      <c r="O10" s="166">
        <f t="shared" si="0"/>
        <v>1</v>
      </c>
    </row>
    <row r="11" spans="1:16" x14ac:dyDescent="0.25">
      <c r="A11" s="286">
        <v>137</v>
      </c>
      <c r="B11" s="287" t="s">
        <v>849</v>
      </c>
      <c r="C11" s="288" t="s">
        <v>224</v>
      </c>
      <c r="D11" s="288" t="s">
        <v>111</v>
      </c>
      <c r="E11" s="288" t="s">
        <v>115</v>
      </c>
      <c r="F11" s="288" t="s">
        <v>117</v>
      </c>
      <c r="G11" s="288" t="s">
        <v>850</v>
      </c>
      <c r="H11" s="288" t="s">
        <v>115</v>
      </c>
      <c r="I11" s="289">
        <v>6000</v>
      </c>
      <c r="J11" s="289"/>
      <c r="K11" s="288" t="s">
        <v>851</v>
      </c>
      <c r="L11" s="96">
        <f>I11+J11*EERR!$D$2</f>
        <v>6000</v>
      </c>
      <c r="M11" s="96">
        <f>L11/EERR!$D$2</f>
        <v>7.7266815190655871</v>
      </c>
      <c r="N11" s="96">
        <f>SUMIF(Nov!$B$3:$B$116,A11,Nov!$V$3:$V$116)</f>
        <v>0</v>
      </c>
      <c r="O11" s="166">
        <f t="shared" si="0"/>
        <v>1</v>
      </c>
    </row>
    <row r="12" spans="1:16" x14ac:dyDescent="0.25">
      <c r="A12" s="286">
        <v>138</v>
      </c>
      <c r="B12" s="287" t="s">
        <v>852</v>
      </c>
      <c r="C12" s="288" t="s">
        <v>225</v>
      </c>
      <c r="D12" s="288" t="s">
        <v>111</v>
      </c>
      <c r="E12" s="288" t="s">
        <v>112</v>
      </c>
      <c r="F12" s="288" t="s">
        <v>116</v>
      </c>
      <c r="G12" s="288" t="s">
        <v>853</v>
      </c>
      <c r="H12" s="288" t="s">
        <v>114</v>
      </c>
      <c r="I12" s="289"/>
      <c r="J12" s="289">
        <v>209</v>
      </c>
      <c r="K12" s="288" t="s">
        <v>854</v>
      </c>
      <c r="L12" s="96">
        <f>I12+J12*EERR!$D$2</f>
        <v>162294.76999999999</v>
      </c>
      <c r="M12" s="96">
        <f>L12/EERR!$D$2</f>
        <v>209</v>
      </c>
      <c r="N12" s="96">
        <f>SUMIF(Nov!$B$3:$B$116,A12,Nov!$V$3:$V$116)</f>
        <v>162294.76999999999</v>
      </c>
      <c r="O12" s="166">
        <f t="shared" si="0"/>
        <v>1</v>
      </c>
    </row>
    <row r="13" spans="1:16" x14ac:dyDescent="0.25">
      <c r="A13" s="286">
        <v>139</v>
      </c>
      <c r="B13" s="287" t="s">
        <v>855</v>
      </c>
      <c r="C13" s="288" t="s">
        <v>225</v>
      </c>
      <c r="D13" s="288" t="s">
        <v>111</v>
      </c>
      <c r="E13" s="288" t="s">
        <v>112</v>
      </c>
      <c r="F13" s="288" t="s">
        <v>113</v>
      </c>
      <c r="G13" s="288" t="s">
        <v>418</v>
      </c>
      <c r="H13" s="288" t="s">
        <v>114</v>
      </c>
      <c r="I13" s="289"/>
      <c r="J13" s="289">
        <v>361</v>
      </c>
      <c r="K13" s="288" t="s">
        <v>347</v>
      </c>
      <c r="L13" s="96">
        <f>I13+J13*EERR!$D$2</f>
        <v>280327.33</v>
      </c>
      <c r="M13" s="96">
        <f>L13/EERR!$D$2</f>
        <v>361.00000000000006</v>
      </c>
      <c r="N13" s="96">
        <f>SUMIF(Nov!$B$3:$B$116,A13,Nov!$V$3:$V$116)</f>
        <v>0</v>
      </c>
      <c r="O13" s="166">
        <f t="shared" si="0"/>
        <v>1</v>
      </c>
    </row>
    <row r="14" spans="1:16" x14ac:dyDescent="0.25">
      <c r="A14" s="286">
        <v>140</v>
      </c>
      <c r="B14" s="287" t="s">
        <v>856</v>
      </c>
      <c r="C14" s="288" t="s">
        <v>225</v>
      </c>
      <c r="D14" s="288" t="s">
        <v>111</v>
      </c>
      <c r="E14" s="288" t="s">
        <v>112</v>
      </c>
      <c r="F14" s="288" t="s">
        <v>117</v>
      </c>
      <c r="G14" s="288" t="s">
        <v>446</v>
      </c>
      <c r="H14" s="288" t="s">
        <v>114</v>
      </c>
      <c r="I14" s="289"/>
      <c r="J14" s="289">
        <v>220</v>
      </c>
      <c r="K14" s="288" t="s">
        <v>857</v>
      </c>
      <c r="L14" s="96">
        <f>I14+J14*EERR!$D$2</f>
        <v>170836.6</v>
      </c>
      <c r="M14" s="96">
        <f>L14/EERR!$D$2</f>
        <v>220.00000000000003</v>
      </c>
      <c r="N14" s="96">
        <f>SUMIF(Nov!$B$3:$B$116,A14,Nov!$V$3:$V$116)</f>
        <v>0</v>
      </c>
      <c r="O14" s="166">
        <f t="shared" si="0"/>
        <v>1</v>
      </c>
    </row>
    <row r="15" spans="1:16" x14ac:dyDescent="0.25">
      <c r="A15" s="286">
        <v>141</v>
      </c>
      <c r="B15" s="287" t="s">
        <v>858</v>
      </c>
      <c r="C15" s="288" t="s">
        <v>224</v>
      </c>
      <c r="D15" s="288" t="s">
        <v>111</v>
      </c>
      <c r="E15" s="288" t="s">
        <v>115</v>
      </c>
      <c r="F15" s="288" t="s">
        <v>117</v>
      </c>
      <c r="G15" s="288" t="s">
        <v>859</v>
      </c>
      <c r="H15" s="288" t="s">
        <v>115</v>
      </c>
      <c r="I15" s="289">
        <v>2000</v>
      </c>
      <c r="J15" s="289"/>
      <c r="K15" s="288" t="s">
        <v>860</v>
      </c>
      <c r="L15" s="96">
        <f>I15+J15*EERR!$D$2</f>
        <v>2000</v>
      </c>
      <c r="M15" s="96">
        <f>L15/EERR!$D$2</f>
        <v>2.5755605063551958</v>
      </c>
      <c r="N15" s="96">
        <f>SUMIF(Nov!$B$3:$B$116,A15,Nov!$V$3:$V$116)</f>
        <v>0</v>
      </c>
      <c r="O15" s="166">
        <f t="shared" si="0"/>
        <v>1</v>
      </c>
    </row>
    <row r="16" spans="1:16" x14ac:dyDescent="0.25">
      <c r="A16" s="286">
        <v>142</v>
      </c>
      <c r="B16" s="287" t="s">
        <v>861</v>
      </c>
      <c r="C16" s="288" t="s">
        <v>225</v>
      </c>
      <c r="D16" s="288" t="s">
        <v>111</v>
      </c>
      <c r="E16" s="288" t="s">
        <v>112</v>
      </c>
      <c r="F16" s="288" t="s">
        <v>113</v>
      </c>
      <c r="G16" s="288" t="s">
        <v>862</v>
      </c>
      <c r="H16" s="288" t="s">
        <v>114</v>
      </c>
      <c r="I16" s="289"/>
      <c r="J16" s="289">
        <v>220</v>
      </c>
      <c r="K16" s="288" t="s">
        <v>863</v>
      </c>
      <c r="L16" s="96">
        <f>I16+J16*EERR!$D$2</f>
        <v>170836.6</v>
      </c>
      <c r="M16" s="96">
        <f>L16/EERR!$D$2</f>
        <v>220.00000000000003</v>
      </c>
      <c r="N16" s="96">
        <f>SUMIF(Nov!$B$3:$B$116,A16,Nov!$V$3:$V$116)</f>
        <v>0</v>
      </c>
      <c r="O16" s="166">
        <f t="shared" si="0"/>
        <v>1</v>
      </c>
    </row>
    <row r="17" spans="1:15" x14ac:dyDescent="0.25">
      <c r="A17" s="286">
        <v>143</v>
      </c>
      <c r="B17" s="287" t="s">
        <v>864</v>
      </c>
      <c r="C17" s="288" t="s">
        <v>225</v>
      </c>
      <c r="D17" s="288" t="s">
        <v>111</v>
      </c>
      <c r="E17" s="288" t="s">
        <v>112</v>
      </c>
      <c r="F17" s="288" t="s">
        <v>116</v>
      </c>
      <c r="G17" s="288" t="s">
        <v>865</v>
      </c>
      <c r="H17" s="288" t="s">
        <v>114</v>
      </c>
      <c r="I17" s="289"/>
      <c r="J17" s="289">
        <v>410</v>
      </c>
      <c r="K17" s="288" t="s">
        <v>866</v>
      </c>
      <c r="L17" s="96">
        <f>I17+J17*EERR!$D$2</f>
        <v>318377.3</v>
      </c>
      <c r="M17" s="96">
        <f>L17/EERR!$D$2</f>
        <v>410</v>
      </c>
      <c r="N17" s="96">
        <f>SUMIF(Nov!$B$3:$B$116,A17,Nov!$V$3:$V$116)</f>
        <v>0</v>
      </c>
      <c r="O17" s="166">
        <f t="shared" si="0"/>
        <v>1</v>
      </c>
    </row>
    <row r="18" spans="1:15" x14ac:dyDescent="0.25">
      <c r="A18" s="286">
        <v>144</v>
      </c>
      <c r="B18" s="287" t="s">
        <v>867</v>
      </c>
      <c r="C18" s="288" t="s">
        <v>225</v>
      </c>
      <c r="D18" s="288" t="s">
        <v>111</v>
      </c>
      <c r="E18" s="288" t="s">
        <v>112</v>
      </c>
      <c r="F18" s="288" t="s">
        <v>116</v>
      </c>
      <c r="G18" s="288" t="s">
        <v>868</v>
      </c>
      <c r="H18" s="288" t="s">
        <v>114</v>
      </c>
      <c r="I18" s="289"/>
      <c r="J18" s="289">
        <v>205</v>
      </c>
      <c r="K18" s="288" t="s">
        <v>869</v>
      </c>
      <c r="L18" s="96">
        <f>I18+J18*EERR!$D$2</f>
        <v>159188.65</v>
      </c>
      <c r="M18" s="96">
        <f>L18/EERR!$D$2</f>
        <v>205</v>
      </c>
      <c r="N18" s="96">
        <f>SUMIF(Nov!$B$3:$B$116,A18,Nov!$V$3:$V$116)</f>
        <v>0</v>
      </c>
      <c r="O18" s="166">
        <f t="shared" si="0"/>
        <v>1</v>
      </c>
    </row>
    <row r="19" spans="1:15" x14ac:dyDescent="0.25">
      <c r="A19" s="286">
        <v>145</v>
      </c>
      <c r="B19" s="287" t="s">
        <v>870</v>
      </c>
      <c r="C19" s="288" t="s">
        <v>225</v>
      </c>
      <c r="D19" s="288" t="s">
        <v>111</v>
      </c>
      <c r="E19" s="288" t="s">
        <v>112</v>
      </c>
      <c r="F19" s="288" t="s">
        <v>116</v>
      </c>
      <c r="G19" s="288" t="s">
        <v>429</v>
      </c>
      <c r="H19" s="288" t="s">
        <v>114</v>
      </c>
      <c r="I19" s="289"/>
      <c r="J19" s="289">
        <v>615</v>
      </c>
      <c r="K19" s="288" t="s">
        <v>871</v>
      </c>
      <c r="L19" s="96">
        <f>I19+J19*EERR!$D$2</f>
        <v>477565.95</v>
      </c>
      <c r="M19" s="96">
        <f>L19/EERR!$D$2</f>
        <v>615</v>
      </c>
      <c r="N19" s="96">
        <f>SUMIF(Nov!$B$3:$B$116,A19,Nov!$V$3:$V$116)</f>
        <v>0</v>
      </c>
      <c r="O19" s="166">
        <f t="shared" si="0"/>
        <v>1</v>
      </c>
    </row>
    <row r="20" spans="1:15" x14ac:dyDescent="0.25">
      <c r="A20" s="286">
        <v>146</v>
      </c>
      <c r="B20" s="287" t="s">
        <v>872</v>
      </c>
      <c r="C20" s="288" t="s">
        <v>224</v>
      </c>
      <c r="D20" s="288" t="s">
        <v>111</v>
      </c>
      <c r="E20" s="288" t="s">
        <v>115</v>
      </c>
      <c r="F20" s="288" t="s">
        <v>116</v>
      </c>
      <c r="G20" s="288" t="s">
        <v>873</v>
      </c>
      <c r="H20" s="288" t="s">
        <v>115</v>
      </c>
      <c r="I20" s="289">
        <v>156287</v>
      </c>
      <c r="J20" s="289"/>
      <c r="K20" s="288" t="s">
        <v>874</v>
      </c>
      <c r="L20" s="96">
        <f>I20+J20*EERR!$D$2</f>
        <v>156287</v>
      </c>
      <c r="M20" s="96">
        <f>L20/EERR!$D$2</f>
        <v>201.26331242836724</v>
      </c>
      <c r="N20" s="96">
        <f>SUMIF(Nov!$B$3:$B$116,A20,Nov!$V$3:$V$116)</f>
        <v>0</v>
      </c>
      <c r="O20" s="166">
        <f t="shared" si="0"/>
        <v>1</v>
      </c>
    </row>
    <row r="21" spans="1:15" x14ac:dyDescent="0.25">
      <c r="A21" s="286">
        <v>147</v>
      </c>
      <c r="B21" s="287" t="s">
        <v>875</v>
      </c>
      <c r="C21" s="288" t="s">
        <v>224</v>
      </c>
      <c r="D21" s="288" t="s">
        <v>111</v>
      </c>
      <c r="E21" s="288" t="s">
        <v>115</v>
      </c>
      <c r="F21" s="288" t="s">
        <v>116</v>
      </c>
      <c r="G21" s="288" t="s">
        <v>876</v>
      </c>
      <c r="H21" s="288" t="s">
        <v>115</v>
      </c>
      <c r="I21" s="289">
        <v>156287</v>
      </c>
      <c r="J21" s="289"/>
      <c r="K21" s="288" t="s">
        <v>877</v>
      </c>
      <c r="L21" s="96">
        <f>I21+J21*EERR!$D$2</f>
        <v>156287</v>
      </c>
      <c r="M21" s="96">
        <f>L21/EERR!$D$2</f>
        <v>201.26331242836724</v>
      </c>
      <c r="N21" s="96">
        <f>SUMIF(Nov!$B$3:$B$116,A21,Nov!$V$3:$V$116)</f>
        <v>0</v>
      </c>
      <c r="O21" s="166">
        <f t="shared" si="0"/>
        <v>1</v>
      </c>
    </row>
    <row r="22" spans="1:15" x14ac:dyDescent="0.25">
      <c r="A22" s="286">
        <v>148</v>
      </c>
      <c r="B22" s="287" t="s">
        <v>878</v>
      </c>
      <c r="C22" s="288" t="s">
        <v>225</v>
      </c>
      <c r="D22" s="288" t="s">
        <v>111</v>
      </c>
      <c r="E22" s="288" t="s">
        <v>112</v>
      </c>
      <c r="F22" s="288" t="s">
        <v>116</v>
      </c>
      <c r="G22" s="288" t="s">
        <v>435</v>
      </c>
      <c r="H22" s="288" t="s">
        <v>114</v>
      </c>
      <c r="I22" s="289"/>
      <c r="J22" s="289">
        <v>220</v>
      </c>
      <c r="K22" s="288" t="s">
        <v>879</v>
      </c>
      <c r="L22" s="96">
        <f>I22+J22*EERR!$D$2</f>
        <v>170836.6</v>
      </c>
      <c r="M22" s="96">
        <f>L22/EERR!$D$2</f>
        <v>220.00000000000003</v>
      </c>
      <c r="N22" s="96">
        <f>SUMIF(Nov!$B$3:$B$116,A22,Nov!$V$3:$V$116)</f>
        <v>341673.2</v>
      </c>
      <c r="O22" s="166">
        <f t="shared" si="0"/>
        <v>1</v>
      </c>
    </row>
    <row r="23" spans="1:15" x14ac:dyDescent="0.25">
      <c r="A23" s="286">
        <v>149</v>
      </c>
      <c r="B23" s="287" t="s">
        <v>880</v>
      </c>
      <c r="C23" s="288" t="s">
        <v>225</v>
      </c>
      <c r="D23" s="288" t="s">
        <v>111</v>
      </c>
      <c r="E23" s="288" t="s">
        <v>112</v>
      </c>
      <c r="F23" s="288" t="s">
        <v>117</v>
      </c>
      <c r="G23" s="288" t="s">
        <v>438</v>
      </c>
      <c r="H23" s="288" t="s">
        <v>114</v>
      </c>
      <c r="I23" s="289"/>
      <c r="J23" s="289">
        <v>440</v>
      </c>
      <c r="K23" s="288" t="s">
        <v>881</v>
      </c>
      <c r="L23" s="96">
        <f>I23+J23*EERR!$D$2</f>
        <v>341673.2</v>
      </c>
      <c r="M23" s="96">
        <f>L23/EERR!$D$2</f>
        <v>440.00000000000006</v>
      </c>
      <c r="N23" s="96">
        <f>SUMIF(Nov!$B$3:$B$116,A23,Nov!$V$3:$V$116)</f>
        <v>0</v>
      </c>
      <c r="O23" s="166">
        <f t="shared" si="0"/>
        <v>1</v>
      </c>
    </row>
    <row r="24" spans="1:15" x14ac:dyDescent="0.25">
      <c r="A24" s="286">
        <v>150</v>
      </c>
      <c r="B24" s="287" t="s">
        <v>882</v>
      </c>
      <c r="C24" s="288" t="s">
        <v>224</v>
      </c>
      <c r="D24" s="288" t="s">
        <v>111</v>
      </c>
      <c r="E24" s="288" t="s">
        <v>115</v>
      </c>
      <c r="F24" s="288" t="s">
        <v>116</v>
      </c>
      <c r="G24" s="288" t="s">
        <v>837</v>
      </c>
      <c r="H24" s="288" t="s">
        <v>115</v>
      </c>
      <c r="I24" s="289">
        <v>2000</v>
      </c>
      <c r="J24" s="289"/>
      <c r="K24" s="288" t="s">
        <v>883</v>
      </c>
      <c r="L24" s="96">
        <f>I24+J24*EERR!$D$2</f>
        <v>2000</v>
      </c>
      <c r="M24" s="96">
        <f>L24/EERR!$D$2</f>
        <v>2.5755605063551958</v>
      </c>
      <c r="N24" s="96">
        <f>SUMIF(Nov!$B$3:$B$116,A24,Nov!$V$3:$V$116)</f>
        <v>0</v>
      </c>
      <c r="O24" s="166">
        <f t="shared" si="0"/>
        <v>1</v>
      </c>
    </row>
    <row r="25" spans="1:15" x14ac:dyDescent="0.25">
      <c r="A25" s="286">
        <v>151</v>
      </c>
      <c r="B25" s="287" t="s">
        <v>884</v>
      </c>
      <c r="C25" s="288" t="s">
        <v>225</v>
      </c>
      <c r="D25" s="288" t="s">
        <v>111</v>
      </c>
      <c r="E25" s="288" t="s">
        <v>112</v>
      </c>
      <c r="F25" s="288" t="s">
        <v>117</v>
      </c>
      <c r="G25" s="288" t="s">
        <v>885</v>
      </c>
      <c r="H25" s="288" t="s">
        <v>114</v>
      </c>
      <c r="I25" s="289"/>
      <c r="J25" s="289">
        <v>880</v>
      </c>
      <c r="K25" s="288" t="s">
        <v>886</v>
      </c>
      <c r="L25" s="96">
        <f>I25+J25*EERR!$D$2</f>
        <v>683346.4</v>
      </c>
      <c r="M25" s="96">
        <f>L25/EERR!$D$2</f>
        <v>880.00000000000011</v>
      </c>
      <c r="N25" s="96">
        <f>SUMIF(Nov!$B$3:$B$116,A25,Nov!$V$3:$V$116)</f>
        <v>0</v>
      </c>
      <c r="O25" s="166">
        <f t="shared" si="0"/>
        <v>1</v>
      </c>
    </row>
    <row r="26" spans="1:15" x14ac:dyDescent="0.25">
      <c r="A26" s="286">
        <v>152</v>
      </c>
      <c r="B26" s="287" t="s">
        <v>887</v>
      </c>
      <c r="C26" s="288" t="s">
        <v>224</v>
      </c>
      <c r="D26" s="288" t="s">
        <v>111</v>
      </c>
      <c r="E26" s="288" t="s">
        <v>115</v>
      </c>
      <c r="F26" s="288" t="s">
        <v>117</v>
      </c>
      <c r="G26" s="288" t="s">
        <v>888</v>
      </c>
      <c r="H26" s="288" t="s">
        <v>115</v>
      </c>
      <c r="I26" s="289">
        <v>190067</v>
      </c>
      <c r="J26" s="289"/>
      <c r="K26" s="288" t="s">
        <v>889</v>
      </c>
      <c r="L26" s="96">
        <f>I26+J26*EERR!$D$2</f>
        <v>190067</v>
      </c>
      <c r="M26" s="96">
        <f>L26/EERR!$D$2</f>
        <v>244.76452938070648</v>
      </c>
      <c r="N26" s="96">
        <f>SUMIF(Nov!$B$3:$B$116,A26,Nov!$V$3:$V$116)</f>
        <v>0</v>
      </c>
      <c r="O26" s="166">
        <f t="shared" si="0"/>
        <v>1</v>
      </c>
    </row>
    <row r="27" spans="1:15" x14ac:dyDescent="0.25">
      <c r="A27" s="286">
        <v>153</v>
      </c>
      <c r="B27" s="287" t="s">
        <v>890</v>
      </c>
      <c r="C27" s="288" t="s">
        <v>224</v>
      </c>
      <c r="D27" s="288" t="s">
        <v>111</v>
      </c>
      <c r="E27" s="288" t="s">
        <v>115</v>
      </c>
      <c r="F27" s="288" t="s">
        <v>116</v>
      </c>
      <c r="G27" s="288" t="s">
        <v>891</v>
      </c>
      <c r="H27" s="288" t="s">
        <v>115</v>
      </c>
      <c r="I27" s="289">
        <v>175312</v>
      </c>
      <c r="J27" s="289"/>
      <c r="K27" s="288" t="s">
        <v>892</v>
      </c>
      <c r="L27" s="96">
        <f>I27+J27*EERR!$D$2</f>
        <v>175312</v>
      </c>
      <c r="M27" s="96">
        <f>L27/EERR!$D$2</f>
        <v>225.76333174507104</v>
      </c>
      <c r="N27" s="96">
        <f>SUMIF(Nov!$B$3:$B$116,A27,Nov!$V$3:$V$116)</f>
        <v>0</v>
      </c>
      <c r="O27" s="166">
        <f t="shared" si="0"/>
        <v>1</v>
      </c>
    </row>
    <row r="28" spans="1:15" x14ac:dyDescent="0.25">
      <c r="A28" s="327">
        <v>153</v>
      </c>
      <c r="B28" s="328" t="s">
        <v>890</v>
      </c>
      <c r="C28" s="329" t="s">
        <v>224</v>
      </c>
      <c r="D28" s="329" t="s">
        <v>111</v>
      </c>
      <c r="E28" s="329" t="s">
        <v>340</v>
      </c>
      <c r="F28" s="329" t="s">
        <v>116</v>
      </c>
      <c r="G28" s="329" t="s">
        <v>891</v>
      </c>
      <c r="H28" s="329" t="s">
        <v>115</v>
      </c>
      <c r="I28" s="330">
        <v>-175312</v>
      </c>
      <c r="J28" s="330"/>
      <c r="K28" s="329" t="s">
        <v>892</v>
      </c>
      <c r="L28" s="96">
        <f>I28+J28*EERR!$D$2</f>
        <v>-175312</v>
      </c>
      <c r="M28" s="96">
        <f>L28/EERR!$D$2</f>
        <v>-225.76333174507104</v>
      </c>
      <c r="N28" s="96">
        <f>SUMIF(Nov!$B$3:$B$116,A28,Nov!$V$3:$V$116)</f>
        <v>0</v>
      </c>
      <c r="O28" s="166">
        <f t="shared" si="0"/>
        <v>0</v>
      </c>
    </row>
    <row r="29" spans="1:15" x14ac:dyDescent="0.25">
      <c r="A29" s="286">
        <v>154</v>
      </c>
      <c r="B29" s="287" t="s">
        <v>893</v>
      </c>
      <c r="C29" s="288" t="s">
        <v>224</v>
      </c>
      <c r="D29" s="288" t="s">
        <v>111</v>
      </c>
      <c r="E29" s="288" t="s">
        <v>115</v>
      </c>
      <c r="F29" s="288" t="s">
        <v>116</v>
      </c>
      <c r="G29" s="288" t="s">
        <v>891</v>
      </c>
      <c r="H29" s="288" t="s">
        <v>115</v>
      </c>
      <c r="I29" s="289">
        <v>175301</v>
      </c>
      <c r="J29" s="289"/>
      <c r="K29" s="288" t="s">
        <v>894</v>
      </c>
      <c r="L29" s="96">
        <f>I29+J29*EERR!$D$2</f>
        <v>175301</v>
      </c>
      <c r="M29" s="96">
        <f>L29/EERR!$D$2</f>
        <v>225.74916616228609</v>
      </c>
      <c r="N29" s="96">
        <f>SUMIF(Nov!$B$3:$B$116,A29,Nov!$V$3:$V$116)</f>
        <v>0</v>
      </c>
      <c r="O29" s="166">
        <f t="shared" si="0"/>
        <v>1</v>
      </c>
    </row>
    <row r="30" spans="1:15" x14ac:dyDescent="0.25">
      <c r="A30" s="286">
        <v>155</v>
      </c>
      <c r="B30" s="287" t="s">
        <v>895</v>
      </c>
      <c r="C30" s="288" t="s">
        <v>224</v>
      </c>
      <c r="D30" s="288" t="s">
        <v>111</v>
      </c>
      <c r="E30" s="288" t="s">
        <v>115</v>
      </c>
      <c r="F30" s="288" t="s">
        <v>116</v>
      </c>
      <c r="G30" s="288" t="s">
        <v>896</v>
      </c>
      <c r="H30" s="288" t="s">
        <v>115</v>
      </c>
      <c r="I30" s="289">
        <v>175301</v>
      </c>
      <c r="J30" s="289"/>
      <c r="K30" s="288" t="s">
        <v>897</v>
      </c>
      <c r="L30" s="96">
        <f>I30+J30*EERR!$D$2</f>
        <v>175301</v>
      </c>
      <c r="M30" s="96">
        <f>L30/EERR!$D$2</f>
        <v>225.74916616228609</v>
      </c>
      <c r="N30" s="96">
        <f>SUMIF(Nov!$B$3:$B$116,A30,Nov!$V$3:$V$116)</f>
        <v>0</v>
      </c>
      <c r="O30" s="166">
        <f t="shared" si="0"/>
        <v>1</v>
      </c>
    </row>
    <row r="31" spans="1:15" x14ac:dyDescent="0.25">
      <c r="A31" s="286">
        <v>156</v>
      </c>
      <c r="B31" s="287" t="s">
        <v>898</v>
      </c>
      <c r="C31" s="288" t="s">
        <v>225</v>
      </c>
      <c r="D31" s="288" t="s">
        <v>111</v>
      </c>
      <c r="E31" s="288" t="s">
        <v>112</v>
      </c>
      <c r="F31" s="288" t="s">
        <v>113</v>
      </c>
      <c r="G31" s="288" t="s">
        <v>899</v>
      </c>
      <c r="H31" s="288" t="s">
        <v>114</v>
      </c>
      <c r="I31" s="289"/>
      <c r="J31" s="289">
        <v>209</v>
      </c>
      <c r="K31" s="288" t="s">
        <v>900</v>
      </c>
      <c r="L31" s="96">
        <f>I31+J31*EERR!$D$2</f>
        <v>162294.76999999999</v>
      </c>
      <c r="M31" s="96">
        <f>L31/EERR!$D$2</f>
        <v>209</v>
      </c>
      <c r="N31" s="96">
        <f>SUMIF(Nov!$B$3:$B$116,A31,Nov!$V$3:$V$116)</f>
        <v>0</v>
      </c>
      <c r="O31" s="166">
        <f t="shared" si="0"/>
        <v>1</v>
      </c>
    </row>
    <row r="32" spans="1:15" x14ac:dyDescent="0.25">
      <c r="A32" s="286">
        <v>157</v>
      </c>
      <c r="B32" s="287" t="s">
        <v>901</v>
      </c>
      <c r="C32" s="288" t="s">
        <v>224</v>
      </c>
      <c r="D32" s="288" t="s">
        <v>111</v>
      </c>
      <c r="E32" s="288" t="s">
        <v>115</v>
      </c>
      <c r="F32" s="288" t="s">
        <v>116</v>
      </c>
      <c r="G32" s="288" t="s">
        <v>502</v>
      </c>
      <c r="H32" s="288" t="s">
        <v>115</v>
      </c>
      <c r="I32" s="289">
        <v>31099</v>
      </c>
      <c r="J32" s="289"/>
      <c r="K32" s="288" t="s">
        <v>902</v>
      </c>
      <c r="L32" s="96">
        <f>I32+J32*EERR!$D$2</f>
        <v>31099</v>
      </c>
      <c r="M32" s="96">
        <f>L32/EERR!$D$2</f>
        <v>40.048678093570118</v>
      </c>
      <c r="N32" s="96">
        <f>SUMIF(Nov!$B$3:$B$116,A32,Nov!$V$3:$V$116)</f>
        <v>0</v>
      </c>
      <c r="O32" s="166">
        <f t="shared" si="0"/>
        <v>1</v>
      </c>
    </row>
    <row r="33" spans="1:15" x14ac:dyDescent="0.25">
      <c r="A33" s="286">
        <v>158</v>
      </c>
      <c r="B33" s="287" t="s">
        <v>903</v>
      </c>
      <c r="C33" s="288" t="s">
        <v>225</v>
      </c>
      <c r="D33" s="288" t="s">
        <v>111</v>
      </c>
      <c r="E33" s="288" t="s">
        <v>112</v>
      </c>
      <c r="F33" s="288" t="s">
        <v>117</v>
      </c>
      <c r="G33" s="288" t="s">
        <v>454</v>
      </c>
      <c r="H33" s="288" t="s">
        <v>114</v>
      </c>
      <c r="I33" s="289"/>
      <c r="J33" s="289">
        <v>220</v>
      </c>
      <c r="K33" s="288" t="s">
        <v>904</v>
      </c>
      <c r="L33" s="96">
        <f>I33+J33*EERR!$D$2</f>
        <v>170836.6</v>
      </c>
      <c r="M33" s="96">
        <f>L33/EERR!$D$2</f>
        <v>220.00000000000003</v>
      </c>
      <c r="N33" s="96">
        <f>SUMIF(Nov!$B$3:$B$116,A33,Nov!$V$3:$V$116)</f>
        <v>341673.2</v>
      </c>
      <c r="O33" s="166">
        <f t="shared" si="0"/>
        <v>1</v>
      </c>
    </row>
    <row r="34" spans="1:15" x14ac:dyDescent="0.25">
      <c r="A34" s="286">
        <v>159</v>
      </c>
      <c r="B34" s="287" t="s">
        <v>905</v>
      </c>
      <c r="C34" s="288" t="s">
        <v>224</v>
      </c>
      <c r="D34" s="288" t="s">
        <v>111</v>
      </c>
      <c r="E34" s="288" t="s">
        <v>115</v>
      </c>
      <c r="F34" s="288" t="s">
        <v>113</v>
      </c>
      <c r="G34" s="288" t="s">
        <v>906</v>
      </c>
      <c r="H34" s="288" t="s">
        <v>115</v>
      </c>
      <c r="I34" s="289">
        <v>175301</v>
      </c>
      <c r="J34" s="289"/>
      <c r="K34" s="288" t="s">
        <v>907</v>
      </c>
      <c r="L34" s="96">
        <f>I34+J34*EERR!$D$2</f>
        <v>175301</v>
      </c>
      <c r="M34" s="96">
        <f>L34/EERR!$D$2</f>
        <v>225.74916616228609</v>
      </c>
      <c r="N34" s="96">
        <f>SUMIF(Nov!$B$3:$B$116,A34,Nov!$V$3:$V$116)</f>
        <v>0</v>
      </c>
      <c r="O34" s="166">
        <f t="shared" si="0"/>
        <v>1</v>
      </c>
    </row>
    <row r="35" spans="1:15" x14ac:dyDescent="0.25">
      <c r="A35" s="286">
        <v>160</v>
      </c>
      <c r="B35" s="287" t="s">
        <v>908</v>
      </c>
      <c r="C35" s="288" t="s">
        <v>225</v>
      </c>
      <c r="D35" s="288" t="s">
        <v>111</v>
      </c>
      <c r="E35" s="288" t="s">
        <v>112</v>
      </c>
      <c r="F35" s="288" t="s">
        <v>117</v>
      </c>
      <c r="G35" s="288" t="s">
        <v>909</v>
      </c>
      <c r="H35" s="288" t="s">
        <v>114</v>
      </c>
      <c r="I35" s="289"/>
      <c r="J35" s="289">
        <v>220</v>
      </c>
      <c r="K35" s="288" t="s">
        <v>910</v>
      </c>
      <c r="L35" s="96">
        <f>I35+J35*EERR!$D$2</f>
        <v>170836.6</v>
      </c>
      <c r="M35" s="96">
        <f>L35/EERR!$D$2</f>
        <v>220.00000000000003</v>
      </c>
      <c r="N35" s="96">
        <f>SUMIF(Nov!$B$3:$B$116,A35,Nov!$V$3:$V$116)</f>
        <v>0</v>
      </c>
      <c r="O35" s="166">
        <f t="shared" si="0"/>
        <v>1</v>
      </c>
    </row>
    <row r="36" spans="1:15" x14ac:dyDescent="0.25">
      <c r="A36" s="286">
        <v>161</v>
      </c>
      <c r="B36" s="287" t="s">
        <v>911</v>
      </c>
      <c r="C36" s="288" t="s">
        <v>225</v>
      </c>
      <c r="D36" s="288" t="s">
        <v>111</v>
      </c>
      <c r="E36" s="288" t="s">
        <v>112</v>
      </c>
      <c r="F36" s="288" t="s">
        <v>116</v>
      </c>
      <c r="G36" s="288" t="s">
        <v>473</v>
      </c>
      <c r="H36" s="288" t="s">
        <v>114</v>
      </c>
      <c r="I36" s="289"/>
      <c r="J36" s="289">
        <v>1120</v>
      </c>
      <c r="K36" s="288" t="s">
        <v>912</v>
      </c>
      <c r="L36" s="96">
        <f>I36+J36*EERR!$D$2</f>
        <v>869713.6</v>
      </c>
      <c r="M36" s="96">
        <f>L36/EERR!$D$2</f>
        <v>1120</v>
      </c>
      <c r="N36" s="96">
        <f>SUMIF(Nov!$B$3:$B$116,A36,Nov!$V$3:$V$116)</f>
        <v>0</v>
      </c>
      <c r="O36" s="166">
        <f t="shared" si="0"/>
        <v>1</v>
      </c>
    </row>
    <row r="37" spans="1:15" x14ac:dyDescent="0.25">
      <c r="A37" s="286">
        <v>162</v>
      </c>
      <c r="B37" s="287" t="s">
        <v>913</v>
      </c>
      <c r="C37" s="288" t="s">
        <v>225</v>
      </c>
      <c r="D37" s="288" t="s">
        <v>111</v>
      </c>
      <c r="E37" s="288" t="s">
        <v>112</v>
      </c>
      <c r="F37" s="288" t="s">
        <v>116</v>
      </c>
      <c r="G37" s="288" t="s">
        <v>914</v>
      </c>
      <c r="H37" s="288" t="s">
        <v>114</v>
      </c>
      <c r="I37" s="289"/>
      <c r="J37" s="289">
        <v>440</v>
      </c>
      <c r="K37" s="288" t="s">
        <v>915</v>
      </c>
      <c r="L37" s="96">
        <f>I37+J37*EERR!$D$2</f>
        <v>341673.2</v>
      </c>
      <c r="M37" s="96">
        <f>L37/EERR!$D$2</f>
        <v>440.00000000000006</v>
      </c>
      <c r="N37" s="96">
        <f>SUMIF(Nov!$B$3:$B$116,A37,Nov!$V$3:$V$116)</f>
        <v>512509.8</v>
      </c>
      <c r="O37" s="166">
        <f t="shared" si="0"/>
        <v>1</v>
      </c>
    </row>
    <row r="38" spans="1:15" x14ac:dyDescent="0.25">
      <c r="A38" s="286">
        <v>163</v>
      </c>
      <c r="B38" s="287" t="s">
        <v>916</v>
      </c>
      <c r="C38" s="288" t="s">
        <v>225</v>
      </c>
      <c r="D38" s="288" t="s">
        <v>111</v>
      </c>
      <c r="E38" s="288" t="s">
        <v>112</v>
      </c>
      <c r="F38" s="288" t="s">
        <v>117</v>
      </c>
      <c r="G38" s="288" t="s">
        <v>917</v>
      </c>
      <c r="H38" s="288" t="s">
        <v>114</v>
      </c>
      <c r="I38" s="289"/>
      <c r="J38" s="289">
        <v>220</v>
      </c>
      <c r="K38" s="288" t="s">
        <v>918</v>
      </c>
      <c r="L38" s="96">
        <f>I38+J38*EERR!$D$2</f>
        <v>170836.6</v>
      </c>
      <c r="M38" s="96">
        <f>L38/EERR!$D$2</f>
        <v>220.00000000000003</v>
      </c>
      <c r="N38" s="96">
        <f>SUMIF(Nov!$B$3:$B$116,A38,Nov!$V$3:$V$116)</f>
        <v>0</v>
      </c>
      <c r="O38" s="166">
        <f t="shared" si="0"/>
        <v>1</v>
      </c>
    </row>
    <row r="39" spans="1:15" x14ac:dyDescent="0.25">
      <c r="A39" s="286">
        <v>164</v>
      </c>
      <c r="B39" s="287" t="s">
        <v>919</v>
      </c>
      <c r="C39" s="288" t="s">
        <v>225</v>
      </c>
      <c r="D39" s="288" t="s">
        <v>111</v>
      </c>
      <c r="E39" s="288" t="s">
        <v>112</v>
      </c>
      <c r="F39" s="288" t="s">
        <v>117</v>
      </c>
      <c r="G39" s="288" t="s">
        <v>490</v>
      </c>
      <c r="H39" s="288" t="s">
        <v>114</v>
      </c>
      <c r="I39" s="289"/>
      <c r="J39" s="289">
        <v>440</v>
      </c>
      <c r="K39" s="288" t="s">
        <v>920</v>
      </c>
      <c r="L39" s="96">
        <f>I39+J39*EERR!$D$2</f>
        <v>341673.2</v>
      </c>
      <c r="M39" s="96">
        <f>L39/EERR!$D$2</f>
        <v>440.00000000000006</v>
      </c>
      <c r="N39" s="96">
        <f>SUMIF(Nov!$B$3:$B$116,A39,Nov!$V$3:$V$116)</f>
        <v>0</v>
      </c>
      <c r="O39" s="166">
        <f t="shared" si="0"/>
        <v>1</v>
      </c>
    </row>
    <row r="40" spans="1:15" x14ac:dyDescent="0.25">
      <c r="A40" s="286">
        <v>165</v>
      </c>
      <c r="B40" s="287" t="s">
        <v>921</v>
      </c>
      <c r="C40" s="288" t="s">
        <v>225</v>
      </c>
      <c r="D40" s="288" t="s">
        <v>111</v>
      </c>
      <c r="E40" s="288" t="s">
        <v>112</v>
      </c>
      <c r="F40" s="288" t="s">
        <v>117</v>
      </c>
      <c r="G40" s="288" t="s">
        <v>922</v>
      </c>
      <c r="H40" s="288" t="s">
        <v>114</v>
      </c>
      <c r="I40" s="289"/>
      <c r="J40" s="289">
        <v>220</v>
      </c>
      <c r="K40" s="288" t="s">
        <v>923</v>
      </c>
      <c r="L40" s="96">
        <f>I40+J40*EERR!$D$2</f>
        <v>170836.6</v>
      </c>
      <c r="M40" s="96">
        <f>L40/EERR!$D$2</f>
        <v>220.00000000000003</v>
      </c>
      <c r="N40" s="96">
        <f>SUMIF(Nov!$B$3:$B$116,A40,Nov!$V$3:$V$116)</f>
        <v>341673.2</v>
      </c>
      <c r="O40" s="166">
        <f t="shared" si="0"/>
        <v>1</v>
      </c>
    </row>
    <row r="41" spans="1:15" x14ac:dyDescent="0.25">
      <c r="A41" s="286">
        <v>166</v>
      </c>
      <c r="B41" s="287" t="s">
        <v>924</v>
      </c>
      <c r="C41" s="288" t="s">
        <v>225</v>
      </c>
      <c r="D41" s="288" t="s">
        <v>111</v>
      </c>
      <c r="E41" s="288" t="s">
        <v>112</v>
      </c>
      <c r="F41" s="288" t="s">
        <v>116</v>
      </c>
      <c r="G41" s="288" t="s">
        <v>925</v>
      </c>
      <c r="H41" s="288" t="s">
        <v>114</v>
      </c>
      <c r="I41" s="289"/>
      <c r="J41" s="289">
        <v>198</v>
      </c>
      <c r="K41" s="288" t="s">
        <v>926</v>
      </c>
      <c r="L41" s="96">
        <f>I41+J41*EERR!$D$2</f>
        <v>153752.94</v>
      </c>
      <c r="M41" s="96">
        <f>L41/EERR!$D$2</f>
        <v>198</v>
      </c>
      <c r="N41" s="96">
        <f>SUMIF(Nov!$B$3:$B$116,A41,Nov!$V$3:$V$116)</f>
        <v>0</v>
      </c>
      <c r="O41" s="166">
        <f t="shared" si="0"/>
        <v>1</v>
      </c>
    </row>
    <row r="42" spans="1:15" x14ac:dyDescent="0.25">
      <c r="A42" s="286">
        <v>167</v>
      </c>
      <c r="B42" s="287" t="s">
        <v>927</v>
      </c>
      <c r="C42" s="288" t="s">
        <v>225</v>
      </c>
      <c r="D42" s="288" t="s">
        <v>111</v>
      </c>
      <c r="E42" s="288" t="s">
        <v>112</v>
      </c>
      <c r="F42" s="288" t="s">
        <v>116</v>
      </c>
      <c r="G42" s="288" t="s">
        <v>928</v>
      </c>
      <c r="H42" s="288" t="s">
        <v>114</v>
      </c>
      <c r="I42" s="289"/>
      <c r="J42" s="289">
        <v>198</v>
      </c>
      <c r="K42" s="288" t="s">
        <v>929</v>
      </c>
      <c r="L42" s="96">
        <f>I42+J42*EERR!$D$2</f>
        <v>153752.94</v>
      </c>
      <c r="M42" s="96">
        <f>L42/EERR!$D$2</f>
        <v>198</v>
      </c>
      <c r="N42" s="96">
        <f>SUMIF(Nov!$B$3:$B$116,A42,Nov!$V$3:$V$116)</f>
        <v>0</v>
      </c>
      <c r="O42" s="166">
        <f t="shared" ref="O42:O61" si="1">+A42-A41</f>
        <v>1</v>
      </c>
    </row>
    <row r="43" spans="1:15" x14ac:dyDescent="0.25">
      <c r="A43" s="286">
        <v>168</v>
      </c>
      <c r="B43" s="287" t="s">
        <v>930</v>
      </c>
      <c r="C43" s="288" t="s">
        <v>225</v>
      </c>
      <c r="D43" s="288" t="s">
        <v>111</v>
      </c>
      <c r="E43" s="288" t="s">
        <v>112</v>
      </c>
      <c r="F43" s="288" t="s">
        <v>117</v>
      </c>
      <c r="G43" s="288" t="s">
        <v>931</v>
      </c>
      <c r="H43" s="288" t="s">
        <v>114</v>
      </c>
      <c r="I43" s="289"/>
      <c r="J43" s="289">
        <v>680</v>
      </c>
      <c r="K43" s="288" t="s">
        <v>932</v>
      </c>
      <c r="L43" s="96">
        <f>I43+J43*EERR!$D$2</f>
        <v>528040.4</v>
      </c>
      <c r="M43" s="96">
        <f>L43/EERR!$D$2</f>
        <v>680</v>
      </c>
      <c r="N43" s="96">
        <f>SUMIF(Nov!$B$3:$B$116,A43,Nov!$V$3:$V$116)</f>
        <v>0</v>
      </c>
      <c r="O43" s="166">
        <f t="shared" si="1"/>
        <v>1</v>
      </c>
    </row>
    <row r="44" spans="1:15" x14ac:dyDescent="0.25">
      <c r="A44" s="286">
        <v>169</v>
      </c>
      <c r="B44" s="287" t="s">
        <v>933</v>
      </c>
      <c r="C44" s="288" t="s">
        <v>225</v>
      </c>
      <c r="D44" s="288" t="s">
        <v>111</v>
      </c>
      <c r="E44" s="288" t="s">
        <v>112</v>
      </c>
      <c r="F44" s="288" t="s">
        <v>116</v>
      </c>
      <c r="G44" s="288" t="s">
        <v>936</v>
      </c>
      <c r="H44" s="288" t="s">
        <v>114</v>
      </c>
      <c r="I44" s="289"/>
      <c r="J44" s="289">
        <v>209</v>
      </c>
      <c r="K44" s="288" t="s">
        <v>937</v>
      </c>
      <c r="L44" s="96"/>
      <c r="M44" s="96"/>
      <c r="N44" s="96"/>
      <c r="O44" s="166">
        <f t="shared" si="1"/>
        <v>1</v>
      </c>
    </row>
    <row r="45" spans="1:15" x14ac:dyDescent="0.25">
      <c r="A45" s="286">
        <v>170</v>
      </c>
      <c r="B45" s="287" t="s">
        <v>933</v>
      </c>
      <c r="C45" s="288" t="s">
        <v>224</v>
      </c>
      <c r="D45" s="288" t="s">
        <v>111</v>
      </c>
      <c r="E45" s="288" t="s">
        <v>115</v>
      </c>
      <c r="F45" s="288" t="s">
        <v>116</v>
      </c>
      <c r="G45" s="288" t="s">
        <v>934</v>
      </c>
      <c r="H45" s="288" t="s">
        <v>115</v>
      </c>
      <c r="I45" s="289">
        <v>194322</v>
      </c>
      <c r="J45" s="289"/>
      <c r="K45" s="288" t="s">
        <v>935</v>
      </c>
      <c r="L45" s="96">
        <f>I45+J45*EERR!$D$2</f>
        <v>194322</v>
      </c>
      <c r="M45" s="96">
        <f>L45/EERR!$D$2</f>
        <v>250.24403435797717</v>
      </c>
      <c r="N45" s="96">
        <f>SUMIF(Nov!$B$3:$B$116,A45,Nov!$V$3:$V$116)</f>
        <v>378812</v>
      </c>
      <c r="O45" s="166">
        <f t="shared" si="1"/>
        <v>1</v>
      </c>
    </row>
    <row r="46" spans="1:15" x14ac:dyDescent="0.25">
      <c r="A46" s="286">
        <v>171</v>
      </c>
      <c r="B46" s="287" t="s">
        <v>938</v>
      </c>
      <c r="C46" s="288" t="s">
        <v>224</v>
      </c>
      <c r="D46" s="288" t="s">
        <v>111</v>
      </c>
      <c r="E46" s="288" t="s">
        <v>115</v>
      </c>
      <c r="F46" s="288" t="s">
        <v>116</v>
      </c>
      <c r="G46" s="288" t="s">
        <v>939</v>
      </c>
      <c r="H46" s="288" t="s">
        <v>115</v>
      </c>
      <c r="I46" s="289">
        <v>194322</v>
      </c>
      <c r="J46" s="289"/>
      <c r="K46" s="288" t="s">
        <v>940</v>
      </c>
      <c r="L46" s="96">
        <f>I46+J46*EERR!$D$2</f>
        <v>194322</v>
      </c>
      <c r="M46" s="96">
        <f>L46/EERR!$D$2</f>
        <v>250.24403435797717</v>
      </c>
      <c r="N46" s="96">
        <f>SUMIF(Nov!$B$3:$B$116,A46,Nov!$V$3:$V$116)</f>
        <v>0</v>
      </c>
      <c r="O46" s="166">
        <f t="shared" si="1"/>
        <v>1</v>
      </c>
    </row>
    <row r="47" spans="1:15" x14ac:dyDescent="0.25">
      <c r="A47" s="286">
        <v>172</v>
      </c>
      <c r="B47" s="287" t="s">
        <v>941</v>
      </c>
      <c r="C47" s="288" t="s">
        <v>225</v>
      </c>
      <c r="D47" s="288" t="s">
        <v>111</v>
      </c>
      <c r="E47" s="288" t="s">
        <v>112</v>
      </c>
      <c r="F47" s="288" t="s">
        <v>116</v>
      </c>
      <c r="G47" s="288" t="s">
        <v>510</v>
      </c>
      <c r="H47" s="288" t="s">
        <v>114</v>
      </c>
      <c r="I47" s="289"/>
      <c r="J47" s="289">
        <v>700</v>
      </c>
      <c r="K47" s="288" t="s">
        <v>942</v>
      </c>
      <c r="L47" s="96">
        <f>I47+J47*EERR!$D$2</f>
        <v>543571</v>
      </c>
      <c r="M47" s="96">
        <f>L47/EERR!$D$2</f>
        <v>700</v>
      </c>
      <c r="N47" s="96">
        <f>SUMIF(Nov!$B$3:$B$116,A47,Nov!$V$3:$V$116)</f>
        <v>0</v>
      </c>
      <c r="O47" s="166">
        <f t="shared" si="1"/>
        <v>1</v>
      </c>
    </row>
    <row r="48" spans="1:15" x14ac:dyDescent="0.25">
      <c r="A48" s="286">
        <v>173</v>
      </c>
      <c r="B48" s="287" t="s">
        <v>943</v>
      </c>
      <c r="C48" s="288" t="s">
        <v>225</v>
      </c>
      <c r="D48" s="288" t="s">
        <v>111</v>
      </c>
      <c r="E48" s="288" t="s">
        <v>112</v>
      </c>
      <c r="F48" s="288" t="s">
        <v>116</v>
      </c>
      <c r="G48" s="288" t="s">
        <v>944</v>
      </c>
      <c r="H48" s="288" t="s">
        <v>114</v>
      </c>
      <c r="I48" s="289"/>
      <c r="J48" s="289">
        <v>198</v>
      </c>
      <c r="K48" s="288" t="s">
        <v>945</v>
      </c>
      <c r="L48" s="96">
        <f>I48+J48*EERR!$D$2</f>
        <v>153752.94</v>
      </c>
      <c r="M48" s="96">
        <f>L48/EERR!$D$2</f>
        <v>198</v>
      </c>
      <c r="N48" s="96">
        <f>SUMIF(Nov!$B$3:$B$116,A48,Nov!$V$3:$V$116)</f>
        <v>0</v>
      </c>
      <c r="O48" s="166">
        <f t="shared" si="1"/>
        <v>1</v>
      </c>
    </row>
    <row r="49" spans="1:15" x14ac:dyDescent="0.25">
      <c r="A49" s="286">
        <v>174</v>
      </c>
      <c r="B49" s="287" t="s">
        <v>946</v>
      </c>
      <c r="C49" s="288" t="s">
        <v>225</v>
      </c>
      <c r="D49" s="288" t="s">
        <v>111</v>
      </c>
      <c r="E49" s="288" t="s">
        <v>112</v>
      </c>
      <c r="F49" s="288" t="s">
        <v>116</v>
      </c>
      <c r="G49" s="288" t="s">
        <v>523</v>
      </c>
      <c r="H49" s="288" t="s">
        <v>114</v>
      </c>
      <c r="I49" s="289"/>
      <c r="J49" s="289">
        <v>380</v>
      </c>
      <c r="K49" s="288" t="s">
        <v>947</v>
      </c>
      <c r="L49" s="96">
        <f>I49+J49*EERR!$D$2</f>
        <v>295081.39999999997</v>
      </c>
      <c r="M49" s="96">
        <f>L49/EERR!$D$2</f>
        <v>379.99999999999994</v>
      </c>
      <c r="N49" s="96">
        <f>SUMIF(Nov!$B$3:$B$116,A49,Nov!$V$3:$V$116)</f>
        <v>0</v>
      </c>
      <c r="O49" s="166">
        <f t="shared" si="1"/>
        <v>1</v>
      </c>
    </row>
    <row r="50" spans="1:15" x14ac:dyDescent="0.25">
      <c r="A50" s="286">
        <v>175</v>
      </c>
      <c r="B50" s="287" t="s">
        <v>948</v>
      </c>
      <c r="C50" s="288" t="s">
        <v>225</v>
      </c>
      <c r="D50" s="288" t="s">
        <v>111</v>
      </c>
      <c r="E50" s="288" t="s">
        <v>112</v>
      </c>
      <c r="F50" s="288" t="s">
        <v>116</v>
      </c>
      <c r="G50" s="288" t="s">
        <v>563</v>
      </c>
      <c r="H50" s="288" t="s">
        <v>114</v>
      </c>
      <c r="I50" s="289"/>
      <c r="J50" s="289">
        <v>456</v>
      </c>
      <c r="K50" s="288" t="s">
        <v>949</v>
      </c>
      <c r="L50" s="96">
        <f>I50+J50*EERR!$D$2</f>
        <v>354097.68</v>
      </c>
      <c r="M50" s="96">
        <f>L50/EERR!$D$2</f>
        <v>456</v>
      </c>
      <c r="N50" s="96">
        <f>SUMIF(Nov!$B$3:$B$116,A50,Nov!$V$3:$V$116)</f>
        <v>0</v>
      </c>
      <c r="O50" s="166">
        <f t="shared" si="1"/>
        <v>1</v>
      </c>
    </row>
    <row r="51" spans="1:15" x14ac:dyDescent="0.25">
      <c r="A51" s="286">
        <v>176</v>
      </c>
      <c r="B51" s="287" t="s">
        <v>950</v>
      </c>
      <c r="C51" s="288" t="s">
        <v>225</v>
      </c>
      <c r="D51" s="288" t="s">
        <v>111</v>
      </c>
      <c r="E51" s="288" t="s">
        <v>112</v>
      </c>
      <c r="F51" s="288" t="s">
        <v>117</v>
      </c>
      <c r="G51" s="288" t="s">
        <v>951</v>
      </c>
      <c r="H51" s="288" t="s">
        <v>114</v>
      </c>
      <c r="I51" s="289"/>
      <c r="J51" s="289">
        <v>178.2</v>
      </c>
      <c r="K51" s="288" t="s">
        <v>952</v>
      </c>
      <c r="L51" s="96">
        <f>I51+J51*EERR!$D$2</f>
        <v>138377.64599999998</v>
      </c>
      <c r="M51" s="96">
        <f>L51/EERR!$D$2</f>
        <v>178.2</v>
      </c>
      <c r="N51" s="96">
        <f>SUMIF(Nov!$B$3:$B$116,A51,Nov!$V$3:$V$116)</f>
        <v>0</v>
      </c>
      <c r="O51" s="166">
        <f t="shared" si="1"/>
        <v>1</v>
      </c>
    </row>
    <row r="52" spans="1:15" x14ac:dyDescent="0.25">
      <c r="A52" s="286">
        <v>177</v>
      </c>
      <c r="B52" s="287" t="s">
        <v>953</v>
      </c>
      <c r="C52" s="288" t="s">
        <v>224</v>
      </c>
      <c r="D52" s="288" t="s">
        <v>111</v>
      </c>
      <c r="E52" s="288" t="s">
        <v>115</v>
      </c>
      <c r="F52" s="288" t="s">
        <v>117</v>
      </c>
      <c r="G52" s="288" t="s">
        <v>954</v>
      </c>
      <c r="H52" s="288" t="s">
        <v>115</v>
      </c>
      <c r="I52" s="289">
        <v>187082</v>
      </c>
      <c r="J52" s="289"/>
      <c r="K52" s="288" t="s">
        <v>955</v>
      </c>
      <c r="L52" s="96">
        <f>I52+J52*EERR!$D$2</f>
        <v>187082</v>
      </c>
      <c r="M52" s="96">
        <f>L52/EERR!$D$2</f>
        <v>240.92050532497134</v>
      </c>
      <c r="N52" s="96">
        <f>SUMIF(Nov!$B$3:$B$116,A52,Nov!$V$3:$V$116)</f>
        <v>0</v>
      </c>
      <c r="O52" s="166">
        <f t="shared" si="1"/>
        <v>1</v>
      </c>
    </row>
    <row r="53" spans="1:15" x14ac:dyDescent="0.25">
      <c r="A53" s="286">
        <v>178</v>
      </c>
      <c r="B53" s="287" t="s">
        <v>956</v>
      </c>
      <c r="C53" s="288" t="s">
        <v>225</v>
      </c>
      <c r="D53" s="288" t="s">
        <v>111</v>
      </c>
      <c r="E53" s="288" t="s">
        <v>112</v>
      </c>
      <c r="F53" s="288" t="s">
        <v>116</v>
      </c>
      <c r="G53" s="288" t="s">
        <v>957</v>
      </c>
      <c r="H53" s="288" t="s">
        <v>114</v>
      </c>
      <c r="I53" s="289"/>
      <c r="J53" s="289">
        <v>198</v>
      </c>
      <c r="K53" s="288" t="s">
        <v>958</v>
      </c>
      <c r="L53" s="96">
        <f>I53+J53*EERR!$D$2</f>
        <v>153752.94</v>
      </c>
      <c r="M53" s="96">
        <f>L53/EERR!$D$2</f>
        <v>198</v>
      </c>
      <c r="N53" s="96">
        <f>SUMIF(Nov!$B$3:$B$116,A53,Nov!$V$3:$V$116)</f>
        <v>0</v>
      </c>
      <c r="O53" s="166">
        <f t="shared" si="1"/>
        <v>1</v>
      </c>
    </row>
    <row r="54" spans="1:15" x14ac:dyDescent="0.25">
      <c r="A54" s="286">
        <v>179</v>
      </c>
      <c r="B54" s="287" t="s">
        <v>959</v>
      </c>
      <c r="C54" s="288" t="s">
        <v>224</v>
      </c>
      <c r="D54" s="288" t="s">
        <v>111</v>
      </c>
      <c r="E54" s="288" t="s">
        <v>115</v>
      </c>
      <c r="F54" s="288" t="s">
        <v>116</v>
      </c>
      <c r="G54" s="288" t="s">
        <v>960</v>
      </c>
      <c r="H54" s="288" t="s">
        <v>115</v>
      </c>
      <c r="I54" s="289">
        <v>168374</v>
      </c>
      <c r="J54" s="289"/>
      <c r="K54" s="288" t="s">
        <v>961</v>
      </c>
      <c r="L54" s="96">
        <f>I54+J54*EERR!$D$2</f>
        <v>168374</v>
      </c>
      <c r="M54" s="96">
        <f>L54/EERR!$D$2</f>
        <v>216.82871234852485</v>
      </c>
      <c r="N54" s="96">
        <f>SUMIF(Nov!$B$3:$B$116,A54,Nov!$V$3:$V$116)</f>
        <v>0</v>
      </c>
      <c r="O54" s="166">
        <f t="shared" si="1"/>
        <v>1</v>
      </c>
    </row>
    <row r="55" spans="1:15" x14ac:dyDescent="0.25">
      <c r="A55" s="286">
        <v>180</v>
      </c>
      <c r="B55" s="287" t="s">
        <v>962</v>
      </c>
      <c r="C55" s="288" t="s">
        <v>225</v>
      </c>
      <c r="D55" s="288" t="s">
        <v>111</v>
      </c>
      <c r="E55" s="288" t="s">
        <v>112</v>
      </c>
      <c r="F55" s="288" t="s">
        <v>113</v>
      </c>
      <c r="G55" s="288" t="s">
        <v>963</v>
      </c>
      <c r="H55" s="288" t="s">
        <v>114</v>
      </c>
      <c r="I55" s="289"/>
      <c r="J55" s="289">
        <v>700</v>
      </c>
      <c r="K55" s="288" t="s">
        <v>336</v>
      </c>
      <c r="L55" s="96">
        <f>I55+J55*EERR!$D$2</f>
        <v>543571</v>
      </c>
      <c r="M55" s="96">
        <f>L55/EERR!$D$2</f>
        <v>700</v>
      </c>
      <c r="N55" s="96">
        <f>SUMIF(Nov!$B$3:$B$116,A55,Nov!$V$3:$V$116)</f>
        <v>0</v>
      </c>
      <c r="O55" s="166">
        <f t="shared" si="1"/>
        <v>1</v>
      </c>
    </row>
    <row r="56" spans="1:15" x14ac:dyDescent="0.25">
      <c r="A56" s="286">
        <v>181</v>
      </c>
      <c r="B56" s="287" t="s">
        <v>964</v>
      </c>
      <c r="C56" s="288" t="s">
        <v>224</v>
      </c>
      <c r="D56" s="288" t="s">
        <v>111</v>
      </c>
      <c r="E56" s="288" t="s">
        <v>115</v>
      </c>
      <c r="F56" s="288" t="s">
        <v>117</v>
      </c>
      <c r="G56" s="288" t="s">
        <v>516</v>
      </c>
      <c r="H56" s="288" t="s">
        <v>115</v>
      </c>
      <c r="I56" s="289">
        <v>6000</v>
      </c>
      <c r="J56" s="289"/>
      <c r="K56" s="288" t="s">
        <v>965</v>
      </c>
      <c r="L56" s="96">
        <f>I56+J56*EERR!$D$2</f>
        <v>6000</v>
      </c>
      <c r="M56" s="96">
        <f>L56/EERR!$D$2</f>
        <v>7.7266815190655871</v>
      </c>
      <c r="N56" s="96">
        <f>SUMIF(Nov!$B$3:$B$116,A56,Nov!$V$3:$V$116)</f>
        <v>0</v>
      </c>
      <c r="O56" s="166">
        <f t="shared" si="1"/>
        <v>1</v>
      </c>
    </row>
    <row r="57" spans="1:15" x14ac:dyDescent="0.25">
      <c r="A57" s="286">
        <v>182</v>
      </c>
      <c r="B57" s="287" t="s">
        <v>966</v>
      </c>
      <c r="C57" s="288" t="s">
        <v>225</v>
      </c>
      <c r="D57" s="288" t="s">
        <v>111</v>
      </c>
      <c r="E57" s="288" t="s">
        <v>112</v>
      </c>
      <c r="F57" s="288" t="s">
        <v>117</v>
      </c>
      <c r="G57" s="288" t="s">
        <v>558</v>
      </c>
      <c r="H57" s="288" t="s">
        <v>114</v>
      </c>
      <c r="I57" s="289"/>
      <c r="J57" s="289">
        <v>228</v>
      </c>
      <c r="K57" s="288" t="s">
        <v>967</v>
      </c>
      <c r="L57" s="96">
        <f>I57+J57*EERR!$D$2</f>
        <v>177048.84</v>
      </c>
      <c r="M57" s="96">
        <f>L57/EERR!$D$2</f>
        <v>228</v>
      </c>
      <c r="N57" s="96">
        <f>SUMIF(Nov!$B$3:$B$116,A57,Nov!$V$3:$V$116)</f>
        <v>354097.68</v>
      </c>
      <c r="O57" s="166">
        <f t="shared" si="1"/>
        <v>1</v>
      </c>
    </row>
    <row r="58" spans="1:15" x14ac:dyDescent="0.25">
      <c r="A58" s="286">
        <v>183</v>
      </c>
      <c r="B58" s="287" t="s">
        <v>968</v>
      </c>
      <c r="C58" s="288" t="s">
        <v>225</v>
      </c>
      <c r="D58" s="288" t="s">
        <v>111</v>
      </c>
      <c r="E58" s="288" t="s">
        <v>112</v>
      </c>
      <c r="F58" s="288" t="s">
        <v>116</v>
      </c>
      <c r="G58" s="288" t="s">
        <v>914</v>
      </c>
      <c r="H58" s="288" t="s">
        <v>114</v>
      </c>
      <c r="I58" s="289"/>
      <c r="J58" s="289">
        <v>230</v>
      </c>
      <c r="K58" s="288" t="s">
        <v>969</v>
      </c>
      <c r="L58" s="96">
        <f>I58+J58*EERR!$D$2</f>
        <v>178601.9</v>
      </c>
      <c r="M58" s="96">
        <f>L58/EERR!$D$2</f>
        <v>230</v>
      </c>
      <c r="N58" s="96">
        <f>SUMIF(Nov!$B$3:$B$116,A58,Nov!$V$3:$V$116)</f>
        <v>0</v>
      </c>
      <c r="O58" s="166">
        <f t="shared" si="1"/>
        <v>1</v>
      </c>
    </row>
    <row r="59" spans="1:15" x14ac:dyDescent="0.25">
      <c r="A59" s="286">
        <v>184</v>
      </c>
      <c r="B59" s="287" t="s">
        <v>970</v>
      </c>
      <c r="C59" s="288" t="s">
        <v>225</v>
      </c>
      <c r="D59" s="288" t="s">
        <v>111</v>
      </c>
      <c r="E59" s="288" t="s">
        <v>112</v>
      </c>
      <c r="F59" s="288" t="s">
        <v>117</v>
      </c>
      <c r="G59" s="288" t="s">
        <v>971</v>
      </c>
      <c r="H59" s="288" t="s">
        <v>114</v>
      </c>
      <c r="I59" s="289"/>
      <c r="J59" s="289">
        <v>178.2</v>
      </c>
      <c r="K59" s="288" t="s">
        <v>972</v>
      </c>
      <c r="L59" s="96">
        <f>I59+J59*EERR!$D$2</f>
        <v>138377.64599999998</v>
      </c>
      <c r="M59" s="96">
        <f>L59/EERR!$D$2</f>
        <v>178.2</v>
      </c>
      <c r="N59" s="96">
        <f>SUMIF(Nov!$B$3:$B$116,A59,Nov!$V$3:$V$116)</f>
        <v>0</v>
      </c>
      <c r="O59" s="166">
        <f t="shared" si="1"/>
        <v>1</v>
      </c>
    </row>
    <row r="60" spans="1:15" x14ac:dyDescent="0.25">
      <c r="A60" s="286">
        <v>185</v>
      </c>
      <c r="B60" s="287" t="s">
        <v>973</v>
      </c>
      <c r="C60" s="288" t="s">
        <v>225</v>
      </c>
      <c r="D60" s="288" t="s">
        <v>111</v>
      </c>
      <c r="E60" s="288" t="s">
        <v>112</v>
      </c>
      <c r="F60" s="288" t="s">
        <v>117</v>
      </c>
      <c r="G60" s="288" t="s">
        <v>971</v>
      </c>
      <c r="H60" s="288" t="s">
        <v>114</v>
      </c>
      <c r="I60" s="289"/>
      <c r="J60" s="289">
        <v>198</v>
      </c>
      <c r="K60" s="288" t="s">
        <v>974</v>
      </c>
      <c r="L60" s="96">
        <f>I60+J60*EERR!$D$2</f>
        <v>153752.94</v>
      </c>
      <c r="M60" s="96">
        <f>L60/EERR!$D$2</f>
        <v>198</v>
      </c>
      <c r="N60" s="96">
        <f>SUMIF(Nov!$B$3:$B$116,A60,Nov!$V$3:$V$116)</f>
        <v>0</v>
      </c>
      <c r="O60" s="166">
        <f t="shared" si="1"/>
        <v>1</v>
      </c>
    </row>
    <row r="61" spans="1:15" x14ac:dyDescent="0.25">
      <c r="A61" s="286">
        <v>186</v>
      </c>
      <c r="B61" s="287" t="s">
        <v>975</v>
      </c>
      <c r="C61" s="288" t="s">
        <v>225</v>
      </c>
      <c r="D61" s="288" t="s">
        <v>111</v>
      </c>
      <c r="E61" s="288" t="s">
        <v>112</v>
      </c>
      <c r="F61" s="288" t="s">
        <v>116</v>
      </c>
      <c r="G61" s="288" t="s">
        <v>976</v>
      </c>
      <c r="H61" s="288" t="s">
        <v>114</v>
      </c>
      <c r="I61" s="289"/>
      <c r="J61" s="289">
        <v>178.2</v>
      </c>
      <c r="K61" s="288" t="s">
        <v>977</v>
      </c>
      <c r="L61" s="96">
        <f>I61+J61*EERR!$D$2</f>
        <v>138377.64599999998</v>
      </c>
      <c r="M61" s="96">
        <f>L61/EERR!$D$2</f>
        <v>178.2</v>
      </c>
      <c r="N61" s="96">
        <f>SUMIF(Nov!$B$3:$B$116,A61,Nov!$V$3:$V$116)</f>
        <v>0</v>
      </c>
      <c r="O61" s="166">
        <f t="shared" si="1"/>
        <v>1</v>
      </c>
    </row>
    <row r="62" spans="1:15" x14ac:dyDescent="0.25">
      <c r="A62" s="286">
        <v>187</v>
      </c>
      <c r="B62" s="287" t="s">
        <v>978</v>
      </c>
      <c r="C62" s="288" t="s">
        <v>225</v>
      </c>
      <c r="D62" s="288" t="s">
        <v>111</v>
      </c>
      <c r="E62" s="288" t="s">
        <v>112</v>
      </c>
      <c r="F62" s="288" t="s">
        <v>117</v>
      </c>
      <c r="G62" s="288" t="s">
        <v>979</v>
      </c>
      <c r="H62" s="288" t="s">
        <v>114</v>
      </c>
      <c r="I62" s="289"/>
      <c r="J62" s="289">
        <v>1100</v>
      </c>
      <c r="K62" s="288" t="s">
        <v>980</v>
      </c>
      <c r="L62" s="96">
        <f>I62+J62*EERR!$D$2</f>
        <v>854183</v>
      </c>
      <c r="M62" s="96">
        <f>L62/EERR!$D$2</f>
        <v>1100</v>
      </c>
      <c r="N62" s="96">
        <f>SUMIF(Nov!$B$3:$B$116,A62,Nov!$V$3:$V$116)</f>
        <v>0</v>
      </c>
      <c r="O62" s="166">
        <f t="shared" ref="O62:O67" si="2">+A62-A61</f>
        <v>1</v>
      </c>
    </row>
    <row r="63" spans="1:15" x14ac:dyDescent="0.25">
      <c r="A63" s="286">
        <v>188</v>
      </c>
      <c r="B63" s="287" t="s">
        <v>981</v>
      </c>
      <c r="C63" s="288" t="s">
        <v>225</v>
      </c>
      <c r="D63" s="288" t="s">
        <v>111</v>
      </c>
      <c r="E63" s="288" t="s">
        <v>112</v>
      </c>
      <c r="F63" s="288" t="s">
        <v>117</v>
      </c>
      <c r="G63" s="288" t="s">
        <v>982</v>
      </c>
      <c r="H63" s="288" t="s">
        <v>114</v>
      </c>
      <c r="I63" s="289"/>
      <c r="J63" s="289">
        <v>198</v>
      </c>
      <c r="K63" s="288" t="s">
        <v>983</v>
      </c>
      <c r="L63" s="96">
        <f>I63+J63*EERR!$D$2</f>
        <v>153752.94</v>
      </c>
      <c r="M63" s="96">
        <f>L63/EERR!$D$2</f>
        <v>198</v>
      </c>
      <c r="N63" s="96">
        <f>SUMIF(Nov!$B$3:$B$116,A63,Nov!$V$3:$V$116)</f>
        <v>0</v>
      </c>
      <c r="O63" s="166">
        <f t="shared" si="2"/>
        <v>1</v>
      </c>
    </row>
    <row r="64" spans="1:15" x14ac:dyDescent="0.25">
      <c r="A64" s="286">
        <v>189</v>
      </c>
      <c r="B64" s="287" t="s">
        <v>984</v>
      </c>
      <c r="C64" s="288" t="s">
        <v>225</v>
      </c>
      <c r="D64" s="288" t="s">
        <v>111</v>
      </c>
      <c r="E64" s="288" t="s">
        <v>112</v>
      </c>
      <c r="F64" s="288" t="s">
        <v>117</v>
      </c>
      <c r="G64" s="288" t="s">
        <v>583</v>
      </c>
      <c r="H64" s="288" t="s">
        <v>114</v>
      </c>
      <c r="I64" s="289"/>
      <c r="J64" s="289">
        <v>440</v>
      </c>
      <c r="K64" s="288" t="s">
        <v>985</v>
      </c>
      <c r="L64" s="96">
        <f>I64+J64*EERR!$D$2</f>
        <v>341673.2</v>
      </c>
      <c r="M64" s="96">
        <f>L64/EERR!$D$2</f>
        <v>440.00000000000006</v>
      </c>
      <c r="N64" s="96">
        <f>SUMIF(Nov!$B$3:$B$116,A64,Nov!$V$3:$V$116)</f>
        <v>512509.8</v>
      </c>
      <c r="O64" s="166">
        <f t="shared" si="2"/>
        <v>1</v>
      </c>
    </row>
    <row r="65" spans="1:15" x14ac:dyDescent="0.25">
      <c r="A65" s="286">
        <v>190</v>
      </c>
      <c r="B65" s="287" t="s">
        <v>986</v>
      </c>
      <c r="C65" s="288" t="s">
        <v>225</v>
      </c>
      <c r="D65" s="288" t="s">
        <v>111</v>
      </c>
      <c r="E65" s="288" t="s">
        <v>112</v>
      </c>
      <c r="F65" s="288" t="s">
        <v>116</v>
      </c>
      <c r="G65" s="288" t="s">
        <v>987</v>
      </c>
      <c r="H65" s="288" t="s">
        <v>114</v>
      </c>
      <c r="I65" s="289"/>
      <c r="J65" s="289">
        <v>220</v>
      </c>
      <c r="K65" s="288" t="s">
        <v>988</v>
      </c>
      <c r="L65" s="96">
        <f>I65+J65*EERR!$D$2</f>
        <v>170836.6</v>
      </c>
      <c r="M65" s="96">
        <f>L65/EERR!$D$2</f>
        <v>220.00000000000003</v>
      </c>
      <c r="N65" s="96">
        <f>SUMIF(Nov!$B$3:$B$116,A65,Nov!$V$3:$V$116)</f>
        <v>0</v>
      </c>
      <c r="O65" s="166">
        <f t="shared" si="2"/>
        <v>1</v>
      </c>
    </row>
    <row r="66" spans="1:15" x14ac:dyDescent="0.25">
      <c r="A66" s="286">
        <v>191</v>
      </c>
      <c r="B66" s="287" t="s">
        <v>989</v>
      </c>
      <c r="C66" s="288" t="s">
        <v>225</v>
      </c>
      <c r="D66" s="288" t="s">
        <v>111</v>
      </c>
      <c r="E66" s="288" t="s">
        <v>112</v>
      </c>
      <c r="F66" s="288" t="s">
        <v>116</v>
      </c>
      <c r="G66" s="288" t="s">
        <v>990</v>
      </c>
      <c r="H66" s="288" t="s">
        <v>114</v>
      </c>
      <c r="I66" s="289"/>
      <c r="J66" s="289">
        <v>410</v>
      </c>
      <c r="K66" s="288" t="s">
        <v>991</v>
      </c>
      <c r="L66" s="96">
        <f>I66+J66*EERR!$D$2</f>
        <v>318377.3</v>
      </c>
      <c r="M66" s="96">
        <f>L66/EERR!$D$2</f>
        <v>410</v>
      </c>
      <c r="N66" s="96">
        <f>SUMIF(Nov!$B$3:$B$116,A66,Nov!$V$3:$V$116)</f>
        <v>0</v>
      </c>
      <c r="O66" s="166">
        <f t="shared" si="2"/>
        <v>1</v>
      </c>
    </row>
    <row r="67" spans="1:15" x14ac:dyDescent="0.25">
      <c r="A67" s="286">
        <v>192</v>
      </c>
      <c r="B67" s="287" t="s">
        <v>992</v>
      </c>
      <c r="C67" s="288" t="s">
        <v>225</v>
      </c>
      <c r="D67" s="288" t="s">
        <v>111</v>
      </c>
      <c r="E67" s="288" t="s">
        <v>112</v>
      </c>
      <c r="F67" s="288" t="s">
        <v>117</v>
      </c>
      <c r="G67" s="288" t="s">
        <v>580</v>
      </c>
      <c r="H67" s="288" t="s">
        <v>114</v>
      </c>
      <c r="I67" s="289"/>
      <c r="J67" s="289">
        <v>880</v>
      </c>
      <c r="K67" s="288" t="s">
        <v>993</v>
      </c>
      <c r="L67" s="96">
        <f>I67+J67*EERR!$D$2</f>
        <v>683346.4</v>
      </c>
      <c r="M67" s="96">
        <f>L67/EERR!$D$2</f>
        <v>880.00000000000011</v>
      </c>
      <c r="N67" s="96">
        <f>SUMIF(Nov!$B$3:$B$116,A67,Nov!$V$3:$V$116)</f>
        <v>0</v>
      </c>
      <c r="O67" s="166">
        <f t="shared" si="2"/>
        <v>1</v>
      </c>
    </row>
    <row r="68" spans="1:15" x14ac:dyDescent="0.25">
      <c r="A68" s="286">
        <v>193</v>
      </c>
      <c r="B68" s="287" t="s">
        <v>994</v>
      </c>
      <c r="C68" s="288" t="s">
        <v>225</v>
      </c>
      <c r="D68" s="288" t="s">
        <v>111</v>
      </c>
      <c r="E68" s="288" t="s">
        <v>112</v>
      </c>
      <c r="F68" s="288" t="s">
        <v>116</v>
      </c>
      <c r="G68" s="288" t="s">
        <v>995</v>
      </c>
      <c r="H68" s="288" t="s">
        <v>114</v>
      </c>
      <c r="I68" s="289"/>
      <c r="J68" s="289">
        <v>396</v>
      </c>
      <c r="K68" s="288" t="s">
        <v>996</v>
      </c>
      <c r="L68" s="96">
        <f>I68+J68*EERR!$D$2</f>
        <v>307505.88</v>
      </c>
      <c r="M68" s="96">
        <f>L68/EERR!$D$2</f>
        <v>396</v>
      </c>
      <c r="N68" s="96">
        <f>SUMIF(Nov!$B$3:$B$116,A68,Nov!$V$3:$V$116)</f>
        <v>0</v>
      </c>
      <c r="O68" s="166">
        <f t="shared" ref="O68:O131" si="3">+A68-A67</f>
        <v>1</v>
      </c>
    </row>
    <row r="69" spans="1:15" x14ac:dyDescent="0.25">
      <c r="A69" s="286">
        <v>194</v>
      </c>
      <c r="B69" s="287" t="s">
        <v>997</v>
      </c>
      <c r="C69" s="288" t="s">
        <v>225</v>
      </c>
      <c r="D69" s="288" t="s">
        <v>111</v>
      </c>
      <c r="E69" s="288" t="s">
        <v>112</v>
      </c>
      <c r="F69" s="288" t="s">
        <v>113</v>
      </c>
      <c r="G69" s="288" t="s">
        <v>998</v>
      </c>
      <c r="H69" s="288" t="s">
        <v>114</v>
      </c>
      <c r="I69" s="289"/>
      <c r="J69" s="289">
        <v>198</v>
      </c>
      <c r="K69" s="288" t="s">
        <v>999</v>
      </c>
      <c r="L69" s="96">
        <f>I69+J69*EERR!$D$2</f>
        <v>153752.94</v>
      </c>
      <c r="M69" s="96">
        <f>L69/EERR!$D$2</f>
        <v>198</v>
      </c>
      <c r="N69" s="96">
        <f>SUMIF(Nov!$B$3:$B$116,A69,Nov!$V$3:$V$116)</f>
        <v>0</v>
      </c>
      <c r="O69" s="166">
        <f t="shared" si="3"/>
        <v>1</v>
      </c>
    </row>
    <row r="70" spans="1:15" x14ac:dyDescent="0.25">
      <c r="A70" s="286">
        <v>195</v>
      </c>
      <c r="B70" s="287" t="s">
        <v>1000</v>
      </c>
      <c r="C70" s="288" t="s">
        <v>224</v>
      </c>
      <c r="D70" s="288" t="s">
        <v>111</v>
      </c>
      <c r="E70" s="288" t="s">
        <v>115</v>
      </c>
      <c r="F70" s="288" t="s">
        <v>116</v>
      </c>
      <c r="G70" s="288" t="s">
        <v>1001</v>
      </c>
      <c r="H70" s="288" t="s">
        <v>115</v>
      </c>
      <c r="I70" s="289">
        <v>184490</v>
      </c>
      <c r="J70" s="289"/>
      <c r="K70" s="288" t="s">
        <v>1002</v>
      </c>
      <c r="L70" s="96">
        <f>I70+J70*EERR!$D$2</f>
        <v>184490</v>
      </c>
      <c r="M70" s="96">
        <f>L70/EERR!$D$2</f>
        <v>237.58257890873503</v>
      </c>
      <c r="N70" s="96">
        <f>SUMIF(Nov!$B$3:$B$116,A70,Nov!$V$3:$V$116)</f>
        <v>0</v>
      </c>
      <c r="O70" s="166">
        <f t="shared" si="3"/>
        <v>1</v>
      </c>
    </row>
    <row r="71" spans="1:15" x14ac:dyDescent="0.25">
      <c r="A71" s="286">
        <v>196</v>
      </c>
      <c r="B71" s="287" t="s">
        <v>1003</v>
      </c>
      <c r="C71" s="288" t="s">
        <v>225</v>
      </c>
      <c r="D71" s="288" t="s">
        <v>111</v>
      </c>
      <c r="E71" s="288" t="s">
        <v>112</v>
      </c>
      <c r="F71" s="288" t="s">
        <v>113</v>
      </c>
      <c r="G71" s="288" t="s">
        <v>1004</v>
      </c>
      <c r="H71" s="288" t="s">
        <v>114</v>
      </c>
      <c r="I71" s="289"/>
      <c r="J71" s="289">
        <v>440</v>
      </c>
      <c r="K71" s="288" t="s">
        <v>1005</v>
      </c>
      <c r="L71" s="96">
        <f>I71+J71*EERR!$D$2</f>
        <v>341673.2</v>
      </c>
      <c r="M71" s="96">
        <f>L71/EERR!$D$2</f>
        <v>440.00000000000006</v>
      </c>
      <c r="N71" s="96">
        <f>SUMIF(Nov!$B$3:$B$116,A71,Nov!$V$3:$V$116)</f>
        <v>0</v>
      </c>
      <c r="O71" s="166">
        <f t="shared" si="3"/>
        <v>1</v>
      </c>
    </row>
    <row r="72" spans="1:15" x14ac:dyDescent="0.25">
      <c r="A72" s="286">
        <v>197</v>
      </c>
      <c r="B72" s="287" t="s">
        <v>1006</v>
      </c>
      <c r="C72" s="288" t="s">
        <v>225</v>
      </c>
      <c r="D72" s="288" t="s">
        <v>111</v>
      </c>
      <c r="E72" s="288" t="s">
        <v>112</v>
      </c>
      <c r="F72" s="288" t="s">
        <v>116</v>
      </c>
      <c r="G72" s="288" t="s">
        <v>976</v>
      </c>
      <c r="H72" s="288" t="s">
        <v>114</v>
      </c>
      <c r="I72" s="289"/>
      <c r="J72" s="289">
        <v>178.2</v>
      </c>
      <c r="K72" s="288" t="s">
        <v>1007</v>
      </c>
      <c r="L72" s="96">
        <f>I72+J72*EERR!$D$2</f>
        <v>138377.64599999998</v>
      </c>
      <c r="M72" s="96">
        <f>L72/EERR!$D$2</f>
        <v>178.2</v>
      </c>
      <c r="N72" s="96">
        <f>SUMIF(Nov!$B$3:$B$116,A72,Nov!$V$3:$V$116)</f>
        <v>0</v>
      </c>
      <c r="O72" s="166">
        <f t="shared" si="3"/>
        <v>1</v>
      </c>
    </row>
    <row r="73" spans="1:15" x14ac:dyDescent="0.25">
      <c r="A73" s="286">
        <v>198</v>
      </c>
      <c r="B73" s="287" t="s">
        <v>1008</v>
      </c>
      <c r="C73" s="288" t="s">
        <v>224</v>
      </c>
      <c r="D73" s="288" t="s">
        <v>111</v>
      </c>
      <c r="E73" s="288" t="s">
        <v>115</v>
      </c>
      <c r="F73" s="288" t="s">
        <v>117</v>
      </c>
      <c r="G73" s="288" t="s">
        <v>645</v>
      </c>
      <c r="H73" s="288" t="s">
        <v>115</v>
      </c>
      <c r="I73" s="289">
        <v>32724</v>
      </c>
      <c r="J73" s="289"/>
      <c r="K73" s="288" t="s">
        <v>1009</v>
      </c>
      <c r="L73" s="96">
        <f>I73+J73*EERR!$D$2</f>
        <v>32724</v>
      </c>
      <c r="M73" s="96">
        <f>L73/EERR!$D$2</f>
        <v>42.141321004983709</v>
      </c>
      <c r="N73" s="96">
        <f>SUMIF(Nov!$B$3:$B$116,A73,Nov!$V$3:$V$116)</f>
        <v>0</v>
      </c>
      <c r="O73" s="166">
        <f t="shared" si="3"/>
        <v>1</v>
      </c>
    </row>
    <row r="74" spans="1:15" x14ac:dyDescent="0.25">
      <c r="A74" s="286">
        <v>199</v>
      </c>
      <c r="B74" s="287" t="s">
        <v>1010</v>
      </c>
      <c r="C74" s="288" t="s">
        <v>225</v>
      </c>
      <c r="D74" s="288" t="s">
        <v>111</v>
      </c>
      <c r="E74" s="288" t="s">
        <v>112</v>
      </c>
      <c r="F74" s="288" t="s">
        <v>117</v>
      </c>
      <c r="G74" s="288" t="s">
        <v>592</v>
      </c>
      <c r="H74" s="288" t="s">
        <v>114</v>
      </c>
      <c r="I74" s="289"/>
      <c r="J74" s="289">
        <v>440</v>
      </c>
      <c r="K74" s="288" t="s">
        <v>1011</v>
      </c>
      <c r="L74" s="96">
        <f>I74+J74*EERR!$D$2</f>
        <v>341673.2</v>
      </c>
      <c r="M74" s="96">
        <f>L74/EERR!$D$2</f>
        <v>440.00000000000006</v>
      </c>
      <c r="N74" s="96">
        <f>SUMIF(Nov!$B$3:$B$116,A74,Nov!$V$3:$V$116)</f>
        <v>0</v>
      </c>
      <c r="O74" s="166">
        <f t="shared" si="3"/>
        <v>1</v>
      </c>
    </row>
    <row r="75" spans="1:15" x14ac:dyDescent="0.25">
      <c r="A75" s="286">
        <v>200</v>
      </c>
      <c r="B75" s="287" t="s">
        <v>1012</v>
      </c>
      <c r="C75" s="288" t="s">
        <v>225</v>
      </c>
      <c r="D75" s="288" t="s">
        <v>111</v>
      </c>
      <c r="E75" s="288" t="s">
        <v>112</v>
      </c>
      <c r="F75" s="288" t="s">
        <v>117</v>
      </c>
      <c r="G75" s="288" t="s">
        <v>1013</v>
      </c>
      <c r="H75" s="288" t="s">
        <v>114</v>
      </c>
      <c r="I75" s="289"/>
      <c r="J75" s="289">
        <v>792</v>
      </c>
      <c r="K75" s="288" t="s">
        <v>1014</v>
      </c>
      <c r="L75" s="96">
        <f>I75+J75*EERR!$D$2</f>
        <v>615011.76</v>
      </c>
      <c r="M75" s="96">
        <f>L75/EERR!$D$2</f>
        <v>792</v>
      </c>
      <c r="N75" s="96">
        <f>SUMIF(Nov!$B$3:$B$116,A75,Nov!$V$3:$V$116)</f>
        <v>0</v>
      </c>
      <c r="O75" s="166">
        <f t="shared" si="3"/>
        <v>1</v>
      </c>
    </row>
    <row r="76" spans="1:15" x14ac:dyDescent="0.25">
      <c r="A76" s="286">
        <v>201</v>
      </c>
      <c r="B76" s="287" t="s">
        <v>1015</v>
      </c>
      <c r="C76" s="288" t="s">
        <v>225</v>
      </c>
      <c r="D76" s="288" t="s">
        <v>111</v>
      </c>
      <c r="E76" s="288" t="s">
        <v>112</v>
      </c>
      <c r="F76" s="288" t="s">
        <v>117</v>
      </c>
      <c r="G76" s="288" t="s">
        <v>1016</v>
      </c>
      <c r="H76" s="288" t="s">
        <v>114</v>
      </c>
      <c r="I76" s="289"/>
      <c r="J76" s="289">
        <v>836</v>
      </c>
      <c r="K76" s="288" t="s">
        <v>1017</v>
      </c>
      <c r="L76" s="96">
        <f>I76+J76*EERR!$D$2</f>
        <v>649179.07999999996</v>
      </c>
      <c r="M76" s="96">
        <f>L76/EERR!$D$2</f>
        <v>836</v>
      </c>
      <c r="N76" s="96">
        <f>SUMIF(Nov!$B$3:$B$116,A76,Nov!$V$3:$V$116)</f>
        <v>0</v>
      </c>
      <c r="O76" s="166">
        <f t="shared" si="3"/>
        <v>1</v>
      </c>
    </row>
    <row r="77" spans="1:15" x14ac:dyDescent="0.25">
      <c r="A77" s="286">
        <v>202</v>
      </c>
      <c r="B77" s="287" t="s">
        <v>1018</v>
      </c>
      <c r="C77" s="288" t="s">
        <v>225</v>
      </c>
      <c r="D77" s="288" t="s">
        <v>111</v>
      </c>
      <c r="E77" s="288" t="s">
        <v>114</v>
      </c>
      <c r="F77" s="288" t="s">
        <v>116</v>
      </c>
      <c r="G77" s="288" t="s">
        <v>679</v>
      </c>
      <c r="H77" s="288" t="s">
        <v>114</v>
      </c>
      <c r="I77" s="289"/>
      <c r="J77" s="289">
        <v>590</v>
      </c>
      <c r="K77" s="288" t="s">
        <v>1020</v>
      </c>
      <c r="L77" s="96">
        <f>I77+J77*EERR!$D$2</f>
        <v>458152.7</v>
      </c>
      <c r="M77" s="96">
        <f>L77/EERR!$D$2</f>
        <v>590</v>
      </c>
      <c r="N77" s="96">
        <f>SUMIF(Nov!$B$3:$B$116,A77,Nov!$V$3:$V$116)</f>
        <v>0</v>
      </c>
      <c r="O77" s="166">
        <f t="shared" si="3"/>
        <v>1</v>
      </c>
    </row>
    <row r="78" spans="1:15" x14ac:dyDescent="0.25">
      <c r="A78" s="286">
        <v>203</v>
      </c>
      <c r="B78" s="287" t="s">
        <v>1018</v>
      </c>
      <c r="C78" s="288" t="s">
        <v>1290</v>
      </c>
      <c r="D78" s="288" t="s">
        <v>111</v>
      </c>
      <c r="E78" s="288" t="s">
        <v>114</v>
      </c>
      <c r="F78" s="288" t="s">
        <v>117</v>
      </c>
      <c r="G78" s="288" t="s">
        <v>583</v>
      </c>
      <c r="H78" s="288" t="s">
        <v>114</v>
      </c>
      <c r="I78" s="289"/>
      <c r="J78" s="289">
        <v>46</v>
      </c>
      <c r="K78" s="288" t="s">
        <v>1019</v>
      </c>
      <c r="L78" s="96">
        <f>I78+J78*EERR!$D$2</f>
        <v>35720.379999999997</v>
      </c>
      <c r="M78" s="96">
        <f>L78/EERR!$D$2</f>
        <v>46</v>
      </c>
      <c r="N78" s="96">
        <f>SUMIF(Nov!$B$3:$B$116,A78,Nov!$V$3:$V$116)</f>
        <v>0</v>
      </c>
      <c r="O78" s="166">
        <f t="shared" si="3"/>
        <v>1</v>
      </c>
    </row>
    <row r="79" spans="1:15" x14ac:dyDescent="0.25">
      <c r="A79" s="286">
        <v>204</v>
      </c>
      <c r="B79" s="287" t="s">
        <v>1021</v>
      </c>
      <c r="C79" s="288" t="s">
        <v>1293</v>
      </c>
      <c r="D79" s="288" t="s">
        <v>111</v>
      </c>
      <c r="E79" s="288" t="s">
        <v>114</v>
      </c>
      <c r="F79" s="288" t="s">
        <v>116</v>
      </c>
      <c r="G79" s="288" t="s">
        <v>1026</v>
      </c>
      <c r="H79" s="288" t="s">
        <v>114</v>
      </c>
      <c r="I79" s="289"/>
      <c r="J79" s="289">
        <v>1320</v>
      </c>
      <c r="K79" s="288" t="s">
        <v>1027</v>
      </c>
      <c r="L79" s="96">
        <f>I79+J79*EERR!$D$2</f>
        <v>1025019.6</v>
      </c>
      <c r="M79" s="96">
        <f>L79/EERR!$D$2</f>
        <v>1320</v>
      </c>
      <c r="N79" s="96">
        <f>SUMIF(Nov!$B$3:$B$116,A79,Nov!$V$3:$V$116)</f>
        <v>0</v>
      </c>
      <c r="O79" s="166">
        <f t="shared" si="3"/>
        <v>1</v>
      </c>
    </row>
    <row r="80" spans="1:15" x14ac:dyDescent="0.25">
      <c r="A80" s="286">
        <v>205</v>
      </c>
      <c r="B80" s="287" t="s">
        <v>1021</v>
      </c>
      <c r="C80" s="288" t="s">
        <v>1294</v>
      </c>
      <c r="D80" s="288" t="s">
        <v>111</v>
      </c>
      <c r="E80" s="288" t="s">
        <v>114</v>
      </c>
      <c r="F80" s="288" t="s">
        <v>116</v>
      </c>
      <c r="G80" s="288" t="s">
        <v>1024</v>
      </c>
      <c r="H80" s="288" t="s">
        <v>114</v>
      </c>
      <c r="I80" s="289"/>
      <c r="J80" s="289">
        <v>220</v>
      </c>
      <c r="K80" s="288" t="s">
        <v>1025</v>
      </c>
      <c r="L80" s="96">
        <f>I80+J80*EERR!$D$2</f>
        <v>170836.6</v>
      </c>
      <c r="M80" s="96">
        <f>L80/EERR!$D$2</f>
        <v>220.00000000000003</v>
      </c>
      <c r="N80" s="96">
        <f>SUMIF(Nov!$B$3:$B$116,A80,Nov!$V$3:$V$116)</f>
        <v>0</v>
      </c>
      <c r="O80" s="166">
        <f t="shared" si="3"/>
        <v>1</v>
      </c>
    </row>
    <row r="81" spans="1:15" x14ac:dyDescent="0.25">
      <c r="A81" s="286">
        <v>206</v>
      </c>
      <c r="B81" s="287" t="s">
        <v>1021</v>
      </c>
      <c r="C81" s="288" t="s">
        <v>1291</v>
      </c>
      <c r="D81" s="288" t="s">
        <v>111</v>
      </c>
      <c r="E81" s="288" t="s">
        <v>114</v>
      </c>
      <c r="F81" s="288" t="s">
        <v>117</v>
      </c>
      <c r="G81" s="288" t="s">
        <v>1022</v>
      </c>
      <c r="H81" s="288" t="s">
        <v>114</v>
      </c>
      <c r="I81" s="289"/>
      <c r="J81" s="289">
        <v>627</v>
      </c>
      <c r="K81" s="288" t="s">
        <v>1023</v>
      </c>
      <c r="L81" s="96">
        <f>I81+J81*EERR!$D$2</f>
        <v>486884.31</v>
      </c>
      <c r="M81" s="96">
        <f>L81/EERR!$D$2</f>
        <v>627</v>
      </c>
      <c r="N81" s="96">
        <f>SUMIF(Nov!$B$3:$B$116,A81,Nov!$V$3:$V$116)</f>
        <v>0</v>
      </c>
      <c r="O81" s="166">
        <f t="shared" si="3"/>
        <v>1</v>
      </c>
    </row>
    <row r="82" spans="1:15" x14ac:dyDescent="0.25">
      <c r="A82" s="286">
        <v>207</v>
      </c>
      <c r="B82" s="287" t="s">
        <v>1021</v>
      </c>
      <c r="C82" s="288" t="s">
        <v>1292</v>
      </c>
      <c r="D82" s="288" t="s">
        <v>111</v>
      </c>
      <c r="E82" s="288" t="s">
        <v>114</v>
      </c>
      <c r="F82" s="288" t="s">
        <v>117</v>
      </c>
      <c r="G82" s="288" t="s">
        <v>1022</v>
      </c>
      <c r="H82" s="288" t="s">
        <v>114</v>
      </c>
      <c r="I82" s="289"/>
      <c r="J82" s="289">
        <v>418</v>
      </c>
      <c r="K82" s="288" t="s">
        <v>1028</v>
      </c>
      <c r="L82" s="96">
        <f>I82+J82*EERR!$D$2</f>
        <v>324589.53999999998</v>
      </c>
      <c r="M82" s="96">
        <f>L82/EERR!$D$2</f>
        <v>418</v>
      </c>
      <c r="N82" s="96">
        <f>SUMIF(Nov!$B$3:$B$116,A82,Nov!$V$3:$V$116)</f>
        <v>0</v>
      </c>
      <c r="O82" s="166">
        <f t="shared" si="3"/>
        <v>1</v>
      </c>
    </row>
    <row r="83" spans="1:15" x14ac:dyDescent="0.25">
      <c r="A83" s="286">
        <v>208</v>
      </c>
      <c r="B83" s="287" t="s">
        <v>1029</v>
      </c>
      <c r="C83" s="288" t="s">
        <v>1296</v>
      </c>
      <c r="D83" s="288" t="s">
        <v>111</v>
      </c>
      <c r="E83" s="288" t="s">
        <v>114</v>
      </c>
      <c r="F83" s="288" t="s">
        <v>117</v>
      </c>
      <c r="G83" s="288" t="s">
        <v>1031</v>
      </c>
      <c r="H83" s="288" t="s">
        <v>114</v>
      </c>
      <c r="I83" s="289"/>
      <c r="J83" s="289">
        <v>220</v>
      </c>
      <c r="K83" s="288" t="s">
        <v>1032</v>
      </c>
      <c r="L83" s="96">
        <f>I83+J83*EERR!$D$2</f>
        <v>170836.6</v>
      </c>
      <c r="M83" s="96">
        <f>L83/EERR!$D$2</f>
        <v>220.00000000000003</v>
      </c>
      <c r="N83" s="96">
        <f>SUMIF(Nov!$B$3:$B$116,A83,Nov!$V$3:$V$116)</f>
        <v>1025019.6</v>
      </c>
      <c r="O83" s="166">
        <f t="shared" si="3"/>
        <v>1</v>
      </c>
    </row>
    <row r="84" spans="1:15" x14ac:dyDescent="0.25">
      <c r="A84" s="286">
        <v>209</v>
      </c>
      <c r="B84" s="287" t="s">
        <v>1029</v>
      </c>
      <c r="C84" s="288" t="s">
        <v>1295</v>
      </c>
      <c r="D84" s="288" t="s">
        <v>111</v>
      </c>
      <c r="E84" s="288" t="s">
        <v>115</v>
      </c>
      <c r="F84" s="288" t="s">
        <v>117</v>
      </c>
      <c r="G84" s="288" t="s">
        <v>979</v>
      </c>
      <c r="H84" s="288" t="s">
        <v>115</v>
      </c>
      <c r="I84" s="289">
        <v>16000</v>
      </c>
      <c r="J84" s="289"/>
      <c r="K84" s="288" t="s">
        <v>1030</v>
      </c>
      <c r="L84" s="96">
        <f>I84+J84*EERR!$D$2</f>
        <v>16000</v>
      </c>
      <c r="M84" s="96">
        <f>L84/EERR!$D$2</f>
        <v>20.604484050841567</v>
      </c>
      <c r="N84" s="96">
        <f>SUMIF(Nov!$B$3:$B$116,A84,Nov!$V$3:$V$116)</f>
        <v>0</v>
      </c>
      <c r="O84" s="166">
        <f t="shared" si="3"/>
        <v>1</v>
      </c>
    </row>
    <row r="85" spans="1:15" x14ac:dyDescent="0.25">
      <c r="A85" s="286">
        <v>210</v>
      </c>
      <c r="B85" s="287" t="s">
        <v>1033</v>
      </c>
      <c r="C85" s="288" t="s">
        <v>1299</v>
      </c>
      <c r="D85" s="288" t="s">
        <v>111</v>
      </c>
      <c r="E85" s="288" t="s">
        <v>114</v>
      </c>
      <c r="F85" s="288" t="s">
        <v>117</v>
      </c>
      <c r="G85" s="288" t="s">
        <v>1038</v>
      </c>
      <c r="H85" s="288" t="s">
        <v>114</v>
      </c>
      <c r="I85" s="289"/>
      <c r="J85" s="289">
        <v>198</v>
      </c>
      <c r="K85" s="288" t="s">
        <v>1039</v>
      </c>
      <c r="L85" s="96">
        <f>I85+J85*EERR!$D$2</f>
        <v>153752.94</v>
      </c>
      <c r="M85" s="96">
        <f>L85/EERR!$D$2</f>
        <v>198</v>
      </c>
      <c r="N85" s="96">
        <f>SUMIF(Nov!$B$3:$B$116,A85,Nov!$V$3:$V$116)</f>
        <v>153752.94</v>
      </c>
      <c r="O85" s="166">
        <f t="shared" si="3"/>
        <v>1</v>
      </c>
    </row>
    <row r="86" spans="1:15" x14ac:dyDescent="0.25">
      <c r="A86" s="286">
        <v>211</v>
      </c>
      <c r="B86" s="287" t="s">
        <v>1033</v>
      </c>
      <c r="C86" s="288" t="s">
        <v>1297</v>
      </c>
      <c r="D86" s="288" t="s">
        <v>111</v>
      </c>
      <c r="E86" s="288" t="s">
        <v>114</v>
      </c>
      <c r="F86" s="288" t="s">
        <v>117</v>
      </c>
      <c r="G86" s="288" t="s">
        <v>1036</v>
      </c>
      <c r="H86" s="288" t="s">
        <v>114</v>
      </c>
      <c r="I86" s="289"/>
      <c r="J86" s="289">
        <v>198</v>
      </c>
      <c r="K86" s="288" t="s">
        <v>1037</v>
      </c>
      <c r="L86" s="96">
        <f>I86+J86*EERR!$D$2</f>
        <v>153752.94</v>
      </c>
      <c r="M86" s="96">
        <f>L86/EERR!$D$2</f>
        <v>198</v>
      </c>
      <c r="N86" s="96">
        <f>SUMIF(Nov!$B$3:$B$116,A86,Nov!$V$3:$V$116)</f>
        <v>461258.82</v>
      </c>
      <c r="O86" s="166">
        <f t="shared" si="3"/>
        <v>1</v>
      </c>
    </row>
    <row r="87" spans="1:15" x14ac:dyDescent="0.25">
      <c r="A87" s="286">
        <v>212</v>
      </c>
      <c r="B87" s="287" t="s">
        <v>1033</v>
      </c>
      <c r="C87" s="288" t="s">
        <v>1298</v>
      </c>
      <c r="D87" s="288" t="s">
        <v>111</v>
      </c>
      <c r="E87" s="288" t="s">
        <v>114</v>
      </c>
      <c r="F87" s="288" t="s">
        <v>117</v>
      </c>
      <c r="G87" s="288" t="s">
        <v>1034</v>
      </c>
      <c r="H87" s="288" t="s">
        <v>114</v>
      </c>
      <c r="I87" s="289"/>
      <c r="J87" s="289">
        <v>230</v>
      </c>
      <c r="K87" s="288" t="s">
        <v>1035</v>
      </c>
      <c r="L87" s="96">
        <f>I87+J87*EERR!$D$2</f>
        <v>178601.9</v>
      </c>
      <c r="M87" s="96">
        <f>L87/EERR!$D$2</f>
        <v>230</v>
      </c>
      <c r="N87" s="96">
        <f>SUMIF(Nov!$B$3:$B$116,A87,Nov!$V$3:$V$116)</f>
        <v>0</v>
      </c>
      <c r="O87" s="166">
        <f t="shared" si="3"/>
        <v>1</v>
      </c>
    </row>
    <row r="88" spans="1:15" x14ac:dyDescent="0.25">
      <c r="A88" s="286">
        <v>213</v>
      </c>
      <c r="B88" s="287" t="s">
        <v>1040</v>
      </c>
      <c r="C88" s="288" t="s">
        <v>1300</v>
      </c>
      <c r="D88" s="288" t="s">
        <v>111</v>
      </c>
      <c r="E88" s="288" t="s">
        <v>114</v>
      </c>
      <c r="F88" s="288" t="s">
        <v>116</v>
      </c>
      <c r="G88" s="288" t="s">
        <v>1045</v>
      </c>
      <c r="H88" s="288" t="s">
        <v>114</v>
      </c>
      <c r="I88" s="289"/>
      <c r="J88" s="289">
        <v>198</v>
      </c>
      <c r="K88" s="288" t="s">
        <v>1046</v>
      </c>
      <c r="L88" s="96">
        <f>I88+J88*EERR!$D$2</f>
        <v>153752.94</v>
      </c>
      <c r="M88" s="96">
        <f>L88/EERR!$D$2</f>
        <v>198</v>
      </c>
      <c r="N88" s="96">
        <f>SUMIF(Nov!$B$3:$B$116,A88,Nov!$V$3:$V$116)</f>
        <v>0</v>
      </c>
      <c r="O88" s="166">
        <f t="shared" si="3"/>
        <v>1</v>
      </c>
    </row>
    <row r="89" spans="1:15" x14ac:dyDescent="0.25">
      <c r="A89" s="286">
        <v>214</v>
      </c>
      <c r="B89" s="287" t="s">
        <v>1040</v>
      </c>
      <c r="C89" s="288" t="s">
        <v>1302</v>
      </c>
      <c r="D89" s="288" t="s">
        <v>111</v>
      </c>
      <c r="E89" s="288" t="s">
        <v>114</v>
      </c>
      <c r="F89" s="288" t="s">
        <v>113</v>
      </c>
      <c r="G89" s="288" t="s">
        <v>1044</v>
      </c>
      <c r="H89" s="288" t="s">
        <v>114</v>
      </c>
      <c r="I89" s="289"/>
      <c r="J89" s="289">
        <v>220</v>
      </c>
      <c r="K89" s="288" t="s">
        <v>356</v>
      </c>
      <c r="L89" s="96">
        <f>I89+J89*EERR!$D$2</f>
        <v>170836.6</v>
      </c>
      <c r="M89" s="96">
        <f>L89/EERR!$D$2</f>
        <v>220.00000000000003</v>
      </c>
      <c r="N89" s="96">
        <f>SUMIF(Nov!$B$3:$B$116,A89,Nov!$V$3:$V$116)</f>
        <v>0</v>
      </c>
      <c r="O89" s="166">
        <f t="shared" si="3"/>
        <v>1</v>
      </c>
    </row>
    <row r="90" spans="1:15" x14ac:dyDescent="0.25">
      <c r="A90" s="286">
        <v>215</v>
      </c>
      <c r="B90" s="287" t="s">
        <v>1040</v>
      </c>
      <c r="C90" s="288" t="s">
        <v>1303</v>
      </c>
      <c r="D90" s="288" t="s">
        <v>111</v>
      </c>
      <c r="E90" s="288" t="s">
        <v>114</v>
      </c>
      <c r="F90" s="288" t="s">
        <v>116</v>
      </c>
      <c r="G90" s="288" t="s">
        <v>1041</v>
      </c>
      <c r="H90" s="288" t="s">
        <v>114</v>
      </c>
      <c r="I90" s="289"/>
      <c r="J90" s="289">
        <v>209</v>
      </c>
      <c r="K90" s="288" t="s">
        <v>1042</v>
      </c>
      <c r="L90" s="96">
        <f>I90+J90*EERR!$D$2</f>
        <v>162294.76999999999</v>
      </c>
      <c r="M90" s="96">
        <f>L90/EERR!$D$2</f>
        <v>209</v>
      </c>
      <c r="N90" s="96">
        <f>SUMIF(Nov!$B$3:$B$116,A90,Nov!$V$3:$V$116)</f>
        <v>0</v>
      </c>
      <c r="O90" s="166">
        <f t="shared" si="3"/>
        <v>1</v>
      </c>
    </row>
    <row r="91" spans="1:15" x14ac:dyDescent="0.25">
      <c r="A91" s="286">
        <v>216</v>
      </c>
      <c r="B91" s="287" t="s">
        <v>1040</v>
      </c>
      <c r="C91" s="288" t="s">
        <v>1301</v>
      </c>
      <c r="D91" s="288" t="s">
        <v>111</v>
      </c>
      <c r="E91" s="288" t="s">
        <v>114</v>
      </c>
      <c r="F91" s="288" t="s">
        <v>113</v>
      </c>
      <c r="G91" s="288" t="s">
        <v>652</v>
      </c>
      <c r="H91" s="288" t="s">
        <v>114</v>
      </c>
      <c r="I91" s="289"/>
      <c r="J91" s="289">
        <v>418</v>
      </c>
      <c r="K91" s="288" t="s">
        <v>1043</v>
      </c>
      <c r="L91" s="96">
        <f>I91+J91*EERR!$D$2</f>
        <v>324589.53999999998</v>
      </c>
      <c r="M91" s="96">
        <f>L91/EERR!$D$2</f>
        <v>418</v>
      </c>
      <c r="N91" s="96">
        <f>SUMIF(Nov!$B$3:$B$116,A91,Nov!$V$3:$V$116)</f>
        <v>0</v>
      </c>
      <c r="O91" s="166">
        <f t="shared" si="3"/>
        <v>1</v>
      </c>
    </row>
    <row r="92" spans="1:15" x14ac:dyDescent="0.25">
      <c r="A92" s="286">
        <v>217</v>
      </c>
      <c r="B92" s="287" t="s">
        <v>1047</v>
      </c>
      <c r="C92" s="288" t="s">
        <v>1308</v>
      </c>
      <c r="D92" s="288" t="s">
        <v>111</v>
      </c>
      <c r="E92" s="288" t="s">
        <v>114</v>
      </c>
      <c r="F92" s="288" t="s">
        <v>117</v>
      </c>
      <c r="G92" s="288" t="s">
        <v>669</v>
      </c>
      <c r="H92" s="288" t="s">
        <v>114</v>
      </c>
      <c r="I92" s="289"/>
      <c r="J92" s="289">
        <v>880</v>
      </c>
      <c r="K92" s="288" t="s">
        <v>1060</v>
      </c>
      <c r="L92" s="96">
        <f>I92+J92*EERR!$D$2</f>
        <v>683346.4</v>
      </c>
      <c r="M92" s="96">
        <f>L92/EERR!$D$2</f>
        <v>880.00000000000011</v>
      </c>
      <c r="N92" s="96">
        <f>SUMIF(Nov!$B$3:$B$116,A92,Nov!$V$3:$V$116)</f>
        <v>0</v>
      </c>
      <c r="O92" s="166">
        <f t="shared" si="3"/>
        <v>1</v>
      </c>
    </row>
    <row r="93" spans="1:15" x14ac:dyDescent="0.25">
      <c r="A93" s="286">
        <v>218</v>
      </c>
      <c r="B93" s="287" t="s">
        <v>1047</v>
      </c>
      <c r="C93" s="288" t="s">
        <v>1306</v>
      </c>
      <c r="D93" s="288" t="s">
        <v>111</v>
      </c>
      <c r="E93" s="288" t="s">
        <v>114</v>
      </c>
      <c r="F93" s="288" t="s">
        <v>117</v>
      </c>
      <c r="G93" s="288" t="s">
        <v>1054</v>
      </c>
      <c r="H93" s="288" t="s">
        <v>114</v>
      </c>
      <c r="I93" s="289"/>
      <c r="J93" s="289">
        <v>220</v>
      </c>
      <c r="K93" s="288" t="s">
        <v>1055</v>
      </c>
      <c r="L93" s="96">
        <f>I93+J93*EERR!$D$2</f>
        <v>170836.6</v>
      </c>
      <c r="M93" s="96">
        <f>L93/EERR!$D$2</f>
        <v>220.00000000000003</v>
      </c>
      <c r="N93" s="96">
        <f>SUMIF(Nov!$B$3:$B$116,A93,Nov!$V$3:$V$116)</f>
        <v>0</v>
      </c>
      <c r="O93" s="166">
        <f t="shared" si="3"/>
        <v>1</v>
      </c>
    </row>
    <row r="94" spans="1:15" x14ac:dyDescent="0.25">
      <c r="A94" s="286">
        <v>219</v>
      </c>
      <c r="B94" s="287" t="s">
        <v>1047</v>
      </c>
      <c r="C94" s="288" t="s">
        <v>1305</v>
      </c>
      <c r="D94" s="288" t="s">
        <v>111</v>
      </c>
      <c r="E94" s="288" t="s">
        <v>114</v>
      </c>
      <c r="F94" s="288" t="s">
        <v>116</v>
      </c>
      <c r="G94" s="288" t="s">
        <v>1063</v>
      </c>
      <c r="H94" s="288" t="s">
        <v>114</v>
      </c>
      <c r="I94" s="289"/>
      <c r="J94" s="289">
        <v>230</v>
      </c>
      <c r="K94" s="288" t="s">
        <v>1064</v>
      </c>
      <c r="L94" s="96">
        <f>I94+J94*EERR!$D$2</f>
        <v>178601.9</v>
      </c>
      <c r="M94" s="96">
        <f>L94/EERR!$D$2</f>
        <v>230</v>
      </c>
      <c r="N94" s="96">
        <f>SUMIF(Nov!$B$3:$B$116,A94,Nov!$V$3:$V$116)</f>
        <v>0</v>
      </c>
      <c r="O94" s="166">
        <f t="shared" si="3"/>
        <v>1</v>
      </c>
    </row>
    <row r="95" spans="1:15" x14ac:dyDescent="0.25">
      <c r="A95" s="286">
        <v>220</v>
      </c>
      <c r="B95" s="287" t="s">
        <v>1047</v>
      </c>
      <c r="C95" s="288" t="s">
        <v>1304</v>
      </c>
      <c r="D95" s="288" t="s">
        <v>111</v>
      </c>
      <c r="E95" s="288" t="s">
        <v>115</v>
      </c>
      <c r="F95" s="288" t="s">
        <v>117</v>
      </c>
      <c r="G95" s="288" t="s">
        <v>1048</v>
      </c>
      <c r="H95" s="288" t="s">
        <v>115</v>
      </c>
      <c r="I95" s="289">
        <v>187554</v>
      </c>
      <c r="J95" s="289"/>
      <c r="K95" s="288" t="s">
        <v>1049</v>
      </c>
      <c r="L95" s="96">
        <f>I95+J95*EERR!$D$2</f>
        <v>187554</v>
      </c>
      <c r="M95" s="96">
        <f>L95/EERR!$D$2</f>
        <v>241.52833760447118</v>
      </c>
      <c r="N95" s="96">
        <f>SUMIF(Nov!$B$3:$B$116,A95,Nov!$V$3:$V$116)</f>
        <v>0</v>
      </c>
      <c r="O95" s="166">
        <f t="shared" si="3"/>
        <v>1</v>
      </c>
    </row>
    <row r="96" spans="1:15" x14ac:dyDescent="0.25">
      <c r="A96" s="286">
        <v>221</v>
      </c>
      <c r="B96" s="287" t="s">
        <v>1047</v>
      </c>
      <c r="C96" s="288" t="s">
        <v>1312</v>
      </c>
      <c r="D96" s="288" t="s">
        <v>111</v>
      </c>
      <c r="E96" s="288" t="s">
        <v>114</v>
      </c>
      <c r="F96" s="288" t="s">
        <v>113</v>
      </c>
      <c r="G96" s="288" t="s">
        <v>1050</v>
      </c>
      <c r="H96" s="288" t="s">
        <v>114</v>
      </c>
      <c r="I96" s="289"/>
      <c r="J96" s="289">
        <v>220</v>
      </c>
      <c r="K96" s="288" t="s">
        <v>1051</v>
      </c>
      <c r="L96" s="96">
        <f>I96+J96*EERR!$D$2</f>
        <v>170836.6</v>
      </c>
      <c r="M96" s="96">
        <f>L96/EERR!$D$2</f>
        <v>220.00000000000003</v>
      </c>
      <c r="N96" s="96">
        <f>SUMIF(Nov!$B$3:$B$116,A96,Nov!$V$3:$V$116)</f>
        <v>0</v>
      </c>
      <c r="O96" s="166">
        <f t="shared" si="3"/>
        <v>1</v>
      </c>
    </row>
    <row r="97" spans="1:15" x14ac:dyDescent="0.25">
      <c r="A97" s="286">
        <v>222</v>
      </c>
      <c r="B97" s="287" t="s">
        <v>1047</v>
      </c>
      <c r="C97" s="288" t="s">
        <v>1309</v>
      </c>
      <c r="D97" s="288" t="s">
        <v>111</v>
      </c>
      <c r="E97" s="288" t="s">
        <v>114</v>
      </c>
      <c r="F97" s="288" t="s">
        <v>117</v>
      </c>
      <c r="G97" s="288" t="s">
        <v>1058</v>
      </c>
      <c r="H97" s="288" t="s">
        <v>114</v>
      </c>
      <c r="I97" s="289"/>
      <c r="J97" s="289">
        <v>1100</v>
      </c>
      <c r="K97" s="288" t="s">
        <v>1059</v>
      </c>
      <c r="L97" s="96">
        <f>I97+J97*EERR!$D$2</f>
        <v>854183</v>
      </c>
      <c r="M97" s="96">
        <f>L97/EERR!$D$2</f>
        <v>1100</v>
      </c>
      <c r="N97" s="96">
        <f>SUMIF(Nov!$B$3:$B$116,A97,Nov!$V$3:$V$116)</f>
        <v>0</v>
      </c>
      <c r="O97" s="166">
        <f t="shared" si="3"/>
        <v>1</v>
      </c>
    </row>
    <row r="98" spans="1:15" x14ac:dyDescent="0.25">
      <c r="A98" s="286">
        <v>223</v>
      </c>
      <c r="B98" s="287" t="s">
        <v>1047</v>
      </c>
      <c r="C98" s="288" t="s">
        <v>1310</v>
      </c>
      <c r="D98" s="288" t="s">
        <v>111</v>
      </c>
      <c r="E98" s="288" t="s">
        <v>114</v>
      </c>
      <c r="F98" s="288" t="s">
        <v>116</v>
      </c>
      <c r="G98" s="288" t="s">
        <v>1056</v>
      </c>
      <c r="H98" s="288" t="s">
        <v>114</v>
      </c>
      <c r="I98" s="289"/>
      <c r="J98" s="289">
        <v>836</v>
      </c>
      <c r="K98" s="288" t="s">
        <v>1057</v>
      </c>
      <c r="L98" s="96">
        <f>I98+J98*EERR!$D$2</f>
        <v>649179.07999999996</v>
      </c>
      <c r="M98" s="96">
        <f>L98/EERR!$D$2</f>
        <v>836</v>
      </c>
      <c r="N98" s="96">
        <f>SUMIF(Nov!$B$3:$B$116,A98,Nov!$V$3:$V$116)</f>
        <v>0</v>
      </c>
      <c r="O98" s="166">
        <f t="shared" si="3"/>
        <v>1</v>
      </c>
    </row>
    <row r="99" spans="1:15" x14ac:dyDescent="0.25">
      <c r="A99" s="286">
        <v>224</v>
      </c>
      <c r="B99" s="287" t="s">
        <v>1047</v>
      </c>
      <c r="C99" s="288" t="s">
        <v>1313</v>
      </c>
      <c r="D99" s="288" t="s">
        <v>111</v>
      </c>
      <c r="E99" s="288" t="s">
        <v>114</v>
      </c>
      <c r="F99" s="288" t="s">
        <v>113</v>
      </c>
      <c r="G99" s="288" t="s">
        <v>1052</v>
      </c>
      <c r="H99" s="288" t="s">
        <v>114</v>
      </c>
      <c r="I99" s="289"/>
      <c r="J99" s="289">
        <v>1100</v>
      </c>
      <c r="K99" s="288" t="s">
        <v>1053</v>
      </c>
      <c r="L99" s="96">
        <f>I99+J99*EERR!$D$2</f>
        <v>854183</v>
      </c>
      <c r="M99" s="96">
        <f>L99/EERR!$D$2</f>
        <v>1100</v>
      </c>
      <c r="N99" s="96">
        <f>SUMIF(Nov!$B$3:$B$116,A99,Nov!$V$3:$V$116)</f>
        <v>0</v>
      </c>
      <c r="O99" s="166">
        <f t="shared" si="3"/>
        <v>1</v>
      </c>
    </row>
    <row r="100" spans="1:15" x14ac:dyDescent="0.25">
      <c r="A100" s="286">
        <v>225</v>
      </c>
      <c r="B100" s="287" t="s">
        <v>1047</v>
      </c>
      <c r="C100" s="288" t="s">
        <v>1311</v>
      </c>
      <c r="D100" s="288" t="s">
        <v>111</v>
      </c>
      <c r="E100" s="288" t="s">
        <v>114</v>
      </c>
      <c r="F100" s="288" t="s">
        <v>116</v>
      </c>
      <c r="G100" s="288" t="s">
        <v>685</v>
      </c>
      <c r="H100" s="288" t="s">
        <v>114</v>
      </c>
      <c r="I100" s="289"/>
      <c r="J100" s="289">
        <v>660</v>
      </c>
      <c r="K100" s="288" t="s">
        <v>1065</v>
      </c>
      <c r="L100" s="96">
        <f>I100+J100*EERR!$D$2</f>
        <v>512509.8</v>
      </c>
      <c r="M100" s="96">
        <f>L100/EERR!$D$2</f>
        <v>660</v>
      </c>
      <c r="N100" s="96">
        <f>SUMIF(Nov!$B$3:$B$116,A100,Nov!$V$3:$V$116)</f>
        <v>0</v>
      </c>
      <c r="O100" s="166">
        <f t="shared" si="3"/>
        <v>1</v>
      </c>
    </row>
    <row r="101" spans="1:15" x14ac:dyDescent="0.25">
      <c r="A101" s="286">
        <v>226</v>
      </c>
      <c r="B101" s="287" t="s">
        <v>1047</v>
      </c>
      <c r="C101" s="288" t="s">
        <v>1307</v>
      </c>
      <c r="D101" s="288" t="s">
        <v>111</v>
      </c>
      <c r="E101" s="288" t="s">
        <v>114</v>
      </c>
      <c r="F101" s="288" t="s">
        <v>117</v>
      </c>
      <c r="G101" s="288" t="s">
        <v>1061</v>
      </c>
      <c r="H101" s="288" t="s">
        <v>114</v>
      </c>
      <c r="I101" s="289"/>
      <c r="J101" s="289">
        <v>198</v>
      </c>
      <c r="K101" s="288" t="s">
        <v>1062</v>
      </c>
      <c r="L101" s="96">
        <f>I101+J101*EERR!$D$2</f>
        <v>153752.94</v>
      </c>
      <c r="M101" s="96">
        <f>L101/EERR!$D$2</f>
        <v>198</v>
      </c>
      <c r="N101" s="96">
        <f>SUMIF(Nov!$B$3:$B$116,A101,Nov!$V$3:$V$116)</f>
        <v>0</v>
      </c>
      <c r="O101" s="166">
        <f t="shared" si="3"/>
        <v>1</v>
      </c>
    </row>
    <row r="102" spans="1:15" x14ac:dyDescent="0.25">
      <c r="A102" s="286">
        <v>227</v>
      </c>
      <c r="B102" s="287" t="s">
        <v>1066</v>
      </c>
      <c r="C102" s="288" t="s">
        <v>1316</v>
      </c>
      <c r="D102" s="288" t="s">
        <v>111</v>
      </c>
      <c r="E102" s="288" t="s">
        <v>114</v>
      </c>
      <c r="F102" s="288" t="s">
        <v>117</v>
      </c>
      <c r="G102" s="288" t="s">
        <v>1067</v>
      </c>
      <c r="H102" s="288" t="s">
        <v>114</v>
      </c>
      <c r="I102" s="289"/>
      <c r="J102" s="289">
        <v>250</v>
      </c>
      <c r="K102" s="288" t="s">
        <v>1068</v>
      </c>
      <c r="L102" s="96">
        <f>I102+J102*EERR!$D$2</f>
        <v>194132.5</v>
      </c>
      <c r="M102" s="96">
        <f>L102/EERR!$D$2</f>
        <v>250</v>
      </c>
      <c r="N102" s="96">
        <f>SUMIF(Nov!$B$3:$B$116,A102,Nov!$V$3:$V$116)</f>
        <v>0</v>
      </c>
      <c r="O102" s="166">
        <f t="shared" si="3"/>
        <v>1</v>
      </c>
    </row>
    <row r="103" spans="1:15" x14ac:dyDescent="0.25">
      <c r="A103" s="286">
        <v>228</v>
      </c>
      <c r="B103" s="287" t="s">
        <v>1066</v>
      </c>
      <c r="C103" s="288" t="s">
        <v>1314</v>
      </c>
      <c r="D103" s="288" t="s">
        <v>111</v>
      </c>
      <c r="E103" s="288" t="s">
        <v>114</v>
      </c>
      <c r="F103" s="288" t="s">
        <v>117</v>
      </c>
      <c r="G103" s="288" t="s">
        <v>1071</v>
      </c>
      <c r="H103" s="288" t="s">
        <v>114</v>
      </c>
      <c r="I103" s="289"/>
      <c r="J103" s="289">
        <v>250</v>
      </c>
      <c r="K103" s="288" t="s">
        <v>1072</v>
      </c>
      <c r="L103" s="96">
        <f>I103+J103*EERR!$D$2</f>
        <v>194132.5</v>
      </c>
      <c r="M103" s="96">
        <f>L103/EERR!$D$2</f>
        <v>250</v>
      </c>
      <c r="N103" s="96">
        <f>SUMIF(Nov!$B$3:$B$116,A103,Nov!$V$3:$V$116)</f>
        <v>0</v>
      </c>
      <c r="O103" s="166">
        <f t="shared" si="3"/>
        <v>1</v>
      </c>
    </row>
    <row r="104" spans="1:15" x14ac:dyDescent="0.25">
      <c r="A104" s="286">
        <v>229</v>
      </c>
      <c r="B104" s="287" t="s">
        <v>1066</v>
      </c>
      <c r="C104" s="288" t="s">
        <v>1317</v>
      </c>
      <c r="D104" s="288" t="s">
        <v>111</v>
      </c>
      <c r="E104" s="288" t="s">
        <v>114</v>
      </c>
      <c r="F104" s="288" t="s">
        <v>117</v>
      </c>
      <c r="G104" s="288" t="s">
        <v>1069</v>
      </c>
      <c r="H104" s="288" t="s">
        <v>114</v>
      </c>
      <c r="I104" s="289"/>
      <c r="J104" s="289">
        <v>220</v>
      </c>
      <c r="K104" s="288" t="s">
        <v>1070</v>
      </c>
      <c r="L104" s="96">
        <f>I104+J104*EERR!$D$2</f>
        <v>170836.6</v>
      </c>
      <c r="M104" s="96">
        <f>L104/EERR!$D$2</f>
        <v>220.00000000000003</v>
      </c>
      <c r="N104" s="96">
        <f>SUMIF(Nov!$B$3:$B$116,A104,Nov!$V$3:$V$116)</f>
        <v>512509.8</v>
      </c>
      <c r="O104" s="166">
        <f t="shared" si="3"/>
        <v>1</v>
      </c>
    </row>
    <row r="105" spans="1:15" x14ac:dyDescent="0.25">
      <c r="A105" s="286">
        <v>230</v>
      </c>
      <c r="B105" s="287" t="s">
        <v>1066</v>
      </c>
      <c r="C105" s="288" t="s">
        <v>1315</v>
      </c>
      <c r="D105" s="288" t="s">
        <v>111</v>
      </c>
      <c r="E105" s="288" t="s">
        <v>114</v>
      </c>
      <c r="F105" s="288" t="s">
        <v>117</v>
      </c>
      <c r="G105" s="288" t="s">
        <v>1073</v>
      </c>
      <c r="H105" s="288" t="s">
        <v>114</v>
      </c>
      <c r="I105" s="289"/>
      <c r="J105" s="289">
        <v>198</v>
      </c>
      <c r="K105" s="288" t="s">
        <v>1074</v>
      </c>
      <c r="L105" s="96">
        <f>I105+J105*EERR!$D$2</f>
        <v>153752.94</v>
      </c>
      <c r="M105" s="96">
        <f>L105/EERR!$D$2</f>
        <v>198</v>
      </c>
      <c r="N105" s="96">
        <f>SUMIF(Nov!$B$3:$B$116,A105,Nov!$V$3:$V$116)</f>
        <v>0</v>
      </c>
      <c r="O105" s="166">
        <f t="shared" si="3"/>
        <v>1</v>
      </c>
    </row>
    <row r="106" spans="1:15" x14ac:dyDescent="0.25">
      <c r="A106" s="286">
        <v>231</v>
      </c>
      <c r="B106" s="287" t="s">
        <v>1075</v>
      </c>
      <c r="C106" s="288" t="s">
        <v>1328</v>
      </c>
      <c r="D106" s="288" t="s">
        <v>111</v>
      </c>
      <c r="E106" s="288" t="s">
        <v>114</v>
      </c>
      <c r="F106" s="288" t="s">
        <v>117</v>
      </c>
      <c r="G106" s="288" t="s">
        <v>691</v>
      </c>
      <c r="H106" s="288" t="s">
        <v>114</v>
      </c>
      <c r="I106" s="289"/>
      <c r="J106" s="289">
        <v>220</v>
      </c>
      <c r="K106" s="288" t="s">
        <v>1329</v>
      </c>
      <c r="L106" s="96">
        <f>I106+J106*EERR!$D$2</f>
        <v>170836.6</v>
      </c>
      <c r="M106" s="96">
        <f>L106/EERR!$D$2</f>
        <v>220.00000000000003</v>
      </c>
      <c r="N106" s="96">
        <f>SUMIF(Nov!$B$3:$B$116,A106,Nov!$V$3:$V$116)</f>
        <v>0</v>
      </c>
      <c r="O106" s="166">
        <f t="shared" si="3"/>
        <v>1</v>
      </c>
    </row>
    <row r="107" spans="1:15" x14ac:dyDescent="0.25">
      <c r="A107" s="286">
        <v>232</v>
      </c>
      <c r="B107" s="287" t="s">
        <v>1075</v>
      </c>
      <c r="C107" s="288" t="s">
        <v>1319</v>
      </c>
      <c r="D107" s="288" t="s">
        <v>111</v>
      </c>
      <c r="E107" s="288" t="s">
        <v>114</v>
      </c>
      <c r="F107" s="288" t="s">
        <v>116</v>
      </c>
      <c r="G107" s="288" t="s">
        <v>1320</v>
      </c>
      <c r="H107" s="288" t="s">
        <v>114</v>
      </c>
      <c r="I107" s="289"/>
      <c r="J107" s="289">
        <v>237.5</v>
      </c>
      <c r="K107" s="288" t="s">
        <v>1321</v>
      </c>
      <c r="L107" s="96">
        <f>I107+J107*EERR!$D$2</f>
        <v>184425.875</v>
      </c>
      <c r="M107" s="96">
        <f>L107/EERR!$D$2</f>
        <v>237.5</v>
      </c>
      <c r="N107" s="96">
        <f>SUMIF(Nov!$B$3:$B$116,A107,Nov!$V$3:$V$116)</f>
        <v>0</v>
      </c>
      <c r="O107" s="166">
        <f t="shared" si="3"/>
        <v>1</v>
      </c>
    </row>
    <row r="108" spans="1:15" x14ac:dyDescent="0.25">
      <c r="A108" s="286">
        <v>233</v>
      </c>
      <c r="B108" s="287" t="s">
        <v>1075</v>
      </c>
      <c r="C108" s="288" t="s">
        <v>1322</v>
      </c>
      <c r="D108" s="288" t="s">
        <v>111</v>
      </c>
      <c r="E108" s="288" t="s">
        <v>114</v>
      </c>
      <c r="F108" s="288" t="s">
        <v>117</v>
      </c>
      <c r="G108" s="288" t="s">
        <v>1323</v>
      </c>
      <c r="H108" s="288" t="s">
        <v>114</v>
      </c>
      <c r="I108" s="289"/>
      <c r="J108" s="289">
        <v>198</v>
      </c>
      <c r="K108" s="288" t="s">
        <v>1324</v>
      </c>
      <c r="L108" s="96">
        <f>I108+J108*EERR!$D$2</f>
        <v>153752.94</v>
      </c>
      <c r="M108" s="96">
        <f>L108/EERR!$D$2</f>
        <v>198</v>
      </c>
      <c r="N108" s="96">
        <f>SUMIF(Nov!$B$3:$B$116,A108,Nov!$V$3:$V$116)</f>
        <v>0</v>
      </c>
      <c r="O108" s="166">
        <f t="shared" si="3"/>
        <v>1</v>
      </c>
    </row>
    <row r="109" spans="1:15" x14ac:dyDescent="0.25">
      <c r="A109" s="286">
        <v>234</v>
      </c>
      <c r="B109" s="287" t="s">
        <v>1075</v>
      </c>
      <c r="C109" s="288" t="s">
        <v>1325</v>
      </c>
      <c r="D109" s="288" t="s">
        <v>111</v>
      </c>
      <c r="E109" s="288" t="s">
        <v>114</v>
      </c>
      <c r="F109" s="288" t="s">
        <v>117</v>
      </c>
      <c r="G109" s="288" t="s">
        <v>1326</v>
      </c>
      <c r="H109" s="288" t="s">
        <v>114</v>
      </c>
      <c r="I109" s="289"/>
      <c r="J109" s="289">
        <v>178.2</v>
      </c>
      <c r="K109" s="288" t="s">
        <v>1327</v>
      </c>
      <c r="L109" s="96">
        <f>I109+J109*EERR!$D$2</f>
        <v>138377.64599999998</v>
      </c>
      <c r="M109" s="96">
        <f>L109/EERR!$D$2</f>
        <v>178.2</v>
      </c>
      <c r="N109" s="96">
        <f>SUMIF(Nov!$B$3:$B$116,A109,Nov!$V$3:$V$116)</f>
        <v>0</v>
      </c>
      <c r="O109" s="166">
        <f t="shared" si="3"/>
        <v>1</v>
      </c>
    </row>
    <row r="110" spans="1:15" x14ac:dyDescent="0.25">
      <c r="A110" s="286">
        <v>235</v>
      </c>
      <c r="B110" s="287" t="s">
        <v>1075</v>
      </c>
      <c r="C110" s="288" t="s">
        <v>1318</v>
      </c>
      <c r="D110" s="288" t="s">
        <v>111</v>
      </c>
      <c r="E110" s="288" t="s">
        <v>115</v>
      </c>
      <c r="F110" s="288" t="s">
        <v>117</v>
      </c>
      <c r="G110" s="288" t="s">
        <v>1038</v>
      </c>
      <c r="H110" s="288" t="s">
        <v>115</v>
      </c>
      <c r="I110" s="289">
        <v>6000</v>
      </c>
      <c r="J110" s="289"/>
      <c r="K110" s="288" t="s">
        <v>1076</v>
      </c>
      <c r="L110" s="96">
        <f>I110+J110*EERR!$D$2</f>
        <v>6000</v>
      </c>
      <c r="M110" s="96">
        <f>L110/EERR!$D$2</f>
        <v>7.7266815190655871</v>
      </c>
      <c r="N110" s="96">
        <f>SUMIF(Nov!$B$3:$B$116,A110,Nov!$V$3:$V$116)</f>
        <v>0</v>
      </c>
      <c r="O110" s="166">
        <f t="shared" si="3"/>
        <v>1</v>
      </c>
    </row>
    <row r="111" spans="1:15" x14ac:dyDescent="0.25">
      <c r="A111" s="286">
        <v>236</v>
      </c>
      <c r="B111" s="287" t="s">
        <v>1330</v>
      </c>
      <c r="C111" s="288" t="s">
        <v>1334</v>
      </c>
      <c r="D111" s="288" t="s">
        <v>111</v>
      </c>
      <c r="E111" s="288" t="s">
        <v>114</v>
      </c>
      <c r="F111" s="288" t="s">
        <v>117</v>
      </c>
      <c r="G111" s="288" t="s">
        <v>1036</v>
      </c>
      <c r="H111" s="288" t="s">
        <v>114</v>
      </c>
      <c r="I111" s="289"/>
      <c r="J111" s="289">
        <v>396</v>
      </c>
      <c r="K111" s="288" t="s">
        <v>1335</v>
      </c>
      <c r="L111" s="96">
        <f>I111+J111*EERR!$D$2</f>
        <v>307505.88</v>
      </c>
      <c r="M111" s="96">
        <f>L111/EERR!$D$2</f>
        <v>396</v>
      </c>
      <c r="N111" s="96">
        <f>SUMIF(Nov!$B$3:$B$116,A111,Nov!$V$3:$V$116)</f>
        <v>0</v>
      </c>
      <c r="O111" s="166">
        <f t="shared" si="3"/>
        <v>1</v>
      </c>
    </row>
    <row r="112" spans="1:15" x14ac:dyDescent="0.25">
      <c r="A112" s="286">
        <v>237</v>
      </c>
      <c r="B112" s="287" t="s">
        <v>1330</v>
      </c>
      <c r="C112" s="288" t="s">
        <v>1331</v>
      </c>
      <c r="D112" s="288" t="s">
        <v>111</v>
      </c>
      <c r="E112" s="288" t="s">
        <v>114</v>
      </c>
      <c r="F112" s="288" t="s">
        <v>113</v>
      </c>
      <c r="G112" s="288" t="s">
        <v>1332</v>
      </c>
      <c r="H112" s="288" t="s">
        <v>114</v>
      </c>
      <c r="I112" s="289"/>
      <c r="J112" s="289">
        <v>237.5</v>
      </c>
      <c r="K112" s="288" t="s">
        <v>1333</v>
      </c>
      <c r="L112" s="96">
        <f>I112+J112*EERR!$D$2</f>
        <v>184425.875</v>
      </c>
      <c r="M112" s="96">
        <f>L112/EERR!$D$2</f>
        <v>237.5</v>
      </c>
      <c r="N112" s="96">
        <f>SUMIF(Nov!$B$3:$B$116,A112,Nov!$V$3:$V$116)</f>
        <v>0</v>
      </c>
      <c r="O112" s="166">
        <f t="shared" si="3"/>
        <v>1</v>
      </c>
    </row>
    <row r="113" spans="1:15" x14ac:dyDescent="0.25">
      <c r="A113" s="286">
        <v>238</v>
      </c>
      <c r="B113" s="287" t="s">
        <v>1077</v>
      </c>
      <c r="C113" s="288" t="s">
        <v>1336</v>
      </c>
      <c r="D113" s="288" t="s">
        <v>111</v>
      </c>
      <c r="E113" s="288" t="s">
        <v>318</v>
      </c>
      <c r="F113" s="288" t="s">
        <v>117</v>
      </c>
      <c r="G113" s="288" t="s">
        <v>713</v>
      </c>
      <c r="H113" s="288" t="s">
        <v>318</v>
      </c>
      <c r="I113" s="289">
        <v>422021</v>
      </c>
      <c r="J113" s="289"/>
      <c r="K113" s="288" t="s">
        <v>1078</v>
      </c>
      <c r="L113" s="96">
        <f>I113+J113*EERR!$D$2</f>
        <v>422021</v>
      </c>
      <c r="M113" s="96">
        <f>L113/EERR!$D$2</f>
        <v>543.470310226263</v>
      </c>
      <c r="N113" s="96">
        <f>SUMIF(Nov!$B$3:$B$116,A113,Nov!$V$3:$V$116)</f>
        <v>0</v>
      </c>
      <c r="O113" s="166">
        <f t="shared" si="3"/>
        <v>1</v>
      </c>
    </row>
    <row r="114" spans="1:15" x14ac:dyDescent="0.25">
      <c r="A114" s="286">
        <v>239</v>
      </c>
      <c r="B114" s="287" t="s">
        <v>1077</v>
      </c>
      <c r="C114" s="288" t="s">
        <v>1337</v>
      </c>
      <c r="D114" s="288" t="s">
        <v>111</v>
      </c>
      <c r="E114" s="288" t="s">
        <v>114</v>
      </c>
      <c r="F114" s="288" t="s">
        <v>113</v>
      </c>
      <c r="G114" s="288" t="s">
        <v>1338</v>
      </c>
      <c r="H114" s="288" t="s">
        <v>114</v>
      </c>
      <c r="I114" s="289"/>
      <c r="J114" s="289">
        <v>500</v>
      </c>
      <c r="K114" s="288" t="s">
        <v>1339</v>
      </c>
      <c r="L114" s="96">
        <f>I114+J114*EERR!$D$2</f>
        <v>388265</v>
      </c>
      <c r="M114" s="96">
        <f>L114/EERR!$D$2</f>
        <v>500</v>
      </c>
      <c r="N114" s="96">
        <f>SUMIF(Nov!$B$3:$B$116,A114,Nov!$V$3:$V$116)</f>
        <v>0</v>
      </c>
      <c r="O114" s="166">
        <f t="shared" si="3"/>
        <v>1</v>
      </c>
    </row>
    <row r="115" spans="1:15" x14ac:dyDescent="0.25">
      <c r="A115" s="286">
        <v>240</v>
      </c>
      <c r="B115" s="287" t="s">
        <v>1077</v>
      </c>
      <c r="C115" s="288" t="s">
        <v>1344</v>
      </c>
      <c r="D115" s="288" t="s">
        <v>111</v>
      </c>
      <c r="E115" s="288" t="s">
        <v>114</v>
      </c>
      <c r="F115" s="288" t="s">
        <v>117</v>
      </c>
      <c r="G115" s="288" t="s">
        <v>1345</v>
      </c>
      <c r="H115" s="288" t="s">
        <v>114</v>
      </c>
      <c r="I115" s="289"/>
      <c r="J115" s="289">
        <v>178.2</v>
      </c>
      <c r="K115" s="288" t="s">
        <v>1346</v>
      </c>
      <c r="L115" s="96">
        <f>I115+J115*EERR!$D$2</f>
        <v>138377.64599999998</v>
      </c>
      <c r="M115" s="96">
        <f>L115/EERR!$D$2</f>
        <v>178.2</v>
      </c>
      <c r="N115" s="96">
        <f>SUMIF(Nov!$B$3:$B$116,A115,Nov!$V$3:$V$116)</f>
        <v>0</v>
      </c>
      <c r="O115" s="166">
        <f t="shared" si="3"/>
        <v>1</v>
      </c>
    </row>
    <row r="116" spans="1:15" x14ac:dyDescent="0.25">
      <c r="A116" s="286">
        <v>241</v>
      </c>
      <c r="B116" s="287" t="s">
        <v>1077</v>
      </c>
      <c r="C116" s="288" t="s">
        <v>1340</v>
      </c>
      <c r="D116" s="288" t="s">
        <v>111</v>
      </c>
      <c r="E116" s="288" t="s">
        <v>114</v>
      </c>
      <c r="F116" s="288" t="s">
        <v>117</v>
      </c>
      <c r="G116" s="288" t="s">
        <v>1094</v>
      </c>
      <c r="H116" s="288" t="s">
        <v>114</v>
      </c>
      <c r="I116" s="289"/>
      <c r="J116" s="289">
        <v>220</v>
      </c>
      <c r="K116" s="288" t="s">
        <v>1341</v>
      </c>
      <c r="L116" s="96">
        <f>I116+J116*EERR!$D$2</f>
        <v>170836.6</v>
      </c>
      <c r="M116" s="96">
        <f>L116/EERR!$D$2</f>
        <v>220.00000000000003</v>
      </c>
      <c r="N116" s="96">
        <f>SUMIF(Nov!$B$3:$B$116,A116,Nov!$V$3:$V$116)</f>
        <v>324589.53999999998</v>
      </c>
      <c r="O116" s="166">
        <f t="shared" si="3"/>
        <v>1</v>
      </c>
    </row>
    <row r="117" spans="1:15" x14ac:dyDescent="0.25">
      <c r="A117" s="286">
        <v>242</v>
      </c>
      <c r="B117" s="287" t="s">
        <v>1077</v>
      </c>
      <c r="C117" s="288" t="s">
        <v>1342</v>
      </c>
      <c r="D117" s="288" t="s">
        <v>111</v>
      </c>
      <c r="E117" s="288" t="s">
        <v>114</v>
      </c>
      <c r="F117" s="288" t="s">
        <v>117</v>
      </c>
      <c r="G117" s="288" t="s">
        <v>1069</v>
      </c>
      <c r="H117" s="288" t="s">
        <v>114</v>
      </c>
      <c r="I117" s="289"/>
      <c r="J117" s="289">
        <v>440</v>
      </c>
      <c r="K117" s="288" t="s">
        <v>1343</v>
      </c>
      <c r="L117" s="96">
        <f>I117+J117*EERR!$D$2</f>
        <v>341673.2</v>
      </c>
      <c r="M117" s="96">
        <f>L117/EERR!$D$2</f>
        <v>440.00000000000006</v>
      </c>
      <c r="N117" s="96">
        <f>SUMIF(Nov!$B$3:$B$116,A117,Nov!$V$3:$V$116)</f>
        <v>0</v>
      </c>
      <c r="O117" s="166">
        <f t="shared" si="3"/>
        <v>1</v>
      </c>
    </row>
    <row r="118" spans="1:15" x14ac:dyDescent="0.25">
      <c r="A118" s="286">
        <v>243</v>
      </c>
      <c r="B118" s="287" t="s">
        <v>1077</v>
      </c>
      <c r="C118" s="288" t="s">
        <v>1347</v>
      </c>
      <c r="D118" s="288" t="s">
        <v>111</v>
      </c>
      <c r="E118" s="288" t="s">
        <v>114</v>
      </c>
      <c r="F118" s="288" t="s">
        <v>117</v>
      </c>
      <c r="G118" s="288" t="s">
        <v>1348</v>
      </c>
      <c r="H118" s="288" t="s">
        <v>114</v>
      </c>
      <c r="I118" s="289"/>
      <c r="J118" s="289">
        <v>250</v>
      </c>
      <c r="K118" s="288" t="s">
        <v>1349</v>
      </c>
      <c r="L118" s="96">
        <f>I118+J118*EERR!$D$2</f>
        <v>194132.5</v>
      </c>
      <c r="M118" s="96">
        <f>L118/EERR!$D$2</f>
        <v>250</v>
      </c>
      <c r="N118" s="96">
        <f>SUMIF(Nov!$B$3:$B$116,A118,Nov!$V$3:$V$116)</f>
        <v>0</v>
      </c>
      <c r="O118" s="166">
        <f t="shared" si="3"/>
        <v>1</v>
      </c>
    </row>
    <row r="119" spans="1:15" x14ac:dyDescent="0.25">
      <c r="A119" s="286">
        <v>244</v>
      </c>
      <c r="B119" s="287" t="s">
        <v>1079</v>
      </c>
      <c r="C119" s="288" t="s">
        <v>1350</v>
      </c>
      <c r="D119" s="288" t="s">
        <v>111</v>
      </c>
      <c r="E119" s="288" t="s">
        <v>115</v>
      </c>
      <c r="F119" s="288" t="s">
        <v>113</v>
      </c>
      <c r="G119" s="288" t="s">
        <v>674</v>
      </c>
      <c r="H119" s="288" t="s">
        <v>115</v>
      </c>
      <c r="I119" s="289">
        <v>6000</v>
      </c>
      <c r="J119" s="289"/>
      <c r="K119" s="288" t="s">
        <v>319</v>
      </c>
      <c r="L119" s="96">
        <f>I119+J119*EERR!$D$2</f>
        <v>6000</v>
      </c>
      <c r="M119" s="96">
        <f>L119/EERR!$D$2</f>
        <v>7.7266815190655871</v>
      </c>
      <c r="N119" s="96">
        <f>SUMIF(Nov!$B$3:$B$116,A119,Nov!$V$3:$V$116)</f>
        <v>0</v>
      </c>
      <c r="O119" s="166">
        <f t="shared" si="3"/>
        <v>1</v>
      </c>
    </row>
    <row r="120" spans="1:15" x14ac:dyDescent="0.25">
      <c r="A120" s="286">
        <v>245</v>
      </c>
      <c r="B120" s="287" t="s">
        <v>1079</v>
      </c>
      <c r="C120" s="288" t="s">
        <v>1359</v>
      </c>
      <c r="D120" s="288" t="s">
        <v>111</v>
      </c>
      <c r="E120" s="288" t="s">
        <v>114</v>
      </c>
      <c r="F120" s="288" t="s">
        <v>113</v>
      </c>
      <c r="G120" s="288" t="s">
        <v>1360</v>
      </c>
      <c r="H120" s="288" t="s">
        <v>114</v>
      </c>
      <c r="I120" s="289"/>
      <c r="J120" s="289">
        <v>250</v>
      </c>
      <c r="K120" s="288">
        <v>46</v>
      </c>
      <c r="L120" s="96">
        <f>I120+J120*EERR!$D$2</f>
        <v>194132.5</v>
      </c>
      <c r="M120" s="96">
        <f>L120/EERR!$D$2</f>
        <v>250</v>
      </c>
      <c r="N120" s="96">
        <f>SUMIF(Nov!$B$3:$B$116,A120,Nov!$V$3:$V$116)</f>
        <v>0</v>
      </c>
      <c r="O120" s="166">
        <f t="shared" si="3"/>
        <v>1</v>
      </c>
    </row>
    <row r="121" spans="1:15" x14ac:dyDescent="0.25">
      <c r="A121" s="286">
        <v>246</v>
      </c>
      <c r="B121" s="287" t="s">
        <v>1079</v>
      </c>
      <c r="C121" s="288" t="s">
        <v>1352</v>
      </c>
      <c r="D121" s="288" t="s">
        <v>111</v>
      </c>
      <c r="E121" s="288" t="s">
        <v>114</v>
      </c>
      <c r="F121" s="288" t="s">
        <v>117</v>
      </c>
      <c r="G121" s="288" t="s">
        <v>1353</v>
      </c>
      <c r="H121" s="288" t="s">
        <v>114</v>
      </c>
      <c r="I121" s="289"/>
      <c r="J121" s="289">
        <v>500</v>
      </c>
      <c r="K121" s="288" t="s">
        <v>1372</v>
      </c>
      <c r="L121" s="96">
        <f>I121+J121*EERR!$D$2</f>
        <v>388265</v>
      </c>
      <c r="M121" s="96">
        <f>L121/EERR!$D$2</f>
        <v>500</v>
      </c>
      <c r="N121" s="96">
        <f>SUMIF(Nov!$B$3:$B$116,A121,Nov!$V$3:$V$116)</f>
        <v>0</v>
      </c>
      <c r="O121" s="166">
        <f t="shared" si="3"/>
        <v>1</v>
      </c>
    </row>
    <row r="122" spans="1:15" x14ac:dyDescent="0.25">
      <c r="A122" s="286">
        <v>247</v>
      </c>
      <c r="B122" s="287" t="s">
        <v>1079</v>
      </c>
      <c r="C122" s="288" t="s">
        <v>1356</v>
      </c>
      <c r="D122" s="288" t="s">
        <v>111</v>
      </c>
      <c r="E122" s="288" t="s">
        <v>114</v>
      </c>
      <c r="F122" s="288" t="s">
        <v>113</v>
      </c>
      <c r="G122" s="288" t="s">
        <v>1357</v>
      </c>
      <c r="H122" s="288" t="s">
        <v>114</v>
      </c>
      <c r="I122" s="289"/>
      <c r="J122" s="289">
        <v>250</v>
      </c>
      <c r="K122" s="288">
        <v>64</v>
      </c>
      <c r="L122" s="96">
        <f>I122+J122*EERR!$D$2</f>
        <v>194132.5</v>
      </c>
      <c r="M122" s="96">
        <f>L122/EERR!$D$2</f>
        <v>250</v>
      </c>
      <c r="N122" s="96">
        <f>SUMIF(Nov!$B$3:$B$116,A122,Nov!$V$3:$V$116)</f>
        <v>0</v>
      </c>
      <c r="O122" s="166">
        <f t="shared" si="3"/>
        <v>1</v>
      </c>
    </row>
    <row r="123" spans="1:15" x14ac:dyDescent="0.25">
      <c r="A123" s="286">
        <v>248</v>
      </c>
      <c r="B123" s="287" t="s">
        <v>1079</v>
      </c>
      <c r="C123" s="288" t="s">
        <v>1354</v>
      </c>
      <c r="D123" s="288" t="s">
        <v>111</v>
      </c>
      <c r="E123" s="288" t="s">
        <v>114</v>
      </c>
      <c r="F123" s="288" t="s">
        <v>117</v>
      </c>
      <c r="G123" s="288" t="s">
        <v>1355</v>
      </c>
      <c r="H123" s="288" t="s">
        <v>114</v>
      </c>
      <c r="I123" s="289"/>
      <c r="J123" s="289">
        <v>738</v>
      </c>
      <c r="K123" s="288">
        <v>546745</v>
      </c>
      <c r="L123" s="96">
        <f>I123+J123*EERR!$D$2</f>
        <v>573079.14</v>
      </c>
      <c r="M123" s="96">
        <f>L123/EERR!$D$2</f>
        <v>738</v>
      </c>
      <c r="N123" s="96">
        <f>SUMIF(Nov!$B$3:$B$116,A123,Nov!$V$3:$V$116)</f>
        <v>0</v>
      </c>
      <c r="O123" s="166">
        <f t="shared" si="3"/>
        <v>1</v>
      </c>
    </row>
    <row r="124" spans="1:15" x14ac:dyDescent="0.25">
      <c r="A124" s="286">
        <v>249</v>
      </c>
      <c r="B124" s="287" t="s">
        <v>1079</v>
      </c>
      <c r="C124" s="288" t="s">
        <v>1358</v>
      </c>
      <c r="D124" s="288" t="s">
        <v>111</v>
      </c>
      <c r="E124" s="288" t="s">
        <v>114</v>
      </c>
      <c r="F124" s="288" t="s">
        <v>117</v>
      </c>
      <c r="G124" s="288" t="s">
        <v>922</v>
      </c>
      <c r="H124" s="288" t="s">
        <v>114</v>
      </c>
      <c r="I124" s="289"/>
      <c r="J124" s="289">
        <v>220</v>
      </c>
      <c r="K124" s="288" t="s">
        <v>1080</v>
      </c>
      <c r="L124" s="96">
        <f>I124+J124*EERR!$D$2</f>
        <v>170836.6</v>
      </c>
      <c r="M124" s="96">
        <f>L124/EERR!$D$2</f>
        <v>220.00000000000003</v>
      </c>
      <c r="N124" s="96">
        <f>SUMIF(Nov!$B$3:$B$116,A124,Nov!$V$3:$V$116)</f>
        <v>0</v>
      </c>
      <c r="O124" s="166">
        <f t="shared" si="3"/>
        <v>1</v>
      </c>
    </row>
    <row r="125" spans="1:15" x14ac:dyDescent="0.25">
      <c r="A125" s="286">
        <v>250</v>
      </c>
      <c r="B125" s="287" t="s">
        <v>1079</v>
      </c>
      <c r="C125" s="288" t="s">
        <v>1351</v>
      </c>
      <c r="D125" s="288" t="s">
        <v>111</v>
      </c>
      <c r="E125" s="288" t="s">
        <v>114</v>
      </c>
      <c r="F125" s="288" t="s">
        <v>113</v>
      </c>
      <c r="G125" s="288" t="s">
        <v>1081</v>
      </c>
      <c r="H125" s="288" t="s">
        <v>114</v>
      </c>
      <c r="I125" s="289"/>
      <c r="J125" s="289">
        <v>250</v>
      </c>
      <c r="K125" s="288" t="s">
        <v>1082</v>
      </c>
      <c r="L125" s="96">
        <f>I125+J125*EERR!$D$2</f>
        <v>194132.5</v>
      </c>
      <c r="M125" s="96">
        <f>L125/EERR!$D$2</f>
        <v>250</v>
      </c>
      <c r="N125" s="96">
        <f>SUMIF(Nov!$B$3:$B$116,A125,Nov!$V$3:$V$116)</f>
        <v>0</v>
      </c>
      <c r="O125" s="166">
        <f t="shared" si="3"/>
        <v>1</v>
      </c>
    </row>
    <row r="126" spans="1:15" x14ac:dyDescent="0.25">
      <c r="A126" s="286">
        <v>251</v>
      </c>
      <c r="B126" s="287" t="s">
        <v>1083</v>
      </c>
      <c r="C126" s="288" t="s">
        <v>1368</v>
      </c>
      <c r="D126" s="288" t="s">
        <v>111</v>
      </c>
      <c r="E126" s="288" t="s">
        <v>114</v>
      </c>
      <c r="F126" s="288" t="s">
        <v>116</v>
      </c>
      <c r="G126" s="288" t="s">
        <v>1087</v>
      </c>
      <c r="H126" s="288" t="s">
        <v>114</v>
      </c>
      <c r="I126" s="289"/>
      <c r="J126" s="289">
        <v>440</v>
      </c>
      <c r="K126" s="288" t="s">
        <v>1088</v>
      </c>
      <c r="L126" s="96">
        <f>I126+J126*EERR!$D$2</f>
        <v>341673.2</v>
      </c>
      <c r="M126" s="96">
        <f>L126/EERR!$D$2</f>
        <v>440.00000000000006</v>
      </c>
      <c r="N126" s="96">
        <f>SUMIF(Nov!$B$3:$B$116,A126,Nov!$V$3:$V$116)</f>
        <v>0</v>
      </c>
      <c r="O126" s="166">
        <f t="shared" si="3"/>
        <v>1</v>
      </c>
    </row>
    <row r="127" spans="1:15" x14ac:dyDescent="0.25">
      <c r="A127" s="286">
        <v>252</v>
      </c>
      <c r="B127" s="287" t="s">
        <v>1083</v>
      </c>
      <c r="C127" s="288" t="s">
        <v>1361</v>
      </c>
      <c r="D127" s="288" t="s">
        <v>111</v>
      </c>
      <c r="E127" s="288" t="s">
        <v>115</v>
      </c>
      <c r="F127" s="288" t="s">
        <v>117</v>
      </c>
      <c r="G127" s="288" t="s">
        <v>922</v>
      </c>
      <c r="H127" s="288" t="s">
        <v>115</v>
      </c>
      <c r="I127" s="289">
        <v>12000</v>
      </c>
      <c r="J127" s="289"/>
      <c r="K127" s="288" t="s">
        <v>1362</v>
      </c>
      <c r="L127" s="96">
        <f>I127+J127*EERR!$D$2</f>
        <v>12000</v>
      </c>
      <c r="M127" s="96">
        <f>L127/EERR!$D$2</f>
        <v>15.453363038131174</v>
      </c>
      <c r="N127" s="96">
        <f>SUMIF(Nov!$B$3:$B$116,A127,Nov!$V$3:$V$116)</f>
        <v>0</v>
      </c>
      <c r="O127" s="166">
        <f t="shared" si="3"/>
        <v>1</v>
      </c>
    </row>
    <row r="128" spans="1:15" x14ac:dyDescent="0.25">
      <c r="A128" s="286">
        <v>253</v>
      </c>
      <c r="B128" s="287" t="s">
        <v>1083</v>
      </c>
      <c r="C128" s="288" t="s">
        <v>1366</v>
      </c>
      <c r="D128" s="288" t="s">
        <v>111</v>
      </c>
      <c r="E128" s="288" t="s">
        <v>114</v>
      </c>
      <c r="F128" s="288" t="s">
        <v>116</v>
      </c>
      <c r="G128" s="288" t="s">
        <v>1091</v>
      </c>
      <c r="H128" s="288" t="s">
        <v>114</v>
      </c>
      <c r="I128" s="289"/>
      <c r="J128" s="289">
        <v>418</v>
      </c>
      <c r="K128" s="288" t="s">
        <v>1092</v>
      </c>
      <c r="L128" s="96">
        <f>I128+J128*EERR!$D$2</f>
        <v>324589.53999999998</v>
      </c>
      <c r="M128" s="96">
        <f>L128/EERR!$D$2</f>
        <v>418</v>
      </c>
      <c r="N128" s="96">
        <f>SUMIF(Nov!$B$3:$B$116,A128,Nov!$V$3:$V$116)</f>
        <v>324589.53999999998</v>
      </c>
      <c r="O128" s="166">
        <f t="shared" si="3"/>
        <v>1</v>
      </c>
    </row>
    <row r="129" spans="1:18" x14ac:dyDescent="0.25">
      <c r="A129" s="286">
        <v>254</v>
      </c>
      <c r="B129" s="287" t="s">
        <v>1083</v>
      </c>
      <c r="C129" s="288" t="s">
        <v>1371</v>
      </c>
      <c r="D129" s="288" t="s">
        <v>111</v>
      </c>
      <c r="E129" s="288" t="s">
        <v>114</v>
      </c>
      <c r="F129" s="288" t="s">
        <v>117</v>
      </c>
      <c r="G129" s="288" t="s">
        <v>1094</v>
      </c>
      <c r="H129" s="288" t="s">
        <v>114</v>
      </c>
      <c r="I129" s="289"/>
      <c r="J129" s="289">
        <v>198</v>
      </c>
      <c r="K129" s="288" t="s">
        <v>1095</v>
      </c>
      <c r="L129" s="96">
        <f>I129+J129*EERR!$D$2</f>
        <v>153752.94</v>
      </c>
      <c r="M129" s="96">
        <f>L129/EERR!$D$2</f>
        <v>198</v>
      </c>
      <c r="N129" s="96">
        <f>SUMIF(Nov!$B$3:$B$116,A129,Nov!$V$3:$V$116)</f>
        <v>0</v>
      </c>
      <c r="O129" s="166">
        <f t="shared" si="3"/>
        <v>1</v>
      </c>
    </row>
    <row r="130" spans="1:18" x14ac:dyDescent="0.25">
      <c r="A130" s="286">
        <v>255</v>
      </c>
      <c r="B130" s="287" t="s">
        <v>1083</v>
      </c>
      <c r="C130" s="288" t="s">
        <v>1369</v>
      </c>
      <c r="D130" s="288" t="s">
        <v>111</v>
      </c>
      <c r="E130" s="288" t="s">
        <v>114</v>
      </c>
      <c r="F130" s="288" t="s">
        <v>117</v>
      </c>
      <c r="G130" s="288" t="s">
        <v>826</v>
      </c>
      <c r="H130" s="288" t="s">
        <v>114</v>
      </c>
      <c r="I130" s="289"/>
      <c r="J130" s="289">
        <v>660</v>
      </c>
      <c r="K130" s="288" t="s">
        <v>1086</v>
      </c>
      <c r="L130" s="96">
        <f>I130+J130*EERR!$D$2</f>
        <v>512509.8</v>
      </c>
      <c r="M130" s="96">
        <f>L130/EERR!$D$2</f>
        <v>660</v>
      </c>
      <c r="N130" s="96">
        <f>SUMIF(Nov!$B$3:$B$116,A130,Nov!$V$3:$V$116)</f>
        <v>512509.8</v>
      </c>
      <c r="O130" s="166">
        <f t="shared" si="3"/>
        <v>1</v>
      </c>
    </row>
    <row r="131" spans="1:18" x14ac:dyDescent="0.25">
      <c r="A131" s="286">
        <v>256</v>
      </c>
      <c r="B131" s="287" t="s">
        <v>1083</v>
      </c>
      <c r="C131" s="288" t="s">
        <v>1363</v>
      </c>
      <c r="D131" s="288" t="s">
        <v>111</v>
      </c>
      <c r="E131" s="288" t="s">
        <v>115</v>
      </c>
      <c r="F131" s="288" t="s">
        <v>117</v>
      </c>
      <c r="G131" s="288" t="s">
        <v>1036</v>
      </c>
      <c r="H131" s="288" t="s">
        <v>115</v>
      </c>
      <c r="I131" s="289">
        <v>3000</v>
      </c>
      <c r="J131" s="289"/>
      <c r="K131" s="288" t="s">
        <v>1364</v>
      </c>
      <c r="L131" s="96">
        <f>I131+J131*EERR!$D$2</f>
        <v>3000</v>
      </c>
      <c r="M131" s="96">
        <f>L131/EERR!$D$2</f>
        <v>3.8633407595327935</v>
      </c>
      <c r="N131" s="96">
        <f>SUMIF(Nov!$B$3:$B$116,A131,Nov!$V$3:$V$116)</f>
        <v>0</v>
      </c>
      <c r="O131" s="166">
        <f t="shared" si="3"/>
        <v>1</v>
      </c>
    </row>
    <row r="132" spans="1:18" x14ac:dyDescent="0.25">
      <c r="A132" s="286">
        <v>257</v>
      </c>
      <c r="B132" s="287" t="s">
        <v>1083</v>
      </c>
      <c r="C132" s="288" t="s">
        <v>1365</v>
      </c>
      <c r="D132" s="288" t="s">
        <v>111</v>
      </c>
      <c r="E132" s="288" t="s">
        <v>114</v>
      </c>
      <c r="F132" s="288" t="s">
        <v>117</v>
      </c>
      <c r="G132" s="288" t="s">
        <v>826</v>
      </c>
      <c r="H132" s="288" t="s">
        <v>114</v>
      </c>
      <c r="I132" s="289"/>
      <c r="J132" s="289">
        <v>188.1</v>
      </c>
      <c r="K132" s="288" t="s">
        <v>1093</v>
      </c>
      <c r="L132" s="96">
        <f>I132+J132*EERR!$D$2</f>
        <v>146065.29299999998</v>
      </c>
      <c r="M132" s="96">
        <f>L132/EERR!$D$2</f>
        <v>188.09999999999997</v>
      </c>
      <c r="N132" s="96">
        <f>SUMIF(Nov!$B$3:$B$116,A132,Nov!$V$3:$V$116)</f>
        <v>0</v>
      </c>
      <c r="O132" s="166">
        <f>+A132-A131</f>
        <v>1</v>
      </c>
    </row>
    <row r="133" spans="1:18" x14ac:dyDescent="0.25">
      <c r="A133" s="286">
        <v>258</v>
      </c>
      <c r="B133" s="287" t="s">
        <v>1083</v>
      </c>
      <c r="C133" s="288" t="s">
        <v>1367</v>
      </c>
      <c r="D133" s="288" t="s">
        <v>111</v>
      </c>
      <c r="E133" s="288" t="s">
        <v>114</v>
      </c>
      <c r="F133" s="288" t="s">
        <v>116</v>
      </c>
      <c r="G133" s="288" t="s">
        <v>1089</v>
      </c>
      <c r="H133" s="288" t="s">
        <v>114</v>
      </c>
      <c r="I133" s="289"/>
      <c r="J133" s="289">
        <v>250</v>
      </c>
      <c r="K133" s="288" t="s">
        <v>1090</v>
      </c>
      <c r="L133" s="96">
        <f>I133+J133*EERR!$D$2</f>
        <v>194132.5</v>
      </c>
      <c r="M133" s="96">
        <f>L133/EERR!$D$2</f>
        <v>250</v>
      </c>
      <c r="N133" s="96">
        <f>SUMIF(Nov!$B$3:$B$116,A133,Nov!$V$3:$V$116)</f>
        <v>0</v>
      </c>
      <c r="O133" s="166">
        <f>+A133-A132</f>
        <v>1</v>
      </c>
    </row>
    <row r="134" spans="1:18" x14ac:dyDescent="0.25">
      <c r="A134" s="286">
        <v>259</v>
      </c>
      <c r="B134" s="287" t="s">
        <v>1083</v>
      </c>
      <c r="C134" s="288" t="s">
        <v>1370</v>
      </c>
      <c r="D134" s="288" t="s">
        <v>111</v>
      </c>
      <c r="E134" s="288" t="s">
        <v>114</v>
      </c>
      <c r="F134" s="288" t="s">
        <v>117</v>
      </c>
      <c r="G134" s="288" t="s">
        <v>1084</v>
      </c>
      <c r="H134" s="288" t="s">
        <v>114</v>
      </c>
      <c r="I134" s="289"/>
      <c r="J134" s="289">
        <v>250</v>
      </c>
      <c r="K134" s="288" t="s">
        <v>1085</v>
      </c>
      <c r="L134" s="96">
        <f>I134+J134*EERR!$D$2</f>
        <v>194132.5</v>
      </c>
      <c r="M134" s="96">
        <f>L134/EERR!$D$2</f>
        <v>250</v>
      </c>
      <c r="N134" s="96">
        <f>SUMIF(Nov!$B$3:$B$116,A134,Nov!$V$3:$V$116)</f>
        <v>0</v>
      </c>
      <c r="O134" s="166">
        <f>+A134-A133</f>
        <v>1</v>
      </c>
    </row>
    <row r="135" spans="1:18" x14ac:dyDescent="0.25">
      <c r="A135" s="333"/>
      <c r="B135" s="334"/>
      <c r="C135" s="335"/>
      <c r="D135" s="335"/>
      <c r="E135" s="335"/>
      <c r="F135" s="335"/>
      <c r="G135" s="335"/>
      <c r="H135" s="335"/>
      <c r="I135" s="336"/>
      <c r="J135" s="336"/>
      <c r="K135" s="335"/>
      <c r="L135" s="96">
        <f>I135+J135*EERR!$D$2</f>
        <v>0</v>
      </c>
      <c r="M135" s="96">
        <f>L135/EERR!$D$2</f>
        <v>0</v>
      </c>
      <c r="N135" s="96">
        <f>SUMIF(Nov!$B$3:$B$116,A135,Nov!$V$3:$V$116)</f>
        <v>0</v>
      </c>
      <c r="O135" s="166">
        <f>+A135-A134</f>
        <v>-259</v>
      </c>
    </row>
    <row r="136" spans="1:18" x14ac:dyDescent="0.25">
      <c r="A136" s="333"/>
      <c r="B136" s="334"/>
      <c r="C136" s="335"/>
      <c r="D136" s="335"/>
      <c r="E136" s="335"/>
      <c r="F136" s="335"/>
      <c r="G136" s="335"/>
      <c r="H136" s="335"/>
      <c r="I136" s="336"/>
      <c r="J136" s="336"/>
      <c r="K136" s="335"/>
      <c r="L136" s="96">
        <f>I136+J136*EERR!$D$2</f>
        <v>0</v>
      </c>
      <c r="M136" s="96">
        <f>L136/EERR!$D$2</f>
        <v>0</v>
      </c>
      <c r="N136" s="96">
        <f>SUMIF(Nov!$B$3:$B$116,A136,Nov!$V$3:$V$116)</f>
        <v>0</v>
      </c>
      <c r="O136" s="166"/>
    </row>
    <row r="137" spans="1:18" x14ac:dyDescent="0.25">
      <c r="A137" s="333"/>
      <c r="B137" s="334"/>
      <c r="C137" s="335"/>
      <c r="D137" s="335"/>
      <c r="E137" s="335"/>
      <c r="F137" s="335"/>
      <c r="G137" s="335"/>
      <c r="H137" s="335"/>
      <c r="I137" s="336"/>
      <c r="J137" s="336"/>
      <c r="K137" s="335"/>
      <c r="L137" s="96">
        <f>I137+J137*EERR!$D$2</f>
        <v>0</v>
      </c>
      <c r="M137" s="96">
        <f>L137/EERR!$D$2</f>
        <v>0</v>
      </c>
      <c r="N137" s="96">
        <f>SUMIF(Nov!$B$3:$B$116,A137,Nov!$V$3:$V$116)</f>
        <v>0</v>
      </c>
      <c r="O137" s="166"/>
    </row>
    <row r="138" spans="1:18" x14ac:dyDescent="0.25">
      <c r="A138" s="333"/>
      <c r="B138" s="334"/>
      <c r="C138" s="335"/>
      <c r="D138" s="335"/>
      <c r="E138" s="335"/>
      <c r="F138" s="335"/>
      <c r="G138" s="335"/>
      <c r="H138" s="335"/>
      <c r="I138" s="336"/>
      <c r="J138" s="336"/>
      <c r="K138" s="335"/>
      <c r="L138" s="96">
        <f>I138+J138*EERR!$D$2</f>
        <v>0</v>
      </c>
      <c r="M138" s="96">
        <f>L138/EERR!$D$2</f>
        <v>0</v>
      </c>
      <c r="N138" s="96">
        <f>SUMIF(Nov!$B$3:$B$116,A138,Nov!$V$3:$V$116)</f>
        <v>0</v>
      </c>
      <c r="O138" s="166"/>
    </row>
    <row r="139" spans="1:18" x14ac:dyDescent="0.25">
      <c r="A139" s="333"/>
      <c r="B139" s="334"/>
      <c r="C139" s="335"/>
      <c r="D139" s="335"/>
      <c r="E139" s="335"/>
      <c r="F139" s="335"/>
      <c r="G139" s="335"/>
      <c r="H139" s="335"/>
      <c r="I139" s="336"/>
      <c r="J139" s="336"/>
      <c r="K139" s="335"/>
      <c r="L139" s="96">
        <f>I139+J139*EERR!$D$2</f>
        <v>0</v>
      </c>
      <c r="M139" s="96">
        <f>L139/EERR!$D$2</f>
        <v>0</v>
      </c>
      <c r="N139" s="96">
        <f>SUMIF(Nov!$B$3:$B$116,A139,Nov!$V$3:$V$116)</f>
        <v>0</v>
      </c>
      <c r="O139" s="166"/>
      <c r="Q139" s="166">
        <f>SUM(J2:J146)+Nov!L115</f>
        <v>49242.299999999996</v>
      </c>
      <c r="R139" s="147">
        <f>Q139*EERR!D2</f>
        <v>38238123.218999997</v>
      </c>
    </row>
    <row r="140" spans="1:18" x14ac:dyDescent="0.25">
      <c r="A140" s="286"/>
      <c r="B140" s="287"/>
      <c r="C140" s="288"/>
      <c r="D140" s="288"/>
      <c r="E140" s="288"/>
      <c r="F140" s="288"/>
      <c r="G140" s="288"/>
      <c r="H140" s="288"/>
      <c r="I140" s="289"/>
      <c r="J140" s="289"/>
      <c r="K140" s="288"/>
      <c r="L140" s="96">
        <f>I140+J140*EERR!$D$2</f>
        <v>0</v>
      </c>
      <c r="M140" s="96">
        <f>L140/EERR!$D$2</f>
        <v>0</v>
      </c>
      <c r="N140" s="96">
        <f>SUMIF(Nov!$B$3:$B$116,A140,Nov!$V$3:$V$116)</f>
        <v>0</v>
      </c>
      <c r="O140" s="166"/>
    </row>
    <row r="141" spans="1:18" x14ac:dyDescent="0.25">
      <c r="A141" s="286"/>
      <c r="B141" s="287"/>
      <c r="C141" s="288"/>
      <c r="D141" s="288"/>
      <c r="E141" s="288"/>
      <c r="F141" s="288"/>
      <c r="G141" s="288"/>
      <c r="H141" s="288"/>
      <c r="I141" s="289"/>
      <c r="J141" s="289"/>
      <c r="K141" s="288"/>
      <c r="L141" s="96">
        <f>I141+J141*EERR!$D$2</f>
        <v>0</v>
      </c>
      <c r="M141" s="96">
        <f>L141/EERR!$D$2</f>
        <v>0</v>
      </c>
      <c r="N141" s="96">
        <f>SUMIF(Nov!$B$3:$B$116,A141,Nov!$V$3:$V$116)</f>
        <v>0</v>
      </c>
      <c r="O141" s="166"/>
    </row>
    <row r="142" spans="1:18" x14ac:dyDescent="0.25">
      <c r="A142" s="286"/>
      <c r="B142" s="287"/>
      <c r="C142" s="288"/>
      <c r="D142" s="288"/>
      <c r="E142" s="288"/>
      <c r="F142" s="288"/>
      <c r="G142" s="288"/>
      <c r="H142" s="288"/>
      <c r="I142" s="289"/>
      <c r="J142" s="289"/>
      <c r="K142" s="288"/>
      <c r="L142" s="96">
        <f>I142+J142*EERR!$D$2</f>
        <v>0</v>
      </c>
      <c r="M142" s="96">
        <f>L142/EERR!$D$2</f>
        <v>0</v>
      </c>
      <c r="N142" s="96">
        <f>SUMIF(Nov!$B$3:$B$116,A142,Nov!$V$3:$V$116)</f>
        <v>0</v>
      </c>
      <c r="O142" s="166"/>
    </row>
    <row r="143" spans="1:18" x14ac:dyDescent="0.25">
      <c r="A143" s="286"/>
      <c r="B143" s="287"/>
      <c r="C143" s="288"/>
      <c r="D143" s="288"/>
      <c r="E143" s="288"/>
      <c r="F143" s="288"/>
      <c r="G143" s="288"/>
      <c r="H143" s="288"/>
      <c r="I143" s="289"/>
      <c r="J143" s="289"/>
      <c r="K143" s="288"/>
      <c r="L143" s="96">
        <f>I143+J143*EERR!$D$2</f>
        <v>0</v>
      </c>
      <c r="M143" s="96">
        <f>L143/EERR!$D$2</f>
        <v>0</v>
      </c>
      <c r="N143" s="96">
        <f>SUMIF(Nov!$B$3:$B$116,A143,Nov!$V$3:$V$116)</f>
        <v>0</v>
      </c>
      <c r="O143" s="166"/>
    </row>
    <row r="144" spans="1:18" x14ac:dyDescent="0.25">
      <c r="A144" s="286"/>
      <c r="B144" s="287"/>
      <c r="C144" s="288"/>
      <c r="D144" s="288"/>
      <c r="E144" s="288"/>
      <c r="F144" s="288"/>
      <c r="G144" s="288"/>
      <c r="H144" s="288"/>
      <c r="I144" s="289"/>
      <c r="J144" s="289"/>
      <c r="K144" s="288"/>
      <c r="L144" s="96">
        <f>I144+J144*EERR!$D$2</f>
        <v>0</v>
      </c>
      <c r="M144" s="96">
        <f>L144/EERR!$D$2</f>
        <v>0</v>
      </c>
      <c r="N144" s="96">
        <f>SUMIF(Nov!$B$3:$B$116,A144,Nov!$V$3:$V$116)</f>
        <v>0</v>
      </c>
      <c r="O144" s="166"/>
    </row>
    <row r="145" spans="1:15" x14ac:dyDescent="0.25">
      <c r="A145" s="286"/>
      <c r="B145" s="287"/>
      <c r="C145" s="288"/>
      <c r="D145" s="288"/>
      <c r="E145" s="288"/>
      <c r="F145" s="288"/>
      <c r="G145" s="288"/>
      <c r="H145" s="288"/>
      <c r="I145" s="289"/>
      <c r="J145" s="289"/>
      <c r="K145" s="288"/>
      <c r="L145" s="96">
        <f>I145+J145*EERR!$D$2</f>
        <v>0</v>
      </c>
      <c r="M145" s="96">
        <f>L145/EERR!$D$2</f>
        <v>0</v>
      </c>
      <c r="N145" s="96">
        <f>SUMIF(Nov!$B$3:$B$116,A145,Nov!$V$3:$V$116)</f>
        <v>0</v>
      </c>
      <c r="O145" s="166"/>
    </row>
    <row r="146" spans="1:15" x14ac:dyDescent="0.25">
      <c r="A146" s="286"/>
      <c r="B146" s="287"/>
      <c r="C146" s="288"/>
      <c r="D146" s="288"/>
      <c r="E146" s="288"/>
      <c r="F146" s="288"/>
      <c r="G146" s="288"/>
      <c r="H146" s="288"/>
      <c r="I146" s="289"/>
      <c r="J146" s="289"/>
      <c r="K146" s="288"/>
      <c r="L146" s="96">
        <f>I146+J146*EERR!$D$2</f>
        <v>0</v>
      </c>
      <c r="M146" s="96">
        <f>L146/EERR!$D$2</f>
        <v>0</v>
      </c>
      <c r="N146" s="96">
        <f>SUMIF(Nov!$B$3:$B$116,A146,Nov!$V$3:$V$116)</f>
        <v>0</v>
      </c>
      <c r="O146" s="166"/>
    </row>
    <row r="147" spans="1:15" x14ac:dyDescent="0.25">
      <c r="A147" s="286"/>
      <c r="B147" s="287"/>
      <c r="C147" s="288"/>
      <c r="D147" s="288"/>
      <c r="E147" s="288"/>
      <c r="F147" s="288"/>
      <c r="G147" s="288"/>
      <c r="H147" s="288"/>
      <c r="I147" s="289"/>
      <c r="J147" s="289"/>
      <c r="K147" s="288"/>
      <c r="L147" s="96">
        <f>I147+J147*EERR!$D$2</f>
        <v>0</v>
      </c>
      <c r="M147" s="96">
        <f>L147/EERR!$D$2</f>
        <v>0</v>
      </c>
      <c r="N147" s="96">
        <f>SUMIF(Nov!$B$3:$B$116,A147,Nov!$V$3:$V$116)</f>
        <v>0</v>
      </c>
      <c r="O147" s="166"/>
    </row>
    <row r="148" spans="1:15" x14ac:dyDescent="0.25">
      <c r="A148" s="286"/>
      <c r="B148" s="287"/>
      <c r="C148" s="288"/>
      <c r="D148" s="288"/>
      <c r="E148" s="288"/>
      <c r="F148" s="288"/>
      <c r="G148" s="288"/>
      <c r="H148" s="288"/>
      <c r="I148" s="289"/>
      <c r="J148" s="289"/>
      <c r="K148" s="288"/>
      <c r="L148" s="96">
        <f>I148+J148*EERR!$D$2</f>
        <v>0</v>
      </c>
      <c r="M148" s="96">
        <f>L148/EERR!$D$2</f>
        <v>0</v>
      </c>
      <c r="N148" s="96">
        <f>SUMIF(Nov!$B$3:$B$116,A148,Nov!$V$3:$V$116)</f>
        <v>0</v>
      </c>
      <c r="O148" s="166"/>
    </row>
    <row r="149" spans="1:15" x14ac:dyDescent="0.25">
      <c r="A149" s="286"/>
      <c r="B149" s="287"/>
      <c r="C149" s="288"/>
      <c r="D149" s="288"/>
      <c r="E149" s="288"/>
      <c r="F149" s="288"/>
      <c r="G149" s="288"/>
      <c r="H149" s="288"/>
      <c r="I149" s="289"/>
      <c r="J149" s="289"/>
      <c r="K149" s="288"/>
      <c r="L149" s="96">
        <f>I149+J149*EERR!$D$2</f>
        <v>0</v>
      </c>
      <c r="M149" s="96">
        <f>L149/EERR!$D$2</f>
        <v>0</v>
      </c>
      <c r="N149" s="96">
        <f>SUMIF(Nov!$B$3:$B$116,A149,Nov!$V$3:$V$116)</f>
        <v>0</v>
      </c>
      <c r="O149" s="166"/>
    </row>
    <row r="150" spans="1:15" x14ac:dyDescent="0.25">
      <c r="A150" s="286"/>
      <c r="B150" s="287"/>
      <c r="C150" s="288"/>
      <c r="D150" s="288"/>
      <c r="E150" s="288"/>
      <c r="F150" s="288"/>
      <c r="G150" s="288"/>
      <c r="H150" s="288"/>
      <c r="I150" s="289"/>
      <c r="J150" s="289"/>
      <c r="K150" s="288"/>
      <c r="L150" s="96">
        <f>I150+J150*EERR!$D$2</f>
        <v>0</v>
      </c>
      <c r="M150" s="96">
        <f>L150/EERR!$D$2</f>
        <v>0</v>
      </c>
      <c r="N150" s="96">
        <f>SUMIF(Nov!$B$3:$B$116,A150,Nov!$V$3:$V$116)</f>
        <v>0</v>
      </c>
      <c r="O150" s="166"/>
    </row>
    <row r="151" spans="1:15" x14ac:dyDescent="0.25">
      <c r="A151" s="286"/>
      <c r="B151" s="287"/>
      <c r="C151" s="288"/>
      <c r="D151" s="288"/>
      <c r="E151" s="288"/>
      <c r="F151" s="288"/>
      <c r="G151" s="288"/>
      <c r="H151" s="288"/>
      <c r="I151" s="289"/>
      <c r="J151" s="289"/>
      <c r="K151" s="288"/>
      <c r="L151" s="96">
        <f>I151+J151*EERR!$D$2</f>
        <v>0</v>
      </c>
      <c r="M151" s="96">
        <f>L151/EERR!$D$2</f>
        <v>0</v>
      </c>
      <c r="N151" s="96">
        <f>SUMIF(Nov!$B$3:$B$116,A151,Nov!$V$3:$V$116)</f>
        <v>0</v>
      </c>
      <c r="O151" s="166"/>
    </row>
    <row r="152" spans="1:15" x14ac:dyDescent="0.25">
      <c r="A152" s="286"/>
      <c r="B152" s="287"/>
      <c r="C152" s="288"/>
      <c r="D152" s="288"/>
      <c r="E152" s="288"/>
      <c r="F152" s="288"/>
      <c r="G152" s="288"/>
      <c r="H152" s="288"/>
      <c r="I152" s="289"/>
      <c r="J152" s="289"/>
      <c r="K152" s="288"/>
      <c r="L152" s="96">
        <f>I152+J152*EERR!$D$2</f>
        <v>0</v>
      </c>
      <c r="M152" s="96">
        <f>L152/EERR!$D$2</f>
        <v>0</v>
      </c>
      <c r="N152" s="96">
        <f>SUMIF(Nov!$B$3:$B$116,A152,Nov!$V$3:$V$116)</f>
        <v>0</v>
      </c>
      <c r="O152" s="166"/>
    </row>
    <row r="153" spans="1:15" x14ac:dyDescent="0.25">
      <c r="A153" s="286"/>
      <c r="B153" s="287"/>
      <c r="C153" s="288"/>
      <c r="D153" s="288"/>
      <c r="E153" s="288"/>
      <c r="F153" s="288"/>
      <c r="G153" s="288"/>
      <c r="H153" s="288"/>
      <c r="I153" s="289"/>
      <c r="J153" s="289"/>
      <c r="K153" s="288"/>
      <c r="L153" s="96">
        <f>I153+J153*EERR!$D$2</f>
        <v>0</v>
      </c>
      <c r="M153" s="96">
        <f>L153/EERR!$D$2</f>
        <v>0</v>
      </c>
      <c r="N153" s="96">
        <f>SUMIF(Nov!$B$3:$B$116,A153,Nov!$V$3:$V$116)</f>
        <v>0</v>
      </c>
      <c r="O153" s="166"/>
    </row>
    <row r="154" spans="1:15" x14ac:dyDescent="0.25">
      <c r="A154" s="286"/>
      <c r="B154" s="287"/>
      <c r="C154" s="288"/>
      <c r="D154" s="288"/>
      <c r="E154" s="288"/>
      <c r="F154" s="288"/>
      <c r="G154" s="288"/>
      <c r="H154" s="288"/>
      <c r="I154" s="289"/>
      <c r="J154" s="289"/>
      <c r="K154" s="288"/>
      <c r="L154" s="96">
        <f>I154+J154*EERR!$D$2</f>
        <v>0</v>
      </c>
      <c r="M154" s="96">
        <f>L154/EERR!$D$2</f>
        <v>0</v>
      </c>
      <c r="N154" s="96">
        <f>SUMIF(Nov!$B$3:$B$116,A154,Nov!$V$3:$V$116)</f>
        <v>0</v>
      </c>
      <c r="O154" s="166"/>
    </row>
    <row r="155" spans="1:15" x14ac:dyDescent="0.25">
      <c r="A155" s="286"/>
      <c r="B155" s="287"/>
      <c r="C155" s="288"/>
      <c r="D155" s="288"/>
      <c r="E155" s="288"/>
      <c r="F155" s="288"/>
      <c r="G155" s="288"/>
      <c r="H155" s="288"/>
      <c r="I155" s="289"/>
      <c r="J155" s="289"/>
      <c r="K155" s="288"/>
      <c r="L155" s="96">
        <f>I155+J155*EERR!$D$2</f>
        <v>0</v>
      </c>
      <c r="M155" s="96">
        <f>L155/EERR!$D$2</f>
        <v>0</v>
      </c>
      <c r="N155" s="96">
        <f>SUMIF(Nov!$B$3:$B$116,A155,Nov!$V$3:$V$116)</f>
        <v>0</v>
      </c>
      <c r="O155" s="166"/>
    </row>
    <row r="156" spans="1:15" x14ac:dyDescent="0.25">
      <c r="A156" s="286"/>
      <c r="B156" s="287"/>
      <c r="C156" s="288"/>
      <c r="D156" s="288"/>
      <c r="E156" s="288"/>
      <c r="F156" s="288"/>
      <c r="G156" s="288"/>
      <c r="H156" s="288"/>
      <c r="I156" s="289"/>
      <c r="J156" s="289"/>
      <c r="K156" s="288"/>
      <c r="L156" s="96">
        <f>I156+J156*EERR!$D$2</f>
        <v>0</v>
      </c>
      <c r="M156" s="96">
        <f>L156/EERR!$D$2</f>
        <v>0</v>
      </c>
      <c r="N156" s="96">
        <f>SUMIF(Nov!$B$3:$B$116,A156,Nov!$V$3:$V$116)</f>
        <v>0</v>
      </c>
      <c r="O156" s="166"/>
    </row>
    <row r="157" spans="1:15" x14ac:dyDescent="0.25">
      <c r="A157" s="286"/>
      <c r="B157" s="287"/>
      <c r="C157" s="288"/>
      <c r="D157" s="288"/>
      <c r="E157" s="288"/>
      <c r="F157" s="288"/>
      <c r="G157" s="288"/>
      <c r="H157" s="288"/>
      <c r="I157" s="289"/>
      <c r="J157" s="289"/>
      <c r="K157" s="288"/>
      <c r="L157" s="96">
        <f>I157+J157*EERR!$D$2</f>
        <v>0</v>
      </c>
      <c r="M157" s="96">
        <f>L157/EERR!$D$2</f>
        <v>0</v>
      </c>
      <c r="N157" s="96">
        <f>SUMIF(Nov!$B$3:$B$116,A157,Nov!$V$3:$V$116)</f>
        <v>0</v>
      </c>
      <c r="O157" s="166"/>
    </row>
    <row r="158" spans="1:15" x14ac:dyDescent="0.25">
      <c r="A158" s="286"/>
      <c r="B158" s="287"/>
      <c r="C158" s="288"/>
      <c r="D158" s="288"/>
      <c r="E158" s="288"/>
      <c r="F158" s="288"/>
      <c r="G158" s="288"/>
      <c r="H158" s="288"/>
      <c r="I158" s="289"/>
      <c r="J158" s="289"/>
      <c r="K158" s="288"/>
      <c r="L158" s="96">
        <f>I158+J158*EERR!$D$2</f>
        <v>0</v>
      </c>
      <c r="M158" s="96">
        <f>L158/EERR!$D$2</f>
        <v>0</v>
      </c>
      <c r="N158" s="96">
        <f>SUMIF(Nov!$B$3:$B$116,A158,Nov!$V$3:$V$116)</f>
        <v>0</v>
      </c>
      <c r="O158" s="166"/>
    </row>
    <row r="159" spans="1:15" x14ac:dyDescent="0.25">
      <c r="A159" s="286"/>
      <c r="B159" s="287"/>
      <c r="C159" s="288"/>
      <c r="D159" s="288"/>
      <c r="E159" s="288"/>
      <c r="F159" s="288"/>
      <c r="G159" s="288"/>
      <c r="H159" s="288"/>
      <c r="I159" s="289"/>
      <c r="J159" s="289"/>
      <c r="K159" s="288"/>
      <c r="L159" s="96">
        <f>I159+J159*EERR!$D$2</f>
        <v>0</v>
      </c>
      <c r="M159" s="96">
        <f>L159/EERR!$D$2</f>
        <v>0</v>
      </c>
      <c r="N159" s="96">
        <f>SUMIF(Nov!$B$3:$B$116,A159,Nov!$V$3:$V$116)</f>
        <v>0</v>
      </c>
      <c r="O159" s="166"/>
    </row>
    <row r="160" spans="1:15" x14ac:dyDescent="0.25">
      <c r="A160" s="286"/>
      <c r="B160" s="287"/>
      <c r="C160" s="288"/>
      <c r="D160" s="288"/>
      <c r="E160" s="288"/>
      <c r="F160" s="288"/>
      <c r="G160" s="288"/>
      <c r="H160" s="288"/>
      <c r="I160" s="289"/>
      <c r="J160" s="289"/>
      <c r="K160" s="288"/>
      <c r="L160" s="96">
        <f>I160+J160*EERR!$D$2</f>
        <v>0</v>
      </c>
      <c r="M160" s="96">
        <f>L160/EERR!$D$2</f>
        <v>0</v>
      </c>
      <c r="N160" s="96">
        <f>SUMIF(Nov!$B$3:$B$116,A160,Nov!$V$3:$V$116)</f>
        <v>0</v>
      </c>
      <c r="O160" s="166"/>
    </row>
    <row r="161" spans="1:15" x14ac:dyDescent="0.25">
      <c r="A161" s="286"/>
      <c r="B161" s="287"/>
      <c r="C161" s="288"/>
      <c r="D161" s="288"/>
      <c r="E161" s="288"/>
      <c r="F161" s="288"/>
      <c r="G161" s="288"/>
      <c r="H161" s="288"/>
      <c r="I161" s="289"/>
      <c r="J161" s="289"/>
      <c r="K161" s="288"/>
      <c r="L161" s="96">
        <f>I161+J161*EERR!$D$2</f>
        <v>0</v>
      </c>
      <c r="M161" s="96">
        <f>L161/EERR!$D$2</f>
        <v>0</v>
      </c>
      <c r="N161" s="96">
        <f>SUMIF(Nov!$B$3:$B$116,A161,Nov!$V$3:$V$116)</f>
        <v>0</v>
      </c>
      <c r="O161" s="166"/>
    </row>
    <row r="162" spans="1:15" x14ac:dyDescent="0.25">
      <c r="A162" s="286"/>
      <c r="B162" s="287"/>
      <c r="C162" s="288"/>
      <c r="D162" s="288"/>
      <c r="E162" s="288"/>
      <c r="F162" s="288"/>
      <c r="G162" s="288"/>
      <c r="H162" s="288"/>
      <c r="I162" s="289"/>
      <c r="J162" s="289"/>
      <c r="K162" s="288"/>
      <c r="L162" s="96">
        <f>I162+J162*EERR!$D$2</f>
        <v>0</v>
      </c>
      <c r="M162" s="96">
        <f>L162/EERR!$D$2</f>
        <v>0</v>
      </c>
      <c r="N162" s="96">
        <f>SUMIF(Nov!$B$3:$B$116,A162,Nov!$V$3:$V$116)</f>
        <v>0</v>
      </c>
      <c r="O162" s="166"/>
    </row>
    <row r="163" spans="1:15" x14ac:dyDescent="0.25">
      <c r="A163" s="286"/>
      <c r="B163" s="287"/>
      <c r="C163" s="288"/>
      <c r="D163" s="288"/>
      <c r="E163" s="288"/>
      <c r="F163" s="288"/>
      <c r="G163" s="288"/>
      <c r="H163" s="288"/>
      <c r="I163" s="289"/>
      <c r="J163" s="289"/>
      <c r="K163" s="288"/>
      <c r="L163" s="96">
        <f>I163+J163*EERR!$D$2</f>
        <v>0</v>
      </c>
      <c r="M163" s="96">
        <f>L163/EERR!$D$2</f>
        <v>0</v>
      </c>
      <c r="N163" s="96">
        <f>SUMIF(Nov!$B$3:$B$116,A163,Nov!$V$3:$V$116)</f>
        <v>0</v>
      </c>
      <c r="O163" s="166"/>
    </row>
    <row r="164" spans="1:15" x14ac:dyDescent="0.25">
      <c r="A164" s="286"/>
      <c r="B164" s="287"/>
      <c r="C164" s="288"/>
      <c r="D164" s="288"/>
      <c r="E164" s="288"/>
      <c r="F164" s="288"/>
      <c r="G164" s="288"/>
      <c r="H164" s="288"/>
      <c r="I164" s="289"/>
      <c r="J164" s="289"/>
      <c r="K164" s="288"/>
      <c r="L164" s="96">
        <f>I164+J164*EERR!$D$2</f>
        <v>0</v>
      </c>
      <c r="M164" s="96">
        <f>L164/EERR!$D$2</f>
        <v>0</v>
      </c>
      <c r="N164" s="96">
        <f>SUMIF(Nov!$B$3:$B$116,A164,Nov!$V$3:$V$116)</f>
        <v>0</v>
      </c>
      <c r="O164" s="166"/>
    </row>
    <row r="165" spans="1:15" x14ac:dyDescent="0.25">
      <c r="A165" s="286"/>
      <c r="B165" s="287"/>
      <c r="C165" s="288"/>
      <c r="D165" s="288"/>
      <c r="E165" s="288"/>
      <c r="F165" s="288"/>
      <c r="G165" s="288"/>
      <c r="H165" s="288"/>
      <c r="I165" s="289"/>
      <c r="J165" s="289"/>
      <c r="K165" s="288"/>
      <c r="L165" s="96">
        <f>I165+J165*EERR!$D$2</f>
        <v>0</v>
      </c>
      <c r="M165" s="96">
        <f>L165/EERR!$D$2</f>
        <v>0</v>
      </c>
      <c r="N165" s="96">
        <f>SUMIF(Nov!$B$3:$B$116,A165,Nov!$V$3:$V$116)</f>
        <v>0</v>
      </c>
      <c r="O165" s="166"/>
    </row>
    <row r="166" spans="1:15" x14ac:dyDescent="0.25">
      <c r="A166" s="286"/>
      <c r="B166" s="287"/>
      <c r="C166" s="288"/>
      <c r="D166" s="288"/>
      <c r="E166" s="288"/>
      <c r="F166" s="288"/>
      <c r="G166" s="288"/>
      <c r="H166" s="288"/>
      <c r="I166" s="289"/>
      <c r="J166" s="289"/>
      <c r="K166" s="288"/>
      <c r="L166" s="96">
        <f>I166+J166*EERR!$D$2</f>
        <v>0</v>
      </c>
      <c r="M166" s="96">
        <f>L166/EERR!$D$2</f>
        <v>0</v>
      </c>
      <c r="N166" s="96">
        <f>SUMIF(Nov!$B$3:$B$116,A166,Nov!$V$3:$V$116)</f>
        <v>0</v>
      </c>
      <c r="O166" s="166"/>
    </row>
    <row r="167" spans="1:15" x14ac:dyDescent="0.25">
      <c r="A167" s="286"/>
      <c r="B167" s="287"/>
      <c r="C167" s="288"/>
      <c r="D167" s="288"/>
      <c r="E167" s="288"/>
      <c r="F167" s="288"/>
      <c r="G167" s="288"/>
      <c r="H167" s="288"/>
      <c r="I167" s="289"/>
      <c r="J167" s="289"/>
      <c r="K167" s="288"/>
      <c r="L167" s="96">
        <f>I167+J167*EERR!$D$2</f>
        <v>0</v>
      </c>
      <c r="M167" s="96">
        <f>L167/EERR!$D$2</f>
        <v>0</v>
      </c>
      <c r="N167" s="96">
        <f>SUMIF(Nov!$B$3:$B$116,A167,Nov!$V$3:$V$116)</f>
        <v>0</v>
      </c>
      <c r="O167" s="166"/>
    </row>
    <row r="168" spans="1:15" x14ac:dyDescent="0.25">
      <c r="A168" s="108"/>
      <c r="B168" s="105"/>
      <c r="C168" s="94"/>
      <c r="D168" s="94"/>
      <c r="E168" s="94"/>
      <c r="F168" s="94"/>
      <c r="G168" s="94"/>
      <c r="H168" s="94"/>
      <c r="I168" s="95"/>
      <c r="J168" s="95"/>
      <c r="K168" s="94"/>
      <c r="L168" s="96">
        <f>I168+J168*EERR!$D$2</f>
        <v>0</v>
      </c>
      <c r="M168" s="96">
        <f>L168/EERR!$D$2</f>
        <v>0</v>
      </c>
      <c r="N168" s="96">
        <f>SUMIF(Nov!$B$3:$B$116,A168,Nov!$V$3:$V$116)</f>
        <v>0</v>
      </c>
      <c r="O168" s="166"/>
    </row>
    <row r="169" spans="1:15" x14ac:dyDescent="0.25">
      <c r="A169" s="108"/>
      <c r="B169" s="105"/>
      <c r="C169" s="94"/>
      <c r="D169" s="94"/>
      <c r="E169" s="94"/>
      <c r="F169" s="94"/>
      <c r="G169" s="94"/>
      <c r="H169" s="94"/>
      <c r="I169" s="95"/>
      <c r="J169" s="95"/>
      <c r="K169" s="94"/>
      <c r="L169" s="96">
        <f>I169+J169*EERR!$D$2</f>
        <v>0</v>
      </c>
      <c r="M169" s="96">
        <f>L169/EERR!$D$2</f>
        <v>0</v>
      </c>
      <c r="N169" s="96">
        <f>SUMIF(Nov!$B$3:$B$116,A169,Nov!$V$3:$V$116)</f>
        <v>0</v>
      </c>
      <c r="O169" s="166"/>
    </row>
    <row r="170" spans="1:15" x14ac:dyDescent="0.25">
      <c r="A170" s="108"/>
      <c r="B170" s="105"/>
      <c r="C170" s="94"/>
      <c r="D170" s="94"/>
      <c r="E170" s="94"/>
      <c r="F170" s="94"/>
      <c r="G170" s="94"/>
      <c r="H170" s="94"/>
      <c r="I170" s="95"/>
      <c r="J170" s="95"/>
      <c r="K170" s="94"/>
      <c r="L170" s="96">
        <f>I170+J170*EERR!$D$2</f>
        <v>0</v>
      </c>
      <c r="M170" s="96">
        <f>L170/EERR!$D$2</f>
        <v>0</v>
      </c>
      <c r="N170" s="96">
        <f>SUMIF(Nov!$B$3:$B$116,A170,Nov!$V$3:$V$116)</f>
        <v>0</v>
      </c>
      <c r="O170" s="166"/>
    </row>
    <row r="171" spans="1:15" x14ac:dyDescent="0.25">
      <c r="A171" s="108"/>
      <c r="B171" s="105"/>
      <c r="C171" s="94"/>
      <c r="D171" s="94"/>
      <c r="E171" s="94"/>
      <c r="F171" s="94"/>
      <c r="G171" s="94"/>
      <c r="H171" s="94"/>
      <c r="I171" s="95"/>
      <c r="J171" s="95"/>
      <c r="K171" s="94"/>
      <c r="L171" s="96">
        <f>I171+J171*EERR!$D$2</f>
        <v>0</v>
      </c>
      <c r="M171" s="96">
        <f>L171/EERR!$D$2</f>
        <v>0</v>
      </c>
      <c r="N171" s="96">
        <f>SUMIF(Nov!$B$3:$B$116,A171,Nov!$V$3:$V$116)</f>
        <v>0</v>
      </c>
      <c r="O171" s="166"/>
    </row>
    <row r="172" spans="1:15" x14ac:dyDescent="0.25">
      <c r="A172" s="108"/>
      <c r="B172" s="105"/>
      <c r="C172" s="94"/>
      <c r="D172" s="94"/>
      <c r="E172" s="94"/>
      <c r="F172" s="94"/>
      <c r="G172" s="94"/>
      <c r="H172" s="94"/>
      <c r="I172" s="95"/>
      <c r="J172" s="95"/>
      <c r="K172" s="94"/>
      <c r="L172" s="96">
        <f>I172+J172*EERR!$D$2</f>
        <v>0</v>
      </c>
      <c r="M172" s="96">
        <f>L172/EERR!$D$2</f>
        <v>0</v>
      </c>
      <c r="N172" s="96">
        <f>SUMIF(Nov!$B$3:$B$116,A172,Nov!$V$3:$V$116)</f>
        <v>0</v>
      </c>
      <c r="O172" s="166"/>
    </row>
    <row r="173" spans="1:15" x14ac:dyDescent="0.25">
      <c r="A173" s="108"/>
      <c r="B173" s="105"/>
      <c r="C173" s="94"/>
      <c r="D173" s="94"/>
      <c r="E173" s="94"/>
      <c r="F173" s="94"/>
      <c r="G173" s="94"/>
      <c r="H173" s="94"/>
      <c r="I173" s="95"/>
      <c r="J173" s="95"/>
      <c r="K173" s="94"/>
      <c r="L173" s="96">
        <f>I173+J173*EERR!$D$2</f>
        <v>0</v>
      </c>
      <c r="M173" s="96">
        <f>L173/EERR!$D$2</f>
        <v>0</v>
      </c>
      <c r="N173" s="96">
        <f>SUMIF(Nov!$B$3:$B$116,A173,Nov!$V$3:$V$116)</f>
        <v>0</v>
      </c>
      <c r="O173" s="166"/>
    </row>
    <row r="174" spans="1:15" x14ac:dyDescent="0.25">
      <c r="A174" s="108"/>
      <c r="B174" s="105"/>
      <c r="C174" s="94"/>
      <c r="D174" s="94"/>
      <c r="E174" s="94"/>
      <c r="F174" s="94"/>
      <c r="G174" s="94"/>
      <c r="H174" s="94"/>
      <c r="I174" s="95"/>
      <c r="J174" s="95"/>
      <c r="K174" s="94"/>
      <c r="L174" s="96">
        <f>I174+J174*EERR!$D$2</f>
        <v>0</v>
      </c>
      <c r="M174" s="96">
        <f>L174/EERR!$D$2</f>
        <v>0</v>
      </c>
      <c r="N174" s="96">
        <f>SUMIF(Nov!$B$3:$B$116,A174,Nov!$V$3:$V$116)</f>
        <v>0</v>
      </c>
      <c r="O174" s="166"/>
    </row>
    <row r="175" spans="1:15" x14ac:dyDescent="0.25">
      <c r="A175" s="108"/>
      <c r="B175" s="105"/>
      <c r="C175" s="94"/>
      <c r="D175" s="94"/>
      <c r="E175" s="94"/>
      <c r="F175" s="94"/>
      <c r="G175" s="94"/>
      <c r="H175" s="94"/>
      <c r="I175" s="95"/>
      <c r="J175" s="95"/>
      <c r="K175" s="94"/>
      <c r="L175" s="96">
        <f>I175+J175*EERR!$D$2</f>
        <v>0</v>
      </c>
      <c r="M175" s="96">
        <f>L175/EERR!$D$2</f>
        <v>0</v>
      </c>
      <c r="N175" s="96">
        <f>SUMIF(Nov!$B$3:$B$116,A175,Nov!$V$3:$V$116)</f>
        <v>0</v>
      </c>
      <c r="O175" s="166"/>
    </row>
    <row r="176" spans="1:15" x14ac:dyDescent="0.25">
      <c r="A176" s="108"/>
      <c r="B176" s="105"/>
      <c r="C176" s="94"/>
      <c r="D176" s="94"/>
      <c r="E176" s="94"/>
      <c r="F176" s="94"/>
      <c r="G176" s="94"/>
      <c r="H176" s="94"/>
      <c r="I176" s="95"/>
      <c r="J176" s="95"/>
      <c r="K176" s="94"/>
      <c r="L176" s="96">
        <f>I176+J176*EERR!$D$2</f>
        <v>0</v>
      </c>
      <c r="M176" s="96">
        <f>L176/EERR!$D$2</f>
        <v>0</v>
      </c>
      <c r="N176" s="96">
        <f>SUMIF(Nov!$B$3:$B$116,A176,Nov!$V$3:$V$116)</f>
        <v>0</v>
      </c>
      <c r="O176" s="166"/>
    </row>
    <row r="177" spans="1:18" x14ac:dyDescent="0.25">
      <c r="A177" s="108"/>
      <c r="B177" s="105"/>
      <c r="C177" s="94"/>
      <c r="D177" s="94"/>
      <c r="E177" s="94"/>
      <c r="F177" s="94"/>
      <c r="G177" s="94"/>
      <c r="H177" s="94"/>
      <c r="I177" s="95"/>
      <c r="J177" s="95"/>
      <c r="K177" s="94"/>
      <c r="L177" s="96">
        <f>I177+J177*EERR!$D$2</f>
        <v>0</v>
      </c>
      <c r="M177" s="96">
        <f>L177/EERR!$D$2</f>
        <v>0</v>
      </c>
      <c r="N177" s="96">
        <f>SUMIF(Nov!$B$3:$B$116,A177,Nov!$V$3:$V$116)</f>
        <v>0</v>
      </c>
      <c r="O177" s="166"/>
    </row>
    <row r="178" spans="1:18" x14ac:dyDescent="0.25">
      <c r="A178" s="108"/>
      <c r="B178" s="105"/>
      <c r="C178" s="94"/>
      <c r="D178" s="94"/>
      <c r="E178" s="94"/>
      <c r="F178" s="94"/>
      <c r="G178" s="94"/>
      <c r="H178" s="94"/>
      <c r="I178" s="95"/>
      <c r="J178" s="95"/>
      <c r="K178" s="94"/>
      <c r="L178" s="96">
        <f>I178+J178*EERR!$D$2</f>
        <v>0</v>
      </c>
      <c r="M178" s="96">
        <f>L178/EERR!$D$2</f>
        <v>0</v>
      </c>
      <c r="N178" s="96">
        <f>SUMIF(Nov!$B$3:$B$116,A178,Nov!$V$3:$V$116)</f>
        <v>0</v>
      </c>
      <c r="O178" s="166"/>
    </row>
    <row r="179" spans="1:18" x14ac:dyDescent="0.25">
      <c r="A179" s="108"/>
      <c r="B179" s="105"/>
      <c r="C179" s="94"/>
      <c r="D179" s="94"/>
      <c r="E179" s="94"/>
      <c r="F179" s="94"/>
      <c r="G179" s="94"/>
      <c r="H179" s="94"/>
      <c r="I179" s="95"/>
      <c r="J179" s="95"/>
      <c r="K179" s="94"/>
      <c r="L179" s="96">
        <f>I179+J179*EERR!$D$2</f>
        <v>0</v>
      </c>
      <c r="M179" s="96">
        <f>L179/EERR!$D$2</f>
        <v>0</v>
      </c>
      <c r="N179" s="96">
        <f>SUMIF(Nov!$B$3:$B$116,A179,Nov!$V$3:$V$116)</f>
        <v>0</v>
      </c>
      <c r="O179" s="166"/>
    </row>
    <row r="180" spans="1:18" x14ac:dyDescent="0.25">
      <c r="A180" s="108"/>
      <c r="B180" s="105"/>
      <c r="C180" s="94"/>
      <c r="D180" s="94"/>
      <c r="E180" s="94"/>
      <c r="F180" s="94"/>
      <c r="G180" s="94"/>
      <c r="H180" s="94"/>
      <c r="I180" s="95"/>
      <c r="J180" s="95"/>
      <c r="K180" s="94"/>
      <c r="L180" s="96">
        <f>I180+J180*EERR!$D$2</f>
        <v>0</v>
      </c>
      <c r="M180" s="96">
        <f>L180/EERR!$D$2</f>
        <v>0</v>
      </c>
      <c r="N180" s="96">
        <f>SUMIF(Nov!$B$3:$B$116,A180,Nov!$V$3:$V$116)</f>
        <v>0</v>
      </c>
      <c r="O180" s="166"/>
    </row>
    <row r="181" spans="1:18" x14ac:dyDescent="0.25">
      <c r="A181" s="108"/>
      <c r="B181" s="105"/>
      <c r="C181" s="94"/>
      <c r="D181" s="94"/>
      <c r="E181" s="94"/>
      <c r="F181" s="94"/>
      <c r="G181" s="94"/>
      <c r="H181" s="94"/>
      <c r="I181" s="95"/>
      <c r="J181" s="95"/>
      <c r="K181" s="94"/>
      <c r="L181" s="96">
        <f>I181+J181*EERR!$D$2</f>
        <v>0</v>
      </c>
      <c r="M181" s="96">
        <f>L181/EERR!$D$2</f>
        <v>0</v>
      </c>
      <c r="N181" s="96">
        <f>SUMIF(Nov!$B$3:$B$116,A181,Nov!$V$3:$V$116)</f>
        <v>0</v>
      </c>
      <c r="O181" s="166"/>
    </row>
    <row r="182" spans="1:18" x14ac:dyDescent="0.25">
      <c r="A182" s="167"/>
      <c r="B182" s="167"/>
      <c r="C182" s="167"/>
      <c r="D182" s="167"/>
      <c r="E182" s="167"/>
      <c r="F182" s="167"/>
      <c r="G182" s="167"/>
      <c r="H182" s="167"/>
      <c r="I182" s="168">
        <f>SUM(I2:I181)</f>
        <v>2693882</v>
      </c>
      <c r="J182" s="168">
        <f>SUM(J2:J181)</f>
        <v>40649.299999999996</v>
      </c>
      <c r="K182" s="167"/>
      <c r="L182" s="96">
        <f>I182+J182*EERR!$D$2</f>
        <v>34259282.92899999</v>
      </c>
      <c r="M182" s="96">
        <f>L182/EERR!$D$2</f>
        <v>44118.428043990563</v>
      </c>
      <c r="N182" s="96">
        <f>SUMIF(Nov!$B$3:$B$116,A182,Nov!$V$3:$V$116)</f>
        <v>0</v>
      </c>
      <c r="O182" s="166"/>
      <c r="P182" s="146"/>
      <c r="R182" s="53">
        <v>7096000</v>
      </c>
    </row>
    <row r="183" spans="1:18" x14ac:dyDescent="0.25">
      <c r="I183" s="166">
        <f>I182-I8</f>
        <v>2693882</v>
      </c>
      <c r="J183" s="53"/>
      <c r="L183" s="96">
        <f>I183+J183*EERR!$D$2</f>
        <v>2693882</v>
      </c>
      <c r="M183" s="96">
        <f>L183/EERR!$D$2</f>
        <v>3469.1280439905736</v>
      </c>
      <c r="N183" s="96">
        <f>SUMIF(Nov!$B$3:$B$116,A183,Nov!$V$3:$V$116)</f>
        <v>0</v>
      </c>
      <c r="O183" s="166"/>
      <c r="P183" s="146"/>
      <c r="R183" s="53">
        <f>R182*0.19</f>
        <v>1348240</v>
      </c>
    </row>
    <row r="184" spans="1:18" x14ac:dyDescent="0.25">
      <c r="H184" s="53" t="s">
        <v>84</v>
      </c>
      <c r="I184" s="166">
        <f>I183*0.19</f>
        <v>511837.58</v>
      </c>
      <c r="J184" s="53"/>
      <c r="L184" s="96">
        <f>I184+J184*EERR!$D$2</f>
        <v>511837.58</v>
      </c>
      <c r="M184" s="96">
        <f>L184/EERR!$D$2</f>
        <v>659.13432835820902</v>
      </c>
      <c r="N184" s="96">
        <f>SUMIF(Nov!$B$3:$B$116,A184,Nov!$V$3:$V$116)</f>
        <v>0</v>
      </c>
      <c r="O184" s="166"/>
      <c r="Q184" s="169"/>
    </row>
    <row r="185" spans="1:18" x14ac:dyDescent="0.25">
      <c r="I185" s="53"/>
      <c r="J185" s="53"/>
      <c r="L185" s="96">
        <f>I185+J185*EERR!$D$2</f>
        <v>0</v>
      </c>
      <c r="M185" s="96">
        <f>L185/EERR!$D$2</f>
        <v>0</v>
      </c>
      <c r="N185" s="96">
        <f>SUMIF(Nov!$B$3:$B$116,A185,Nov!$V$3:$V$116)</f>
        <v>0</v>
      </c>
      <c r="O185" s="166"/>
    </row>
    <row r="186" spans="1:18" x14ac:dyDescent="0.25">
      <c r="I186" s="53"/>
      <c r="J186" s="53"/>
      <c r="L186" s="96">
        <f>I186+J186*EERR!$D$2</f>
        <v>0</v>
      </c>
      <c r="M186" s="96">
        <f>L186/EERR!$D$2</f>
        <v>0</v>
      </c>
      <c r="N186" s="96">
        <f>SUMIF(Nov!$B$3:$B$116,A186,Nov!$V$3:$V$116)</f>
        <v>0</v>
      </c>
      <c r="O186" s="166"/>
    </row>
    <row r="187" spans="1:18" x14ac:dyDescent="0.25">
      <c r="L187" s="96">
        <f>I187+J187*EERR!$D$2</f>
        <v>0</v>
      </c>
      <c r="M187" s="96">
        <f>L187/EERR!$D$2</f>
        <v>0</v>
      </c>
      <c r="N187" s="96">
        <f>SUMIF(Nov!$B$3:$B$116,A187,Nov!$V$3:$V$116)</f>
        <v>0</v>
      </c>
      <c r="O187" s="166"/>
    </row>
    <row r="188" spans="1:18" x14ac:dyDescent="0.25">
      <c r="A188" s="133" t="s">
        <v>87</v>
      </c>
      <c r="B188" s="164" t="s">
        <v>88</v>
      </c>
      <c r="C188" s="133" t="s">
        <v>89</v>
      </c>
      <c r="D188" s="133" t="s">
        <v>90</v>
      </c>
      <c r="E188" s="133" t="s">
        <v>91</v>
      </c>
      <c r="F188" s="133" t="s">
        <v>92</v>
      </c>
      <c r="G188" s="133" t="s">
        <v>93</v>
      </c>
      <c r="H188" s="133" t="s">
        <v>94</v>
      </c>
      <c r="I188" s="135" t="s">
        <v>95</v>
      </c>
      <c r="J188" s="135" t="s">
        <v>96</v>
      </c>
      <c r="K188" s="133" t="s">
        <v>97</v>
      </c>
      <c r="L188" s="96" t="e">
        <f>I188+J188*EERR!$D$2</f>
        <v>#VALUE!</v>
      </c>
      <c r="M188" s="96" t="e">
        <f>L188/EERR!$D$2</f>
        <v>#VALUE!</v>
      </c>
      <c r="N188" s="96">
        <f>SUMIF(Nov!$B$3:$B$116,A188,Nov!$V$3:$V$116)</f>
        <v>0</v>
      </c>
      <c r="O188" s="166"/>
      <c r="P188" s="165" t="s">
        <v>74</v>
      </c>
    </row>
    <row r="189" spans="1:18" x14ac:dyDescent="0.25">
      <c r="A189" s="299">
        <v>1813</v>
      </c>
      <c r="B189" s="300" t="s">
        <v>375</v>
      </c>
      <c r="C189" s="301" t="s">
        <v>225</v>
      </c>
      <c r="D189" s="301" t="s">
        <v>111</v>
      </c>
      <c r="E189" s="301" t="s">
        <v>112</v>
      </c>
      <c r="F189" s="301" t="s">
        <v>116</v>
      </c>
      <c r="G189" s="301" t="s">
        <v>330</v>
      </c>
      <c r="H189" s="301" t="s">
        <v>114</v>
      </c>
      <c r="I189" s="298"/>
      <c r="J189" s="298">
        <v>1140</v>
      </c>
      <c r="K189" s="301" t="s">
        <v>376</v>
      </c>
      <c r="L189" s="96">
        <f>I189+J189*EERR!$D$2</f>
        <v>885244.2</v>
      </c>
      <c r="M189" s="96">
        <f>L189/EERR!$D$2</f>
        <v>1140</v>
      </c>
      <c r="N189" s="96">
        <f>SUMIF(Nov!$B$3:$B$116,A189,Nov!$V$3:$V$116)</f>
        <v>0</v>
      </c>
      <c r="O189" s="166"/>
    </row>
    <row r="190" spans="1:18" x14ac:dyDescent="0.25">
      <c r="A190" s="299">
        <v>1814</v>
      </c>
      <c r="B190" s="300" t="s">
        <v>377</v>
      </c>
      <c r="C190" s="301" t="s">
        <v>224</v>
      </c>
      <c r="D190" s="301" t="s">
        <v>111</v>
      </c>
      <c r="E190" s="301" t="s">
        <v>115</v>
      </c>
      <c r="F190" s="301" t="s">
        <v>117</v>
      </c>
      <c r="G190" s="301" t="s">
        <v>378</v>
      </c>
      <c r="H190" s="301" t="s">
        <v>115</v>
      </c>
      <c r="I190" s="298">
        <v>207917</v>
      </c>
      <c r="J190" s="298"/>
      <c r="K190" s="301" t="s">
        <v>379</v>
      </c>
      <c r="L190" s="96">
        <f>I190+J190*EERR!$D$2</f>
        <v>207917</v>
      </c>
      <c r="M190" s="96">
        <f>L190/EERR!$D$2</f>
        <v>267.75140689992662</v>
      </c>
      <c r="N190" s="96">
        <f>SUMIF(Nov!$B$3:$B$116,A190,Nov!$V$3:$V$116)</f>
        <v>0</v>
      </c>
      <c r="O190" s="166">
        <f t="shared" ref="O190:O195" si="4">+A190-A189</f>
        <v>1</v>
      </c>
    </row>
    <row r="191" spans="1:18" x14ac:dyDescent="0.25">
      <c r="A191" s="299">
        <v>1815</v>
      </c>
      <c r="B191" s="300" t="s">
        <v>380</v>
      </c>
      <c r="C191" s="301" t="s">
        <v>224</v>
      </c>
      <c r="D191" s="301" t="s">
        <v>111</v>
      </c>
      <c r="E191" s="301" t="s">
        <v>115</v>
      </c>
      <c r="F191" s="301" t="s">
        <v>116</v>
      </c>
      <c r="G191" s="301" t="s">
        <v>381</v>
      </c>
      <c r="H191" s="301" t="s">
        <v>115</v>
      </c>
      <c r="I191" s="298">
        <v>197521</v>
      </c>
      <c r="J191" s="298"/>
      <c r="K191" s="301" t="s">
        <v>382</v>
      </c>
      <c r="L191" s="96">
        <f>I191+J191*EERR!$D$2</f>
        <v>197521</v>
      </c>
      <c r="M191" s="96">
        <f>L191/EERR!$D$2</f>
        <v>254.3636433878923</v>
      </c>
      <c r="N191" s="96">
        <f>SUMIF(Nov!$B$3:$B$116,A191,Nov!$V$3:$V$116)</f>
        <v>0</v>
      </c>
      <c r="O191" s="166">
        <f t="shared" si="4"/>
        <v>1</v>
      </c>
    </row>
    <row r="192" spans="1:18" x14ac:dyDescent="0.25">
      <c r="A192" s="299">
        <v>1816</v>
      </c>
      <c r="B192" s="300" t="s">
        <v>383</v>
      </c>
      <c r="C192" s="301" t="s">
        <v>225</v>
      </c>
      <c r="D192" s="301" t="s">
        <v>111</v>
      </c>
      <c r="E192" s="301" t="s">
        <v>112</v>
      </c>
      <c r="F192" s="301" t="s">
        <v>117</v>
      </c>
      <c r="G192" s="301" t="s">
        <v>384</v>
      </c>
      <c r="H192" s="301" t="s">
        <v>114</v>
      </c>
      <c r="I192" s="298"/>
      <c r="J192" s="298">
        <v>240</v>
      </c>
      <c r="K192" s="301" t="s">
        <v>385</v>
      </c>
      <c r="L192" s="96">
        <f>I192+J192*EERR!$D$2</f>
        <v>186367.19999999998</v>
      </c>
      <c r="M192" s="96">
        <f>L192/EERR!$D$2</f>
        <v>240</v>
      </c>
      <c r="N192" s="96">
        <f>SUMIF(Nov!$B$3:$B$116,A192,Nov!$V$3:$V$116)</f>
        <v>0</v>
      </c>
      <c r="O192" s="166">
        <f t="shared" si="4"/>
        <v>1</v>
      </c>
    </row>
    <row r="193" spans="1:15" x14ac:dyDescent="0.25">
      <c r="A193" s="299">
        <v>1817</v>
      </c>
      <c r="B193" s="300" t="s">
        <v>386</v>
      </c>
      <c r="C193" s="301" t="s">
        <v>225</v>
      </c>
      <c r="D193" s="301" t="s">
        <v>111</v>
      </c>
      <c r="E193" s="301" t="s">
        <v>112</v>
      </c>
      <c r="F193" s="301" t="s">
        <v>117</v>
      </c>
      <c r="G193" s="301" t="s">
        <v>331</v>
      </c>
      <c r="H193" s="301" t="s">
        <v>114</v>
      </c>
      <c r="I193" s="298"/>
      <c r="J193" s="298">
        <v>619</v>
      </c>
      <c r="K193" s="301" t="s">
        <v>387</v>
      </c>
      <c r="L193" s="96">
        <f>I193+J193*EERR!$D$2</f>
        <v>480672.07</v>
      </c>
      <c r="M193" s="96">
        <f>L193/EERR!$D$2</f>
        <v>619</v>
      </c>
      <c r="N193" s="96">
        <f>SUMIF(Nov!$B$3:$B$116,A193,Nov!$V$3:$V$116)</f>
        <v>0</v>
      </c>
      <c r="O193" s="166">
        <f t="shared" si="4"/>
        <v>1</v>
      </c>
    </row>
    <row r="194" spans="1:15" x14ac:dyDescent="0.25">
      <c r="A194" s="299">
        <v>1818</v>
      </c>
      <c r="B194" s="300" t="s">
        <v>388</v>
      </c>
      <c r="C194" s="301" t="s">
        <v>225</v>
      </c>
      <c r="D194" s="301" t="s">
        <v>111</v>
      </c>
      <c r="E194" s="301" t="s">
        <v>112</v>
      </c>
      <c r="F194" s="301" t="s">
        <v>116</v>
      </c>
      <c r="G194" s="301" t="s">
        <v>389</v>
      </c>
      <c r="H194" s="301" t="s">
        <v>114</v>
      </c>
      <c r="I194" s="298"/>
      <c r="J194" s="298">
        <v>660</v>
      </c>
      <c r="K194" s="301" t="s">
        <v>390</v>
      </c>
      <c r="L194" s="96">
        <f>I194+J194*EERR!$D$2</f>
        <v>512509.8</v>
      </c>
      <c r="M194" s="96">
        <f>L194/EERR!$D$2</f>
        <v>660</v>
      </c>
      <c r="N194" s="96">
        <f>SUMIF(Nov!$B$3:$B$116,A194,Nov!$V$3:$V$116)</f>
        <v>0</v>
      </c>
      <c r="O194" s="166">
        <f t="shared" si="4"/>
        <v>1</v>
      </c>
    </row>
    <row r="195" spans="1:15" x14ac:dyDescent="0.25">
      <c r="A195" s="299">
        <v>1819</v>
      </c>
      <c r="B195" s="300" t="s">
        <v>391</v>
      </c>
      <c r="C195" s="301" t="s">
        <v>225</v>
      </c>
      <c r="D195" s="301" t="s">
        <v>111</v>
      </c>
      <c r="E195" s="301" t="s">
        <v>112</v>
      </c>
      <c r="F195" s="301" t="s">
        <v>116</v>
      </c>
      <c r="G195" s="301" t="s">
        <v>332</v>
      </c>
      <c r="H195" s="301" t="s">
        <v>114</v>
      </c>
      <c r="I195" s="298"/>
      <c r="J195" s="298">
        <v>1540</v>
      </c>
      <c r="K195" s="301" t="s">
        <v>392</v>
      </c>
      <c r="L195" s="96">
        <f>I195+J195*EERR!$D$2</f>
        <v>1195856.2</v>
      </c>
      <c r="M195" s="96">
        <f>L195/EERR!$D$2</f>
        <v>1540</v>
      </c>
      <c r="N195" s="96">
        <f>SUMIF(Nov!$B$3:$B$116,A195,Nov!$V$3:$V$116)</f>
        <v>0</v>
      </c>
      <c r="O195" s="166">
        <f t="shared" si="4"/>
        <v>1</v>
      </c>
    </row>
    <row r="196" spans="1:15" x14ac:dyDescent="0.25">
      <c r="A196" s="299">
        <v>1820</v>
      </c>
      <c r="B196" s="300" t="s">
        <v>393</v>
      </c>
      <c r="C196" s="301" t="s">
        <v>225</v>
      </c>
      <c r="D196" s="301" t="s">
        <v>111</v>
      </c>
      <c r="E196" s="301" t="s">
        <v>112</v>
      </c>
      <c r="F196" s="301" t="s">
        <v>117</v>
      </c>
      <c r="G196" s="301" t="s">
        <v>357</v>
      </c>
      <c r="H196" s="301" t="s">
        <v>114</v>
      </c>
      <c r="I196" s="298"/>
      <c r="J196" s="298">
        <v>190</v>
      </c>
      <c r="K196" s="301" t="s">
        <v>394</v>
      </c>
      <c r="L196" s="96">
        <f>I196+J196*EERR!$D$2</f>
        <v>147540.69999999998</v>
      </c>
      <c r="M196" s="96">
        <f>L196/EERR!$D$2</f>
        <v>189.99999999999997</v>
      </c>
      <c r="N196" s="96">
        <f>SUMIF(Nov!$B$3:$B$116,A196,Nov!$V$3:$V$116)</f>
        <v>147540.69999999998</v>
      </c>
      <c r="O196" s="166">
        <f t="shared" ref="O196:O259" si="5">+A196-A195</f>
        <v>1</v>
      </c>
    </row>
    <row r="197" spans="1:15" x14ac:dyDescent="0.25">
      <c r="A197" s="299">
        <v>1821</v>
      </c>
      <c r="B197" s="300" t="s">
        <v>395</v>
      </c>
      <c r="C197" s="301" t="s">
        <v>225</v>
      </c>
      <c r="D197" s="301" t="s">
        <v>111</v>
      </c>
      <c r="E197" s="301" t="s">
        <v>112</v>
      </c>
      <c r="F197" s="301" t="s">
        <v>116</v>
      </c>
      <c r="G197" s="301" t="s">
        <v>353</v>
      </c>
      <c r="H197" s="301" t="s">
        <v>114</v>
      </c>
      <c r="I197" s="298"/>
      <c r="J197" s="298">
        <v>440</v>
      </c>
      <c r="K197" s="301" t="s">
        <v>396</v>
      </c>
      <c r="L197" s="96">
        <f>I197+J197*EERR!$D$2</f>
        <v>341673.2</v>
      </c>
      <c r="M197" s="96">
        <f>L197/EERR!$D$2</f>
        <v>440.00000000000006</v>
      </c>
      <c r="N197" s="96">
        <f>SUMIF(Nov!$B$3:$B$116,A197,Nov!$V$3:$V$116)</f>
        <v>0</v>
      </c>
      <c r="O197" s="166">
        <f t="shared" si="5"/>
        <v>1</v>
      </c>
    </row>
    <row r="198" spans="1:15" x14ac:dyDescent="0.25">
      <c r="A198" s="299">
        <v>1822</v>
      </c>
      <c r="B198" s="300" t="s">
        <v>397</v>
      </c>
      <c r="C198" s="301" t="s">
        <v>225</v>
      </c>
      <c r="D198" s="301" t="s">
        <v>111</v>
      </c>
      <c r="E198" s="301" t="s">
        <v>112</v>
      </c>
      <c r="F198" s="301" t="s">
        <v>113</v>
      </c>
      <c r="G198" s="301" t="s">
        <v>398</v>
      </c>
      <c r="H198" s="301" t="s">
        <v>114</v>
      </c>
      <c r="I198" s="298"/>
      <c r="J198" s="298">
        <v>220</v>
      </c>
      <c r="K198" s="301" t="s">
        <v>399</v>
      </c>
      <c r="L198" s="96">
        <f>I198+J198*EERR!$D$2</f>
        <v>170836.6</v>
      </c>
      <c r="M198" s="96">
        <f>L198/EERR!$D$2</f>
        <v>220.00000000000003</v>
      </c>
      <c r="N198" s="96">
        <f>SUMIF(Nov!$B$3:$B$116,A198,Nov!$V$3:$V$116)</f>
        <v>0</v>
      </c>
      <c r="O198" s="166">
        <f t="shared" si="5"/>
        <v>1</v>
      </c>
    </row>
    <row r="199" spans="1:15" x14ac:dyDescent="0.25">
      <c r="A199" s="299">
        <v>1823</v>
      </c>
      <c r="B199" s="300" t="s">
        <v>400</v>
      </c>
      <c r="C199" s="301" t="s">
        <v>225</v>
      </c>
      <c r="D199" s="301" t="s">
        <v>111</v>
      </c>
      <c r="E199" s="301" t="s">
        <v>112</v>
      </c>
      <c r="F199" s="301" t="s">
        <v>116</v>
      </c>
      <c r="G199" s="301" t="s">
        <v>401</v>
      </c>
      <c r="H199" s="301" t="s">
        <v>114</v>
      </c>
      <c r="I199" s="298"/>
      <c r="J199" s="298">
        <v>228</v>
      </c>
      <c r="K199" s="301" t="s">
        <v>402</v>
      </c>
      <c r="L199" s="96">
        <f>I199+J199*EERR!$D$2</f>
        <v>177048.84</v>
      </c>
      <c r="M199" s="96">
        <f>L199/EERR!$D$2</f>
        <v>228</v>
      </c>
      <c r="N199" s="96">
        <f>SUMIF(Nov!$B$3:$B$116,A199,Nov!$V$3:$V$116)</f>
        <v>661603.55999999994</v>
      </c>
      <c r="O199" s="166">
        <f t="shared" si="5"/>
        <v>1</v>
      </c>
    </row>
    <row r="200" spans="1:15" x14ac:dyDescent="0.25">
      <c r="A200" s="299">
        <v>1824</v>
      </c>
      <c r="B200" s="300" t="s">
        <v>403</v>
      </c>
      <c r="C200" s="301" t="s">
        <v>225</v>
      </c>
      <c r="D200" s="301" t="s">
        <v>111</v>
      </c>
      <c r="E200" s="301" t="s">
        <v>112</v>
      </c>
      <c r="F200" s="301" t="s">
        <v>116</v>
      </c>
      <c r="G200" s="301" t="s">
        <v>404</v>
      </c>
      <c r="H200" s="301" t="s">
        <v>114</v>
      </c>
      <c r="I200" s="298"/>
      <c r="J200" s="298">
        <v>240</v>
      </c>
      <c r="K200" s="301" t="s">
        <v>405</v>
      </c>
      <c r="L200" s="96">
        <f>I200+J200*EERR!$D$2</f>
        <v>186367.19999999998</v>
      </c>
      <c r="M200" s="96">
        <f>L200/EERR!$D$2</f>
        <v>240</v>
      </c>
      <c r="N200" s="96">
        <f>SUMIF(Nov!$B$3:$B$116,A200,Nov!$V$3:$V$116)</f>
        <v>1040550.2</v>
      </c>
      <c r="O200" s="166">
        <f t="shared" si="5"/>
        <v>1</v>
      </c>
    </row>
    <row r="201" spans="1:15" x14ac:dyDescent="0.25">
      <c r="A201" s="299">
        <v>1825</v>
      </c>
      <c r="B201" s="300" t="s">
        <v>406</v>
      </c>
      <c r="C201" s="301" t="s">
        <v>224</v>
      </c>
      <c r="D201" s="301" t="s">
        <v>111</v>
      </c>
      <c r="E201" s="301" t="s">
        <v>115</v>
      </c>
      <c r="F201" s="301" t="s">
        <v>113</v>
      </c>
      <c r="G201" s="301" t="s">
        <v>398</v>
      </c>
      <c r="H201" s="301" t="s">
        <v>115</v>
      </c>
      <c r="I201" s="298">
        <v>12000</v>
      </c>
      <c r="J201" s="298"/>
      <c r="K201" s="301" t="s">
        <v>305</v>
      </c>
      <c r="L201" s="96">
        <f>I201+J201*EERR!$D$2</f>
        <v>12000</v>
      </c>
      <c r="M201" s="96">
        <f>L201/EERR!$D$2</f>
        <v>15.453363038131174</v>
      </c>
      <c r="N201" s="96">
        <f>SUMIF(Nov!$B$3:$B$116,A201,Nov!$V$3:$V$116)</f>
        <v>0</v>
      </c>
      <c r="O201" s="166">
        <f t="shared" si="5"/>
        <v>1</v>
      </c>
    </row>
    <row r="202" spans="1:15" x14ac:dyDescent="0.25">
      <c r="A202" s="299">
        <v>1</v>
      </c>
      <c r="B202" s="300" t="s">
        <v>407</v>
      </c>
      <c r="C202" s="301" t="s">
        <v>225</v>
      </c>
      <c r="D202" s="301" t="s">
        <v>111</v>
      </c>
      <c r="E202" s="301" t="s">
        <v>112</v>
      </c>
      <c r="F202" s="301" t="s">
        <v>117</v>
      </c>
      <c r="G202" s="301" t="s">
        <v>335</v>
      </c>
      <c r="H202" s="301" t="s">
        <v>114</v>
      </c>
      <c r="I202" s="298"/>
      <c r="J202" s="298">
        <v>1045</v>
      </c>
      <c r="K202" s="301" t="s">
        <v>408</v>
      </c>
      <c r="L202" s="96">
        <f>I202+J202*EERR!$D$2</f>
        <v>811473.85</v>
      </c>
      <c r="M202" s="96">
        <f>L202/EERR!$D$2</f>
        <v>1045</v>
      </c>
      <c r="N202" s="96">
        <f>SUMIF(Nov!$B$3:$B$116,A202,Nov!$V$3:$V$116)</f>
        <v>0</v>
      </c>
      <c r="O202" s="166">
        <f t="shared" si="5"/>
        <v>-1824</v>
      </c>
    </row>
    <row r="203" spans="1:15" x14ac:dyDescent="0.25">
      <c r="A203" s="299">
        <v>2</v>
      </c>
      <c r="B203" s="300" t="s">
        <v>409</v>
      </c>
      <c r="C203" s="301" t="s">
        <v>225</v>
      </c>
      <c r="D203" s="301" t="s">
        <v>111</v>
      </c>
      <c r="E203" s="301" t="s">
        <v>112</v>
      </c>
      <c r="F203" s="301" t="s">
        <v>117</v>
      </c>
      <c r="G203" s="301" t="s">
        <v>333</v>
      </c>
      <c r="H203" s="301" t="s">
        <v>114</v>
      </c>
      <c r="I203" s="298"/>
      <c r="J203" s="298">
        <v>440</v>
      </c>
      <c r="K203" s="301" t="s">
        <v>410</v>
      </c>
      <c r="L203" s="96">
        <f>I203+J203*EERR!$D$2</f>
        <v>341673.2</v>
      </c>
      <c r="M203" s="96">
        <f>L203/EERR!$D$2</f>
        <v>440.00000000000006</v>
      </c>
      <c r="N203" s="96">
        <f>SUMIF(Nov!$B$3:$B$116,A203,Nov!$V$3:$V$116)</f>
        <v>0</v>
      </c>
      <c r="O203" s="166">
        <f t="shared" si="5"/>
        <v>1</v>
      </c>
    </row>
    <row r="204" spans="1:15" x14ac:dyDescent="0.25">
      <c r="A204" s="299">
        <v>3</v>
      </c>
      <c r="B204" s="300" t="s">
        <v>411</v>
      </c>
      <c r="C204" s="301" t="s">
        <v>225</v>
      </c>
      <c r="D204" s="301" t="s">
        <v>111</v>
      </c>
      <c r="E204" s="301" t="s">
        <v>112</v>
      </c>
      <c r="F204" s="301" t="s">
        <v>116</v>
      </c>
      <c r="G204" s="301" t="s">
        <v>412</v>
      </c>
      <c r="H204" s="301" t="s">
        <v>114</v>
      </c>
      <c r="I204" s="298"/>
      <c r="J204" s="298">
        <v>220</v>
      </c>
      <c r="K204" s="301" t="s">
        <v>413</v>
      </c>
      <c r="L204" s="96">
        <f>I204+J204*EERR!$D$2</f>
        <v>170836.6</v>
      </c>
      <c r="M204" s="96">
        <f>L204/EERR!$D$2</f>
        <v>220.00000000000003</v>
      </c>
      <c r="N204" s="96">
        <f>SUMIF(Nov!$B$3:$B$116,A204,Nov!$V$3:$V$116)</f>
        <v>854183</v>
      </c>
      <c r="O204" s="166">
        <f t="shared" si="5"/>
        <v>1</v>
      </c>
    </row>
    <row r="205" spans="1:15" x14ac:dyDescent="0.25">
      <c r="A205" s="299">
        <v>4</v>
      </c>
      <c r="B205" s="300" t="s">
        <v>414</v>
      </c>
      <c r="C205" s="301" t="s">
        <v>225</v>
      </c>
      <c r="D205" s="301" t="s">
        <v>111</v>
      </c>
      <c r="E205" s="301" t="s">
        <v>112</v>
      </c>
      <c r="F205" s="301" t="s">
        <v>117</v>
      </c>
      <c r="G205" s="301" t="s">
        <v>415</v>
      </c>
      <c r="H205" s="301" t="s">
        <v>114</v>
      </c>
      <c r="I205" s="298"/>
      <c r="J205" s="298">
        <v>220</v>
      </c>
      <c r="K205" s="301" t="s">
        <v>416</v>
      </c>
      <c r="L205" s="96">
        <f>I205+J205*EERR!$D$2</f>
        <v>170836.6</v>
      </c>
      <c r="M205" s="96">
        <f>L205/EERR!$D$2</f>
        <v>220.00000000000003</v>
      </c>
      <c r="N205" s="96">
        <f>SUMIF(Nov!$B$3:$B$116,A205,Nov!$V$3:$V$116)</f>
        <v>0</v>
      </c>
      <c r="O205" s="166">
        <f t="shared" si="5"/>
        <v>1</v>
      </c>
    </row>
    <row r="206" spans="1:15" x14ac:dyDescent="0.25">
      <c r="A206" s="299">
        <v>5</v>
      </c>
      <c r="B206" s="300" t="s">
        <v>417</v>
      </c>
      <c r="C206" s="301" t="s">
        <v>225</v>
      </c>
      <c r="D206" s="301" t="s">
        <v>111</v>
      </c>
      <c r="E206" s="301" t="s">
        <v>112</v>
      </c>
      <c r="F206" s="301" t="s">
        <v>113</v>
      </c>
      <c r="G206" s="301" t="s">
        <v>418</v>
      </c>
      <c r="H206" s="301" t="s">
        <v>114</v>
      </c>
      <c r="I206" s="298"/>
      <c r="J206" s="298">
        <v>180.5</v>
      </c>
      <c r="K206" s="301" t="s">
        <v>419</v>
      </c>
      <c r="L206" s="96">
        <f>I206+J206*EERR!$D$2</f>
        <v>140163.66500000001</v>
      </c>
      <c r="M206" s="96">
        <f>L206/EERR!$D$2</f>
        <v>180.50000000000003</v>
      </c>
      <c r="N206" s="96">
        <f>SUMIF(Nov!$B$3:$B$116,A206,Nov!$V$3:$V$116)</f>
        <v>420490.995</v>
      </c>
      <c r="O206" s="166">
        <f t="shared" si="5"/>
        <v>1</v>
      </c>
    </row>
    <row r="207" spans="1:15" x14ac:dyDescent="0.25">
      <c r="A207" s="299">
        <v>6</v>
      </c>
      <c r="B207" s="300" t="s">
        <v>420</v>
      </c>
      <c r="C207" s="301" t="s">
        <v>225</v>
      </c>
      <c r="D207" s="301" t="s">
        <v>111</v>
      </c>
      <c r="E207" s="301" t="s">
        <v>112</v>
      </c>
      <c r="F207" s="301" t="s">
        <v>113</v>
      </c>
      <c r="G207" s="301" t="s">
        <v>421</v>
      </c>
      <c r="H207" s="301" t="s">
        <v>114</v>
      </c>
      <c r="I207" s="298"/>
      <c r="J207" s="298">
        <v>209</v>
      </c>
      <c r="K207" s="301" t="s">
        <v>422</v>
      </c>
      <c r="L207" s="96">
        <f>I207+J207*EERR!$D$2</f>
        <v>162294.76999999999</v>
      </c>
      <c r="M207" s="96">
        <f>L207/EERR!$D$2</f>
        <v>209</v>
      </c>
      <c r="N207" s="96">
        <f>SUMIF(Nov!$B$3:$B$116,A207,Nov!$V$3:$V$116)</f>
        <v>162294.76999999999</v>
      </c>
      <c r="O207" s="166">
        <f t="shared" si="5"/>
        <v>1</v>
      </c>
    </row>
    <row r="208" spans="1:15" x14ac:dyDescent="0.25">
      <c r="A208" s="299">
        <v>7</v>
      </c>
      <c r="B208" s="300" t="s">
        <v>423</v>
      </c>
      <c r="C208" s="301" t="s">
        <v>225</v>
      </c>
      <c r="D208" s="301" t="s">
        <v>111</v>
      </c>
      <c r="E208" s="301" t="s">
        <v>112</v>
      </c>
      <c r="F208" s="301" t="s">
        <v>113</v>
      </c>
      <c r="G208" s="301" t="s">
        <v>421</v>
      </c>
      <c r="H208" s="301" t="s">
        <v>114</v>
      </c>
      <c r="I208" s="298"/>
      <c r="J208" s="298">
        <v>209</v>
      </c>
      <c r="K208" s="301" t="s">
        <v>424</v>
      </c>
      <c r="L208" s="96">
        <f>I208+J208*EERR!$D$2</f>
        <v>162294.76999999999</v>
      </c>
      <c r="M208" s="96">
        <f>L208/EERR!$D$2</f>
        <v>209</v>
      </c>
      <c r="N208" s="96">
        <f>SUMIF(Nov!$B$3:$B$116,A208,Nov!$V$3:$V$116)</f>
        <v>162294.76999999999</v>
      </c>
      <c r="O208" s="166">
        <f t="shared" si="5"/>
        <v>1</v>
      </c>
    </row>
    <row r="209" spans="1:15" x14ac:dyDescent="0.25">
      <c r="A209" s="299">
        <v>8</v>
      </c>
      <c r="B209" s="300" t="s">
        <v>425</v>
      </c>
      <c r="C209" s="301" t="s">
        <v>224</v>
      </c>
      <c r="D209" s="301" t="s">
        <v>111</v>
      </c>
      <c r="E209" s="301" t="s">
        <v>115</v>
      </c>
      <c r="F209" s="301" t="s">
        <v>117</v>
      </c>
      <c r="G209" s="301" t="s">
        <v>426</v>
      </c>
      <c r="H209" s="301" t="s">
        <v>115</v>
      </c>
      <c r="I209" s="298">
        <v>179071</v>
      </c>
      <c r="J209" s="298"/>
      <c r="K209" s="301" t="s">
        <v>427</v>
      </c>
      <c r="L209" s="96">
        <f>I209+J209*EERR!$D$2</f>
        <v>179071</v>
      </c>
      <c r="M209" s="96">
        <f>L209/EERR!$D$2</f>
        <v>230.60409771676561</v>
      </c>
      <c r="N209" s="96">
        <f>SUMIF(Nov!$B$3:$B$116,A209,Nov!$V$3:$V$116)</f>
        <v>0</v>
      </c>
      <c r="O209" s="166">
        <f t="shared" si="5"/>
        <v>1</v>
      </c>
    </row>
    <row r="210" spans="1:15" x14ac:dyDescent="0.25">
      <c r="A210" s="337">
        <v>8</v>
      </c>
      <c r="B210" s="338" t="s">
        <v>425</v>
      </c>
      <c r="C210" s="339" t="s">
        <v>224</v>
      </c>
      <c r="D210" s="339" t="s">
        <v>111</v>
      </c>
      <c r="E210" s="339" t="s">
        <v>340</v>
      </c>
      <c r="F210" s="339" t="s">
        <v>117</v>
      </c>
      <c r="G210" s="339" t="s">
        <v>426</v>
      </c>
      <c r="H210" s="339" t="s">
        <v>115</v>
      </c>
      <c r="I210" s="340">
        <v>-179071</v>
      </c>
      <c r="J210" s="340"/>
      <c r="K210" s="339" t="s">
        <v>427</v>
      </c>
      <c r="L210" s="96">
        <f>I210+J210*EERR!$D$2</f>
        <v>-179071</v>
      </c>
      <c r="M210" s="96">
        <f>L210/EERR!$D$2</f>
        <v>-230.60409771676561</v>
      </c>
      <c r="N210" s="96">
        <f>SUMIF(Nov!$B$3:$B$116,A210,Nov!$V$3:$V$116)</f>
        <v>0</v>
      </c>
      <c r="O210" s="166">
        <f t="shared" si="5"/>
        <v>0</v>
      </c>
    </row>
    <row r="211" spans="1:15" x14ac:dyDescent="0.25">
      <c r="A211" s="299">
        <v>9</v>
      </c>
      <c r="B211" s="300" t="s">
        <v>428</v>
      </c>
      <c r="C211" s="301" t="s">
        <v>225</v>
      </c>
      <c r="D211" s="301" t="s">
        <v>111</v>
      </c>
      <c r="E211" s="301" t="s">
        <v>112</v>
      </c>
      <c r="F211" s="301" t="s">
        <v>116</v>
      </c>
      <c r="G211" s="301" t="s">
        <v>429</v>
      </c>
      <c r="H211" s="301" t="s">
        <v>114</v>
      </c>
      <c r="I211" s="298"/>
      <c r="J211" s="298">
        <v>410</v>
      </c>
      <c r="K211" s="301" t="s">
        <v>430</v>
      </c>
      <c r="L211" s="96">
        <f>I211+J211*EERR!$D$2</f>
        <v>318377.3</v>
      </c>
      <c r="M211" s="96">
        <f>L211/EERR!$D$2</f>
        <v>410</v>
      </c>
      <c r="N211" s="96">
        <f>SUMIF(Nov!$B$3:$B$116,A211,Nov!$V$3:$V$116)</f>
        <v>1296805.0999999999</v>
      </c>
      <c r="O211" s="166">
        <f t="shared" si="5"/>
        <v>1</v>
      </c>
    </row>
    <row r="212" spans="1:15" x14ac:dyDescent="0.25">
      <c r="A212" s="299">
        <v>10</v>
      </c>
      <c r="B212" s="300" t="s">
        <v>431</v>
      </c>
      <c r="C212" s="301" t="s">
        <v>224</v>
      </c>
      <c r="D212" s="301" t="s">
        <v>111</v>
      </c>
      <c r="E212" s="301" t="s">
        <v>115</v>
      </c>
      <c r="F212" s="301" t="s">
        <v>116</v>
      </c>
      <c r="G212" s="301" t="s">
        <v>432</v>
      </c>
      <c r="H212" s="301" t="s">
        <v>115</v>
      </c>
      <c r="I212" s="298">
        <v>179071</v>
      </c>
      <c r="J212" s="298"/>
      <c r="K212" s="301" t="s">
        <v>433</v>
      </c>
      <c r="L212" s="96">
        <f>I212+J212*EERR!$D$2</f>
        <v>179071</v>
      </c>
      <c r="M212" s="96">
        <f>L212/EERR!$D$2</f>
        <v>230.60409771676561</v>
      </c>
      <c r="N212" s="96">
        <f>SUMIF(Nov!$B$3:$B$116,A212,Nov!$V$3:$V$116)</f>
        <v>720761</v>
      </c>
      <c r="O212" s="166">
        <f t="shared" si="5"/>
        <v>1</v>
      </c>
    </row>
    <row r="213" spans="1:15" x14ac:dyDescent="0.25">
      <c r="A213" s="299">
        <v>11</v>
      </c>
      <c r="B213" s="300" t="s">
        <v>434</v>
      </c>
      <c r="C213" s="301" t="s">
        <v>225</v>
      </c>
      <c r="D213" s="301" t="s">
        <v>111</v>
      </c>
      <c r="E213" s="301" t="s">
        <v>112</v>
      </c>
      <c r="F213" s="301" t="s">
        <v>116</v>
      </c>
      <c r="G213" s="301" t="s">
        <v>435</v>
      </c>
      <c r="H213" s="301" t="s">
        <v>114</v>
      </c>
      <c r="I213" s="298"/>
      <c r="J213" s="298">
        <v>220</v>
      </c>
      <c r="K213" s="301" t="s">
        <v>436</v>
      </c>
      <c r="L213" s="96">
        <f>I213+J213*EERR!$D$2</f>
        <v>170836.6</v>
      </c>
      <c r="M213" s="96">
        <f>L213/EERR!$D$2</f>
        <v>220.00000000000003</v>
      </c>
      <c r="N213" s="96">
        <f>SUMIF(Nov!$B$3:$B$116,A213,Nov!$V$3:$V$116)</f>
        <v>0</v>
      </c>
      <c r="O213" s="166">
        <f t="shared" si="5"/>
        <v>1</v>
      </c>
    </row>
    <row r="214" spans="1:15" x14ac:dyDescent="0.25">
      <c r="A214" s="299">
        <v>12</v>
      </c>
      <c r="B214" s="300" t="s">
        <v>437</v>
      </c>
      <c r="C214" s="301" t="s">
        <v>225</v>
      </c>
      <c r="D214" s="301" t="s">
        <v>111</v>
      </c>
      <c r="E214" s="301" t="s">
        <v>112</v>
      </c>
      <c r="F214" s="301" t="s">
        <v>117</v>
      </c>
      <c r="G214" s="301" t="s">
        <v>438</v>
      </c>
      <c r="H214" s="301" t="s">
        <v>114</v>
      </c>
      <c r="I214" s="298"/>
      <c r="J214" s="298">
        <v>220</v>
      </c>
      <c r="K214" s="301" t="s">
        <v>439</v>
      </c>
      <c r="L214" s="96">
        <f>I214+J214*EERR!$D$2</f>
        <v>170836.6</v>
      </c>
      <c r="M214" s="96">
        <f>L214/EERR!$D$2</f>
        <v>220.00000000000003</v>
      </c>
      <c r="N214" s="96">
        <f>SUMIF(Nov!$B$3:$B$116,A214,Nov!$V$3:$V$116)</f>
        <v>512509.8</v>
      </c>
      <c r="O214" s="166">
        <f t="shared" si="5"/>
        <v>1</v>
      </c>
    </row>
    <row r="215" spans="1:15" x14ac:dyDescent="0.25">
      <c r="A215" s="299">
        <v>13</v>
      </c>
      <c r="B215" s="300" t="s">
        <v>440</v>
      </c>
      <c r="C215" s="301" t="s">
        <v>225</v>
      </c>
      <c r="D215" s="301" t="s">
        <v>111</v>
      </c>
      <c r="E215" s="301" t="s">
        <v>112</v>
      </c>
      <c r="F215" s="301" t="s">
        <v>116</v>
      </c>
      <c r="G215" s="301" t="s">
        <v>441</v>
      </c>
      <c r="H215" s="301" t="s">
        <v>114</v>
      </c>
      <c r="I215" s="298"/>
      <c r="J215" s="298">
        <v>220</v>
      </c>
      <c r="K215" s="301" t="s">
        <v>442</v>
      </c>
      <c r="L215" s="96">
        <f>I215+J215*EERR!$D$2</f>
        <v>170836.6</v>
      </c>
      <c r="M215" s="96">
        <f>L215/EERR!$D$2</f>
        <v>220.00000000000003</v>
      </c>
      <c r="N215" s="96">
        <f>SUMIF(Nov!$B$3:$B$116,A215,Nov!$V$3:$V$116)</f>
        <v>0</v>
      </c>
      <c r="O215" s="166">
        <f t="shared" si="5"/>
        <v>1</v>
      </c>
    </row>
    <row r="216" spans="1:15" x14ac:dyDescent="0.25">
      <c r="A216" s="299">
        <v>14</v>
      </c>
      <c r="B216" s="300" t="s">
        <v>443</v>
      </c>
      <c r="C216" s="301" t="s">
        <v>225</v>
      </c>
      <c r="D216" s="301" t="s">
        <v>111</v>
      </c>
      <c r="E216" s="301" t="s">
        <v>112</v>
      </c>
      <c r="F216" s="301" t="s">
        <v>117</v>
      </c>
      <c r="G216" s="301" t="s">
        <v>384</v>
      </c>
      <c r="H216" s="301" t="s">
        <v>114</v>
      </c>
      <c r="I216" s="298"/>
      <c r="J216" s="298">
        <v>220</v>
      </c>
      <c r="K216" s="301" t="s">
        <v>444</v>
      </c>
      <c r="L216" s="96">
        <f>I216+J216*EERR!$D$2</f>
        <v>170836.6</v>
      </c>
      <c r="M216" s="96">
        <f>L216/EERR!$D$2</f>
        <v>220.00000000000003</v>
      </c>
      <c r="N216" s="96">
        <f>SUMIF(Nov!$B$3:$B$116,A216,Nov!$V$3:$V$116)</f>
        <v>170836.6</v>
      </c>
      <c r="O216" s="166">
        <f t="shared" si="5"/>
        <v>1</v>
      </c>
    </row>
    <row r="217" spans="1:15" x14ac:dyDescent="0.25">
      <c r="A217" s="299">
        <v>15</v>
      </c>
      <c r="B217" s="300" t="s">
        <v>445</v>
      </c>
      <c r="C217" s="301" t="s">
        <v>225</v>
      </c>
      <c r="D217" s="301" t="s">
        <v>111</v>
      </c>
      <c r="E217" s="301" t="s">
        <v>112</v>
      </c>
      <c r="F217" s="301" t="s">
        <v>117</v>
      </c>
      <c r="G217" s="301" t="s">
        <v>446</v>
      </c>
      <c r="H217" s="301" t="s">
        <v>114</v>
      </c>
      <c r="I217" s="298"/>
      <c r="J217" s="298">
        <v>220</v>
      </c>
      <c r="K217" s="301" t="s">
        <v>447</v>
      </c>
      <c r="L217" s="96">
        <f>I217+J217*EERR!$D$2</f>
        <v>170836.6</v>
      </c>
      <c r="M217" s="96">
        <f>L217/EERR!$D$2</f>
        <v>220.00000000000003</v>
      </c>
      <c r="N217" s="96">
        <f>SUMIF(Nov!$B$3:$B$116,A217,Nov!$V$3:$V$116)</f>
        <v>341673.2</v>
      </c>
      <c r="O217" s="166">
        <f t="shared" si="5"/>
        <v>1</v>
      </c>
    </row>
    <row r="218" spans="1:15" x14ac:dyDescent="0.25">
      <c r="A218" s="299">
        <v>16</v>
      </c>
      <c r="B218" s="300" t="s">
        <v>448</v>
      </c>
      <c r="C218" s="301" t="s">
        <v>225</v>
      </c>
      <c r="D218" s="301" t="s">
        <v>111</v>
      </c>
      <c r="E218" s="301" t="s">
        <v>112</v>
      </c>
      <c r="F218" s="301" t="s">
        <v>117</v>
      </c>
      <c r="G218" s="301" t="s">
        <v>449</v>
      </c>
      <c r="H218" s="301" t="s">
        <v>114</v>
      </c>
      <c r="I218" s="298"/>
      <c r="J218" s="298">
        <v>627</v>
      </c>
      <c r="K218" s="301" t="s">
        <v>450</v>
      </c>
      <c r="L218" s="96">
        <f>I218+J218*EERR!$D$2</f>
        <v>486884.31</v>
      </c>
      <c r="M218" s="96">
        <f>L218/EERR!$D$2</f>
        <v>627</v>
      </c>
      <c r="N218" s="96">
        <f>SUMIF(Nov!$B$3:$B$116,A218,Nov!$V$3:$V$116)</f>
        <v>486884.31</v>
      </c>
      <c r="O218" s="166">
        <f t="shared" si="5"/>
        <v>1</v>
      </c>
    </row>
    <row r="219" spans="1:15" x14ac:dyDescent="0.25">
      <c r="A219" s="299">
        <v>17</v>
      </c>
      <c r="B219" s="300" t="s">
        <v>451</v>
      </c>
      <c r="C219" s="301" t="s">
        <v>225</v>
      </c>
      <c r="D219" s="301" t="s">
        <v>111</v>
      </c>
      <c r="E219" s="301" t="s">
        <v>112</v>
      </c>
      <c r="F219" s="301" t="s">
        <v>116</v>
      </c>
      <c r="G219" s="301" t="s">
        <v>404</v>
      </c>
      <c r="H219" s="301" t="s">
        <v>114</v>
      </c>
      <c r="I219" s="298"/>
      <c r="J219" s="298">
        <v>220</v>
      </c>
      <c r="K219" s="301" t="s">
        <v>452</v>
      </c>
      <c r="L219" s="96">
        <f>I219+J219*EERR!$D$2</f>
        <v>170836.6</v>
      </c>
      <c r="M219" s="96">
        <f>L219/EERR!$D$2</f>
        <v>220.00000000000003</v>
      </c>
      <c r="N219" s="96">
        <f>SUMIF(Nov!$B$3:$B$116,A219,Nov!$V$3:$V$116)</f>
        <v>0</v>
      </c>
      <c r="O219" s="166">
        <f t="shared" si="5"/>
        <v>1</v>
      </c>
    </row>
    <row r="220" spans="1:15" x14ac:dyDescent="0.25">
      <c r="A220" s="299">
        <v>18</v>
      </c>
      <c r="B220" s="300" t="s">
        <v>453</v>
      </c>
      <c r="C220" s="301" t="s">
        <v>225</v>
      </c>
      <c r="D220" s="301" t="s">
        <v>111</v>
      </c>
      <c r="E220" s="301" t="s">
        <v>112</v>
      </c>
      <c r="F220" s="301" t="s">
        <v>117</v>
      </c>
      <c r="G220" s="301" t="s">
        <v>454</v>
      </c>
      <c r="H220" s="301" t="s">
        <v>114</v>
      </c>
      <c r="I220" s="298"/>
      <c r="J220" s="298">
        <v>220</v>
      </c>
      <c r="K220" s="301" t="s">
        <v>455</v>
      </c>
      <c r="L220" s="96">
        <f>I220+J220*EERR!$D$2</f>
        <v>170836.6</v>
      </c>
      <c r="M220" s="96">
        <f>L220/EERR!$D$2</f>
        <v>220.00000000000003</v>
      </c>
      <c r="N220" s="96">
        <f>SUMIF(Nov!$B$3:$B$116,A220,Nov!$V$3:$V$116)</f>
        <v>0</v>
      </c>
      <c r="O220" s="166">
        <f t="shared" si="5"/>
        <v>1</v>
      </c>
    </row>
    <row r="221" spans="1:15" x14ac:dyDescent="0.25">
      <c r="A221" s="299">
        <v>19</v>
      </c>
      <c r="B221" s="300" t="s">
        <v>456</v>
      </c>
      <c r="C221" s="301" t="s">
        <v>225</v>
      </c>
      <c r="D221" s="301" t="s">
        <v>111</v>
      </c>
      <c r="E221" s="301" t="s">
        <v>112</v>
      </c>
      <c r="F221" s="301" t="s">
        <v>113</v>
      </c>
      <c r="G221" s="301" t="s">
        <v>337</v>
      </c>
      <c r="H221" s="301" t="s">
        <v>114</v>
      </c>
      <c r="I221" s="298"/>
      <c r="J221" s="298">
        <v>418</v>
      </c>
      <c r="K221" s="301" t="s">
        <v>320</v>
      </c>
      <c r="L221" s="96">
        <f>I221+J221*EERR!$D$2</f>
        <v>324589.53999999998</v>
      </c>
      <c r="M221" s="96">
        <f>L221/EERR!$D$2</f>
        <v>418</v>
      </c>
      <c r="N221" s="96">
        <f>SUMIF(Nov!$B$3:$B$116,A221,Nov!$V$3:$V$116)</f>
        <v>0</v>
      </c>
      <c r="O221" s="166">
        <f t="shared" si="5"/>
        <v>1</v>
      </c>
    </row>
    <row r="222" spans="1:15" x14ac:dyDescent="0.25">
      <c r="A222" s="299">
        <v>20</v>
      </c>
      <c r="B222" s="300" t="s">
        <v>457</v>
      </c>
      <c r="C222" s="301" t="s">
        <v>224</v>
      </c>
      <c r="D222" s="301" t="s">
        <v>111</v>
      </c>
      <c r="E222" s="301" t="s">
        <v>115</v>
      </c>
      <c r="F222" s="301" t="s">
        <v>117</v>
      </c>
      <c r="G222" s="301" t="s">
        <v>338</v>
      </c>
      <c r="H222" s="301" t="s">
        <v>318</v>
      </c>
      <c r="I222" s="298">
        <v>378040</v>
      </c>
      <c r="J222" s="298"/>
      <c r="K222" s="301" t="s">
        <v>458</v>
      </c>
      <c r="L222" s="96">
        <f>I222+J222*EERR!$D$2</f>
        <v>378040</v>
      </c>
      <c r="M222" s="96">
        <f>L222/EERR!$D$2</f>
        <v>486.83244691125907</v>
      </c>
      <c r="N222" s="96">
        <f>SUMIF(Nov!$B$3:$B$116,A222,Nov!$V$3:$V$116)</f>
        <v>0</v>
      </c>
      <c r="O222" s="166">
        <f t="shared" si="5"/>
        <v>1</v>
      </c>
    </row>
    <row r="223" spans="1:15" x14ac:dyDescent="0.25">
      <c r="A223" s="299">
        <v>21</v>
      </c>
      <c r="B223" s="300" t="s">
        <v>459</v>
      </c>
      <c r="C223" s="301" t="s">
        <v>225</v>
      </c>
      <c r="D223" s="301" t="s">
        <v>111</v>
      </c>
      <c r="E223" s="301" t="s">
        <v>112</v>
      </c>
      <c r="F223" s="301" t="s">
        <v>116</v>
      </c>
      <c r="G223" s="301" t="s">
        <v>460</v>
      </c>
      <c r="H223" s="301" t="s">
        <v>114</v>
      </c>
      <c r="I223" s="298"/>
      <c r="J223" s="298">
        <v>660</v>
      </c>
      <c r="K223" s="301" t="s">
        <v>461</v>
      </c>
      <c r="L223" s="96">
        <f>I223+J223*EERR!$D$2</f>
        <v>512509.8</v>
      </c>
      <c r="M223" s="96">
        <f>L223/EERR!$D$2</f>
        <v>660</v>
      </c>
      <c r="N223" s="96">
        <f>SUMIF(Nov!$B$3:$B$116,A223,Nov!$V$3:$V$116)</f>
        <v>0</v>
      </c>
      <c r="O223" s="166">
        <f t="shared" si="5"/>
        <v>1</v>
      </c>
    </row>
    <row r="224" spans="1:15" x14ac:dyDescent="0.25">
      <c r="A224" s="299">
        <v>22</v>
      </c>
      <c r="B224" s="300" t="s">
        <v>462</v>
      </c>
      <c r="C224" s="301" t="s">
        <v>224</v>
      </c>
      <c r="D224" s="301" t="s">
        <v>111</v>
      </c>
      <c r="E224" s="301" t="s">
        <v>115</v>
      </c>
      <c r="F224" s="301" t="s">
        <v>311</v>
      </c>
      <c r="G224" s="301" t="s">
        <v>463</v>
      </c>
      <c r="H224" s="301" t="s">
        <v>312</v>
      </c>
      <c r="I224" s="298">
        <v>125625</v>
      </c>
      <c r="J224" s="298"/>
      <c r="K224" s="301" t="s">
        <v>464</v>
      </c>
      <c r="L224" s="96">
        <f>I224+J224*EERR!$D$2</f>
        <v>125625</v>
      </c>
      <c r="M224" s="96">
        <f>L224/EERR!$D$2</f>
        <v>161.77739430543573</v>
      </c>
      <c r="N224" s="96">
        <f>SUMIF(Nov!$B$3:$B$116,A224,Nov!$V$3:$V$116)</f>
        <v>0</v>
      </c>
      <c r="O224" s="166">
        <f t="shared" si="5"/>
        <v>1</v>
      </c>
    </row>
    <row r="225" spans="1:17" x14ac:dyDescent="0.25">
      <c r="A225" s="299">
        <v>23</v>
      </c>
      <c r="B225" s="300" t="s">
        <v>465</v>
      </c>
      <c r="C225" s="301" t="s">
        <v>224</v>
      </c>
      <c r="D225" s="301" t="s">
        <v>111</v>
      </c>
      <c r="E225" s="301" t="s">
        <v>115</v>
      </c>
      <c r="F225" s="301" t="s">
        <v>116</v>
      </c>
      <c r="G225" s="301" t="s">
        <v>339</v>
      </c>
      <c r="H225" s="301" t="s">
        <v>115</v>
      </c>
      <c r="I225" s="298">
        <v>378040</v>
      </c>
      <c r="J225" s="298"/>
      <c r="K225" s="301" t="s">
        <v>466</v>
      </c>
      <c r="L225" s="96">
        <f>I225+J225*EERR!$D$2</f>
        <v>378040</v>
      </c>
      <c r="M225" s="96">
        <f>L225/EERR!$D$2</f>
        <v>486.83244691125907</v>
      </c>
      <c r="N225" s="96">
        <f>SUMIF(Nov!$B$3:$B$116,A225,Nov!$V$3:$V$116)</f>
        <v>0</v>
      </c>
      <c r="O225" s="166">
        <f t="shared" si="5"/>
        <v>1</v>
      </c>
    </row>
    <row r="226" spans="1:17" x14ac:dyDescent="0.25">
      <c r="A226" s="299">
        <v>24</v>
      </c>
      <c r="B226" s="300" t="s">
        <v>467</v>
      </c>
      <c r="C226" s="301" t="s">
        <v>224</v>
      </c>
      <c r="D226" s="301" t="s">
        <v>111</v>
      </c>
      <c r="E226" s="301" t="s">
        <v>115</v>
      </c>
      <c r="F226" s="301" t="s">
        <v>116</v>
      </c>
      <c r="G226" s="301" t="s">
        <v>341</v>
      </c>
      <c r="H226" s="301" t="s">
        <v>115</v>
      </c>
      <c r="I226" s="298">
        <v>157080</v>
      </c>
      <c r="J226" s="298"/>
      <c r="K226" s="301" t="s">
        <v>468</v>
      </c>
      <c r="L226" s="96">
        <f>I226+J226*EERR!$D$2</f>
        <v>157080</v>
      </c>
      <c r="M226" s="96">
        <f>L226/EERR!$D$2</f>
        <v>202.28452216913706</v>
      </c>
      <c r="N226" s="96">
        <f>SUMIF(Nov!$B$3:$B$116,A226,Nov!$V$3:$V$116)</f>
        <v>0</v>
      </c>
      <c r="O226" s="166">
        <f t="shared" si="5"/>
        <v>1</v>
      </c>
    </row>
    <row r="227" spans="1:17" x14ac:dyDescent="0.25">
      <c r="A227" s="299">
        <v>25</v>
      </c>
      <c r="B227" s="300" t="s">
        <v>469</v>
      </c>
      <c r="C227" s="301" t="s">
        <v>225</v>
      </c>
      <c r="D227" s="301" t="s">
        <v>111</v>
      </c>
      <c r="E227" s="301" t="s">
        <v>112</v>
      </c>
      <c r="F227" s="301" t="s">
        <v>116</v>
      </c>
      <c r="G227" s="301" t="s">
        <v>470</v>
      </c>
      <c r="H227" s="301" t="s">
        <v>114</v>
      </c>
      <c r="I227" s="298"/>
      <c r="J227" s="298">
        <v>220</v>
      </c>
      <c r="K227" s="301" t="s">
        <v>471</v>
      </c>
      <c r="L227" s="96">
        <f>I227+J227*EERR!$D$2</f>
        <v>170836.6</v>
      </c>
      <c r="M227" s="96">
        <f>L227/EERR!$D$2</f>
        <v>220.00000000000003</v>
      </c>
      <c r="N227" s="96">
        <f>SUMIF(Nov!$B$3:$B$116,A227,Nov!$V$3:$V$116)</f>
        <v>0</v>
      </c>
      <c r="O227" s="166">
        <f t="shared" si="5"/>
        <v>1</v>
      </c>
    </row>
    <row r="228" spans="1:17" x14ac:dyDescent="0.25">
      <c r="A228" s="299">
        <v>26</v>
      </c>
      <c r="B228" s="300" t="s">
        <v>472</v>
      </c>
      <c r="C228" s="301" t="s">
        <v>225</v>
      </c>
      <c r="D228" s="301" t="s">
        <v>111</v>
      </c>
      <c r="E228" s="301" t="s">
        <v>112</v>
      </c>
      <c r="F228" s="301" t="s">
        <v>116</v>
      </c>
      <c r="G228" s="301" t="s">
        <v>473</v>
      </c>
      <c r="H228" s="301" t="s">
        <v>114</v>
      </c>
      <c r="I228" s="298"/>
      <c r="J228" s="298">
        <v>220</v>
      </c>
      <c r="K228" s="301" t="s">
        <v>474</v>
      </c>
      <c r="L228" s="96">
        <f>I228+J228*EERR!$D$2</f>
        <v>170836.6</v>
      </c>
      <c r="M228" s="96">
        <f>L228/EERR!$D$2</f>
        <v>220.00000000000003</v>
      </c>
      <c r="N228" s="96">
        <f>SUMIF(Nov!$B$3:$B$116,A228,Nov!$V$3:$V$116)</f>
        <v>1040550.2</v>
      </c>
      <c r="O228" s="166">
        <f t="shared" si="5"/>
        <v>1</v>
      </c>
    </row>
    <row r="229" spans="1:17" x14ac:dyDescent="0.25">
      <c r="A229" s="299">
        <v>27</v>
      </c>
      <c r="B229" s="300" t="s">
        <v>475</v>
      </c>
      <c r="C229" s="301" t="s">
        <v>225</v>
      </c>
      <c r="D229" s="301" t="s">
        <v>111</v>
      </c>
      <c r="E229" s="301" t="s">
        <v>112</v>
      </c>
      <c r="F229" s="301" t="s">
        <v>116</v>
      </c>
      <c r="G229" s="301" t="s">
        <v>476</v>
      </c>
      <c r="H229" s="301" t="s">
        <v>114</v>
      </c>
      <c r="I229" s="298"/>
      <c r="J229" s="298">
        <v>440</v>
      </c>
      <c r="K229" s="301" t="s">
        <v>477</v>
      </c>
      <c r="L229" s="96">
        <f>I229+J229*EERR!$D$2</f>
        <v>341673.2</v>
      </c>
      <c r="M229" s="96">
        <f>L229/EERR!$D$2</f>
        <v>440.00000000000006</v>
      </c>
      <c r="N229" s="96">
        <f>SUMIF(Nov!$B$3:$B$116,A229,Nov!$V$3:$V$116)</f>
        <v>3168242.4</v>
      </c>
      <c r="O229" s="166">
        <f t="shared" si="5"/>
        <v>1</v>
      </c>
    </row>
    <row r="230" spans="1:17" x14ac:dyDescent="0.25">
      <c r="A230" s="299">
        <v>28</v>
      </c>
      <c r="B230" s="300" t="s">
        <v>478</v>
      </c>
      <c r="C230" s="301" t="s">
        <v>225</v>
      </c>
      <c r="D230" s="301" t="s">
        <v>111</v>
      </c>
      <c r="E230" s="301" t="s">
        <v>112</v>
      </c>
      <c r="F230" s="301" t="s">
        <v>117</v>
      </c>
      <c r="G230" s="301" t="s">
        <v>415</v>
      </c>
      <c r="H230" s="301" t="s">
        <v>114</v>
      </c>
      <c r="I230" s="298"/>
      <c r="J230" s="298">
        <v>209</v>
      </c>
      <c r="K230" s="301" t="s">
        <v>479</v>
      </c>
      <c r="L230" s="96">
        <f>I230+J230*EERR!$D$2</f>
        <v>162294.76999999999</v>
      </c>
      <c r="M230" s="96">
        <f>L230/EERR!$D$2</f>
        <v>209</v>
      </c>
      <c r="N230" s="96">
        <f>SUMIF(Nov!$B$3:$B$116,A230,Nov!$V$3:$V$116)</f>
        <v>0</v>
      </c>
      <c r="O230" s="166">
        <f t="shared" si="5"/>
        <v>1</v>
      </c>
    </row>
    <row r="231" spans="1:17" x14ac:dyDescent="0.25">
      <c r="A231" s="299">
        <v>29</v>
      </c>
      <c r="B231" s="300" t="s">
        <v>480</v>
      </c>
      <c r="C231" s="301" t="s">
        <v>225</v>
      </c>
      <c r="D231" s="301" t="s">
        <v>111</v>
      </c>
      <c r="E231" s="301" t="s">
        <v>112</v>
      </c>
      <c r="F231" s="301" t="s">
        <v>116</v>
      </c>
      <c r="G231" s="301" t="s">
        <v>481</v>
      </c>
      <c r="H231" s="301" t="s">
        <v>114</v>
      </c>
      <c r="I231" s="298"/>
      <c r="J231" s="298">
        <v>220</v>
      </c>
      <c r="K231" s="301" t="s">
        <v>482</v>
      </c>
      <c r="L231" s="96">
        <f>I231+J231*EERR!$D$2</f>
        <v>170836.6</v>
      </c>
      <c r="M231" s="96">
        <f>L231/EERR!$D$2</f>
        <v>220.00000000000003</v>
      </c>
      <c r="N231" s="96">
        <f>SUMIF(Nov!$B$3:$B$116,A231,Nov!$V$3:$V$116)</f>
        <v>170836.6</v>
      </c>
      <c r="O231" s="166">
        <f t="shared" si="5"/>
        <v>1</v>
      </c>
      <c r="Q231" s="209">
        <v>1</v>
      </c>
    </row>
    <row r="232" spans="1:17" x14ac:dyDescent="0.25">
      <c r="A232" s="299">
        <v>30</v>
      </c>
      <c r="B232" s="300" t="s">
        <v>483</v>
      </c>
      <c r="C232" s="301" t="s">
        <v>224</v>
      </c>
      <c r="D232" s="301" t="s">
        <v>111</v>
      </c>
      <c r="E232" s="301" t="s">
        <v>115</v>
      </c>
      <c r="F232" s="301" t="s">
        <v>116</v>
      </c>
      <c r="G232" s="301" t="s">
        <v>484</v>
      </c>
      <c r="H232" s="301" t="s">
        <v>115</v>
      </c>
      <c r="I232" s="298">
        <v>189543</v>
      </c>
      <c r="J232" s="298"/>
      <c r="K232" s="301" t="s">
        <v>485</v>
      </c>
      <c r="L232" s="96">
        <f>I232+J232*EERR!$D$2</f>
        <v>189543</v>
      </c>
      <c r="M232" s="96">
        <f>L232/EERR!$D$2</f>
        <v>244.08973252804142</v>
      </c>
      <c r="N232" s="96">
        <f>SUMIF(Nov!$B$3:$B$116,A232,Nov!$V$3:$V$116)</f>
        <v>0</v>
      </c>
      <c r="O232" s="166">
        <f t="shared" si="5"/>
        <v>1</v>
      </c>
    </row>
    <row r="233" spans="1:17" x14ac:dyDescent="0.25">
      <c r="A233" s="299">
        <v>31</v>
      </c>
      <c r="B233" s="300" t="s">
        <v>486</v>
      </c>
      <c r="C233" s="301" t="s">
        <v>225</v>
      </c>
      <c r="D233" s="301" t="s">
        <v>111</v>
      </c>
      <c r="E233" s="301" t="s">
        <v>112</v>
      </c>
      <c r="F233" s="301" t="s">
        <v>117</v>
      </c>
      <c r="G233" s="301" t="s">
        <v>487</v>
      </c>
      <c r="H233" s="301" t="s">
        <v>114</v>
      </c>
      <c r="I233" s="298"/>
      <c r="J233" s="298">
        <v>2200</v>
      </c>
      <c r="K233" s="301" t="s">
        <v>488</v>
      </c>
      <c r="L233" s="96">
        <f>I233+J233*EERR!$D$2</f>
        <v>1708366</v>
      </c>
      <c r="M233" s="96">
        <f>L233/EERR!$D$2</f>
        <v>2200</v>
      </c>
      <c r="N233" s="96">
        <f>SUMIF(Nov!$B$3:$B$116,A233,Nov!$V$3:$V$116)</f>
        <v>0</v>
      </c>
      <c r="O233" s="166">
        <f t="shared" si="5"/>
        <v>1</v>
      </c>
    </row>
    <row r="234" spans="1:17" x14ac:dyDescent="0.25">
      <c r="A234" s="299">
        <v>32</v>
      </c>
      <c r="B234" s="300" t="s">
        <v>489</v>
      </c>
      <c r="C234" s="301" t="s">
        <v>225</v>
      </c>
      <c r="D234" s="301" t="s">
        <v>111</v>
      </c>
      <c r="E234" s="301" t="s">
        <v>112</v>
      </c>
      <c r="F234" s="301" t="s">
        <v>117</v>
      </c>
      <c r="G234" s="301" t="s">
        <v>490</v>
      </c>
      <c r="H234" s="301" t="s">
        <v>114</v>
      </c>
      <c r="I234" s="298"/>
      <c r="J234" s="298">
        <v>220</v>
      </c>
      <c r="K234" s="301" t="s">
        <v>491</v>
      </c>
      <c r="L234" s="96">
        <f>I234+J234*EERR!$D$2</f>
        <v>170836.6</v>
      </c>
      <c r="M234" s="96">
        <f>L234/EERR!$D$2</f>
        <v>220.00000000000003</v>
      </c>
      <c r="N234" s="96">
        <f>SUMIF(Nov!$B$3:$B$116,A234,Nov!$V$3:$V$116)</f>
        <v>512509.8</v>
      </c>
      <c r="O234" s="166">
        <f t="shared" si="5"/>
        <v>1</v>
      </c>
    </row>
    <row r="235" spans="1:17" x14ac:dyDescent="0.25">
      <c r="A235" s="299">
        <v>33</v>
      </c>
      <c r="B235" s="300" t="s">
        <v>492</v>
      </c>
      <c r="C235" s="301" t="s">
        <v>225</v>
      </c>
      <c r="D235" s="301" t="s">
        <v>111</v>
      </c>
      <c r="E235" s="301" t="s">
        <v>112</v>
      </c>
      <c r="F235" s="301" t="s">
        <v>117</v>
      </c>
      <c r="G235" s="301" t="s">
        <v>454</v>
      </c>
      <c r="H235" s="301" t="s">
        <v>114</v>
      </c>
      <c r="I235" s="298"/>
      <c r="J235" s="298">
        <v>220</v>
      </c>
      <c r="K235" s="301" t="s">
        <v>493</v>
      </c>
      <c r="L235" s="96">
        <f>I235+J235*EERR!$D$2</f>
        <v>170836.6</v>
      </c>
      <c r="M235" s="96">
        <f>L235/EERR!$D$2</f>
        <v>220.00000000000003</v>
      </c>
      <c r="N235" s="96">
        <f>SUMIF(Nov!$B$3:$B$116,A235,Nov!$V$3:$V$116)</f>
        <v>170836.6</v>
      </c>
      <c r="O235" s="166">
        <f t="shared" si="5"/>
        <v>1</v>
      </c>
    </row>
    <row r="236" spans="1:17" x14ac:dyDescent="0.25">
      <c r="A236" s="299">
        <v>34</v>
      </c>
      <c r="B236" s="300" t="s">
        <v>494</v>
      </c>
      <c r="C236" s="301" t="s">
        <v>225</v>
      </c>
      <c r="D236" s="301" t="s">
        <v>111</v>
      </c>
      <c r="E236" s="301" t="s">
        <v>112</v>
      </c>
      <c r="F236" s="301" t="s">
        <v>117</v>
      </c>
      <c r="G236" s="301" t="s">
        <v>342</v>
      </c>
      <c r="H236" s="301" t="s">
        <v>114</v>
      </c>
      <c r="I236" s="298"/>
      <c r="J236" s="298">
        <v>1100</v>
      </c>
      <c r="K236" s="301" t="s">
        <v>495</v>
      </c>
      <c r="L236" s="96">
        <f>I236+J236*EERR!$D$2</f>
        <v>854183</v>
      </c>
      <c r="M236" s="96">
        <f>L236/EERR!$D$2</f>
        <v>1100</v>
      </c>
      <c r="N236" s="96">
        <f>SUMIF(Nov!$B$3:$B$116,A236,Nov!$V$3:$V$116)</f>
        <v>0</v>
      </c>
      <c r="O236" s="166">
        <f t="shared" si="5"/>
        <v>1</v>
      </c>
    </row>
    <row r="237" spans="1:17" x14ac:dyDescent="0.25">
      <c r="A237" s="299">
        <v>35</v>
      </c>
      <c r="B237" s="300" t="s">
        <v>496</v>
      </c>
      <c r="C237" s="301" t="s">
        <v>225</v>
      </c>
      <c r="D237" s="301" t="s">
        <v>111</v>
      </c>
      <c r="E237" s="301" t="s">
        <v>112</v>
      </c>
      <c r="F237" s="301" t="s">
        <v>116</v>
      </c>
      <c r="G237" s="301" t="s">
        <v>497</v>
      </c>
      <c r="H237" s="301" t="s">
        <v>114</v>
      </c>
      <c r="I237" s="298"/>
      <c r="J237" s="298">
        <v>660</v>
      </c>
      <c r="K237" s="301" t="s">
        <v>498</v>
      </c>
      <c r="L237" s="96">
        <f>I237+J237*EERR!$D$2</f>
        <v>512509.8</v>
      </c>
      <c r="M237" s="96">
        <f>L237/EERR!$D$2</f>
        <v>660</v>
      </c>
      <c r="N237" s="96">
        <f>SUMIF(Nov!$B$3:$B$116,A237,Nov!$V$3:$V$116)</f>
        <v>0</v>
      </c>
      <c r="O237" s="166">
        <f t="shared" si="5"/>
        <v>1</v>
      </c>
    </row>
    <row r="238" spans="1:17" x14ac:dyDescent="0.25">
      <c r="A238" s="299">
        <v>36</v>
      </c>
      <c r="B238" s="300" t="s">
        <v>499</v>
      </c>
      <c r="C238" s="301" t="s">
        <v>225</v>
      </c>
      <c r="D238" s="301" t="s">
        <v>111</v>
      </c>
      <c r="E238" s="301" t="s">
        <v>112</v>
      </c>
      <c r="F238" s="301" t="s">
        <v>117</v>
      </c>
      <c r="G238" s="301" t="s">
        <v>343</v>
      </c>
      <c r="H238" s="301" t="s">
        <v>114</v>
      </c>
      <c r="I238" s="298"/>
      <c r="J238" s="298">
        <v>836</v>
      </c>
      <c r="K238" s="301" t="s">
        <v>500</v>
      </c>
      <c r="L238" s="96">
        <f>I238+J238*EERR!$D$2</f>
        <v>649179.07999999996</v>
      </c>
      <c r="M238" s="96">
        <f>L238/EERR!$D$2</f>
        <v>836</v>
      </c>
      <c r="N238" s="96">
        <f>SUMIF(Nov!$B$3:$B$116,A238,Nov!$V$3:$V$116)</f>
        <v>0</v>
      </c>
      <c r="O238" s="166">
        <f t="shared" si="5"/>
        <v>1</v>
      </c>
    </row>
    <row r="239" spans="1:17" x14ac:dyDescent="0.25">
      <c r="A239" s="299">
        <v>37</v>
      </c>
      <c r="B239" s="300" t="s">
        <v>501</v>
      </c>
      <c r="C239" s="301" t="s">
        <v>225</v>
      </c>
      <c r="D239" s="301" t="s">
        <v>111</v>
      </c>
      <c r="E239" s="301" t="s">
        <v>112</v>
      </c>
      <c r="F239" s="301" t="s">
        <v>116</v>
      </c>
      <c r="G239" s="301" t="s">
        <v>502</v>
      </c>
      <c r="H239" s="301" t="s">
        <v>114</v>
      </c>
      <c r="I239" s="298"/>
      <c r="J239" s="298">
        <v>220</v>
      </c>
      <c r="K239" s="301" t="s">
        <v>503</v>
      </c>
      <c r="L239" s="96">
        <f>I239+J239*EERR!$D$2</f>
        <v>170836.6</v>
      </c>
      <c r="M239" s="96">
        <f>L239/EERR!$D$2</f>
        <v>220.00000000000003</v>
      </c>
      <c r="N239" s="96">
        <f>SUMIF(Nov!$B$3:$B$116,A239,Nov!$V$3:$V$116)</f>
        <v>0</v>
      </c>
      <c r="O239" s="166">
        <f t="shared" si="5"/>
        <v>1</v>
      </c>
    </row>
    <row r="240" spans="1:17" x14ac:dyDescent="0.25">
      <c r="A240" s="299">
        <v>38</v>
      </c>
      <c r="B240" s="300" t="s">
        <v>504</v>
      </c>
      <c r="C240" s="301" t="s">
        <v>225</v>
      </c>
      <c r="D240" s="301" t="s">
        <v>111</v>
      </c>
      <c r="E240" s="301" t="s">
        <v>112</v>
      </c>
      <c r="F240" s="301" t="s">
        <v>116</v>
      </c>
      <c r="G240" s="301" t="s">
        <v>505</v>
      </c>
      <c r="H240" s="301" t="s">
        <v>114</v>
      </c>
      <c r="I240" s="298"/>
      <c r="J240" s="298">
        <v>220</v>
      </c>
      <c r="K240" s="301" t="s">
        <v>506</v>
      </c>
      <c r="L240" s="96">
        <f>I240+J240*EERR!$D$2</f>
        <v>170836.6</v>
      </c>
      <c r="M240" s="96">
        <f>L240/EERR!$D$2</f>
        <v>220.00000000000003</v>
      </c>
      <c r="N240" s="96">
        <f>SUMIF(Nov!$B$3:$B$116,A240,Nov!$V$3:$V$116)</f>
        <v>170836.6</v>
      </c>
      <c r="O240" s="166">
        <f t="shared" si="5"/>
        <v>1</v>
      </c>
    </row>
    <row r="241" spans="1:15" x14ac:dyDescent="0.25">
      <c r="A241" s="299">
        <v>39</v>
      </c>
      <c r="B241" s="300" t="s">
        <v>507</v>
      </c>
      <c r="C241" s="301" t="s">
        <v>225</v>
      </c>
      <c r="D241" s="301" t="s">
        <v>111</v>
      </c>
      <c r="E241" s="301" t="s">
        <v>112</v>
      </c>
      <c r="F241" s="301" t="s">
        <v>116</v>
      </c>
      <c r="G241" s="301" t="s">
        <v>481</v>
      </c>
      <c r="H241" s="301" t="s">
        <v>114</v>
      </c>
      <c r="I241" s="298"/>
      <c r="J241" s="298">
        <v>220</v>
      </c>
      <c r="K241" s="301" t="s">
        <v>508</v>
      </c>
      <c r="L241" s="96">
        <f>I241+J241*EERR!$D$2</f>
        <v>170836.6</v>
      </c>
      <c r="M241" s="96">
        <f>L241/EERR!$D$2</f>
        <v>220.00000000000003</v>
      </c>
      <c r="N241" s="96">
        <f>SUMIF(Nov!$B$3:$B$116,A241,Nov!$V$3:$V$116)</f>
        <v>341673.2</v>
      </c>
      <c r="O241" s="166">
        <f t="shared" si="5"/>
        <v>1</v>
      </c>
    </row>
    <row r="242" spans="1:15" x14ac:dyDescent="0.25">
      <c r="A242" s="299">
        <v>40</v>
      </c>
      <c r="B242" s="300" t="s">
        <v>509</v>
      </c>
      <c r="C242" s="301" t="s">
        <v>225</v>
      </c>
      <c r="D242" s="301" t="s">
        <v>111</v>
      </c>
      <c r="E242" s="301" t="s">
        <v>112</v>
      </c>
      <c r="F242" s="301" t="s">
        <v>116</v>
      </c>
      <c r="G242" s="301" t="s">
        <v>510</v>
      </c>
      <c r="H242" s="301" t="s">
        <v>114</v>
      </c>
      <c r="I242" s="298"/>
      <c r="J242" s="298">
        <v>220</v>
      </c>
      <c r="K242" s="301" t="s">
        <v>511</v>
      </c>
      <c r="L242" s="96">
        <f>I242+J242*EERR!$D$2</f>
        <v>170836.6</v>
      </c>
      <c r="M242" s="96">
        <f>L242/EERR!$D$2</f>
        <v>220.00000000000003</v>
      </c>
      <c r="N242" s="96">
        <f>SUMIF(Nov!$B$3:$B$116,A242,Nov!$V$3:$V$116)</f>
        <v>714407.6</v>
      </c>
      <c r="O242" s="166">
        <f t="shared" si="5"/>
        <v>1</v>
      </c>
    </row>
    <row r="243" spans="1:15" x14ac:dyDescent="0.25">
      <c r="A243" s="299">
        <v>41</v>
      </c>
      <c r="B243" s="300" t="s">
        <v>512</v>
      </c>
      <c r="C243" s="301" t="s">
        <v>225</v>
      </c>
      <c r="D243" s="301" t="s">
        <v>111</v>
      </c>
      <c r="E243" s="301" t="s">
        <v>112</v>
      </c>
      <c r="F243" s="301" t="s">
        <v>117</v>
      </c>
      <c r="G243" s="301" t="s">
        <v>513</v>
      </c>
      <c r="H243" s="301" t="s">
        <v>114</v>
      </c>
      <c r="I243" s="298"/>
      <c r="J243" s="298">
        <v>220</v>
      </c>
      <c r="K243" s="301" t="s">
        <v>514</v>
      </c>
      <c r="L243" s="96">
        <f>I243+J243*EERR!$D$2</f>
        <v>170836.6</v>
      </c>
      <c r="M243" s="96">
        <f>L243/EERR!$D$2</f>
        <v>220.00000000000003</v>
      </c>
      <c r="N243" s="96">
        <f>SUMIF(Nov!$B$3:$B$116,A243,Nov!$V$3:$V$116)</f>
        <v>0</v>
      </c>
      <c r="O243" s="166">
        <f t="shared" si="5"/>
        <v>1</v>
      </c>
    </row>
    <row r="244" spans="1:15" x14ac:dyDescent="0.25">
      <c r="A244" s="299">
        <v>42</v>
      </c>
      <c r="B244" s="300" t="s">
        <v>515</v>
      </c>
      <c r="C244" s="301" t="s">
        <v>225</v>
      </c>
      <c r="D244" s="301" t="s">
        <v>111</v>
      </c>
      <c r="E244" s="301" t="s">
        <v>112</v>
      </c>
      <c r="F244" s="301" t="s">
        <v>117</v>
      </c>
      <c r="G244" s="301" t="s">
        <v>516</v>
      </c>
      <c r="H244" s="301" t="s">
        <v>114</v>
      </c>
      <c r="I244" s="298"/>
      <c r="J244" s="298">
        <v>220</v>
      </c>
      <c r="K244" s="301" t="s">
        <v>517</v>
      </c>
      <c r="L244" s="96">
        <f>I244+J244*EERR!$D$2</f>
        <v>170836.6</v>
      </c>
      <c r="M244" s="96">
        <f>L244/EERR!$D$2</f>
        <v>220.00000000000003</v>
      </c>
      <c r="N244" s="96">
        <f>SUMIF(Nov!$B$3:$B$116,A244,Nov!$V$3:$V$116)</f>
        <v>698877</v>
      </c>
      <c r="O244" s="166">
        <f t="shared" si="5"/>
        <v>1</v>
      </c>
    </row>
    <row r="245" spans="1:15" x14ac:dyDescent="0.25">
      <c r="A245" s="299">
        <v>43</v>
      </c>
      <c r="B245" s="300" t="s">
        <v>518</v>
      </c>
      <c r="C245" s="301" t="s">
        <v>225</v>
      </c>
      <c r="D245" s="301" t="s">
        <v>111</v>
      </c>
      <c r="E245" s="301" t="s">
        <v>112</v>
      </c>
      <c r="F245" s="301" t="s">
        <v>116</v>
      </c>
      <c r="G245" s="301" t="s">
        <v>519</v>
      </c>
      <c r="H245" s="301" t="s">
        <v>114</v>
      </c>
      <c r="I245" s="298"/>
      <c r="J245" s="298">
        <v>440</v>
      </c>
      <c r="K245" s="301" t="s">
        <v>520</v>
      </c>
      <c r="L245" s="96">
        <f>I245+J245*EERR!$D$2</f>
        <v>341673.2</v>
      </c>
      <c r="M245" s="96">
        <f>L245/EERR!$D$2</f>
        <v>440.00000000000006</v>
      </c>
      <c r="N245" s="96">
        <f>SUMIF(Nov!$B$3:$B$116,A245,Nov!$V$3:$V$116)</f>
        <v>0</v>
      </c>
      <c r="O245" s="166">
        <f t="shared" si="5"/>
        <v>1</v>
      </c>
    </row>
    <row r="246" spans="1:15" x14ac:dyDescent="0.25">
      <c r="A246" s="299">
        <v>44</v>
      </c>
      <c r="B246" s="300" t="s">
        <v>521</v>
      </c>
      <c r="C246" s="301" t="s">
        <v>225</v>
      </c>
      <c r="D246" s="301" t="s">
        <v>111</v>
      </c>
      <c r="E246" s="301" t="s">
        <v>112</v>
      </c>
      <c r="F246" s="301" t="s">
        <v>113</v>
      </c>
      <c r="G246" s="301" t="s">
        <v>344</v>
      </c>
      <c r="H246" s="301" t="s">
        <v>114</v>
      </c>
      <c r="I246" s="298"/>
      <c r="J246" s="298">
        <v>440</v>
      </c>
      <c r="K246" s="301" t="s">
        <v>310</v>
      </c>
      <c r="L246" s="96">
        <f>I246+J246*EERR!$D$2</f>
        <v>341673.2</v>
      </c>
      <c r="M246" s="96">
        <f>L246/EERR!$D$2</f>
        <v>440.00000000000006</v>
      </c>
      <c r="N246" s="96">
        <f>SUMIF(Nov!$B$3:$B$116,A246,Nov!$V$3:$V$116)</f>
        <v>0</v>
      </c>
      <c r="O246" s="166">
        <f t="shared" si="5"/>
        <v>1</v>
      </c>
    </row>
    <row r="247" spans="1:15" x14ac:dyDescent="0.25">
      <c r="A247" s="299">
        <v>45</v>
      </c>
      <c r="B247" s="300" t="s">
        <v>522</v>
      </c>
      <c r="C247" s="301" t="s">
        <v>225</v>
      </c>
      <c r="D247" s="301" t="s">
        <v>111</v>
      </c>
      <c r="E247" s="301" t="s">
        <v>112</v>
      </c>
      <c r="F247" s="301" t="s">
        <v>116</v>
      </c>
      <c r="G247" s="301" t="s">
        <v>523</v>
      </c>
      <c r="H247" s="301" t="s">
        <v>114</v>
      </c>
      <c r="I247" s="298"/>
      <c r="J247" s="298">
        <v>190</v>
      </c>
      <c r="K247" s="301" t="s">
        <v>524</v>
      </c>
      <c r="L247" s="96">
        <f>I247+J247*EERR!$D$2</f>
        <v>147540.69999999998</v>
      </c>
      <c r="M247" s="96">
        <f>L247/EERR!$D$2</f>
        <v>189.99999999999997</v>
      </c>
      <c r="N247" s="96">
        <f>SUMIF(Nov!$B$3:$B$116,A247,Nov!$V$3:$V$116)</f>
        <v>442622.1</v>
      </c>
      <c r="O247" s="166">
        <f t="shared" si="5"/>
        <v>1</v>
      </c>
    </row>
    <row r="248" spans="1:15" x14ac:dyDescent="0.25">
      <c r="A248" s="299">
        <v>46</v>
      </c>
      <c r="B248" s="300" t="s">
        <v>525</v>
      </c>
      <c r="C248" s="301" t="s">
        <v>225</v>
      </c>
      <c r="D248" s="301" t="s">
        <v>111</v>
      </c>
      <c r="E248" s="301" t="s">
        <v>112</v>
      </c>
      <c r="F248" s="301" t="s">
        <v>117</v>
      </c>
      <c r="G248" s="301" t="s">
        <v>526</v>
      </c>
      <c r="H248" s="301" t="s">
        <v>114</v>
      </c>
      <c r="I248" s="298"/>
      <c r="J248" s="298">
        <v>198</v>
      </c>
      <c r="K248" s="301" t="s">
        <v>527</v>
      </c>
      <c r="L248" s="96">
        <f>I248+J248*EERR!$D$2</f>
        <v>153752.94</v>
      </c>
      <c r="M248" s="96">
        <f>L248/EERR!$D$2</f>
        <v>198</v>
      </c>
      <c r="N248" s="96">
        <f>SUMIF(Nov!$B$3:$B$116,A248,Nov!$V$3:$V$116)</f>
        <v>0</v>
      </c>
      <c r="O248" s="166">
        <f t="shared" si="5"/>
        <v>1</v>
      </c>
    </row>
    <row r="249" spans="1:15" x14ac:dyDescent="0.25">
      <c r="A249" s="299">
        <v>47</v>
      </c>
      <c r="B249" s="300" t="s">
        <v>528</v>
      </c>
      <c r="C249" s="301" t="s">
        <v>225</v>
      </c>
      <c r="D249" s="301" t="s">
        <v>111</v>
      </c>
      <c r="E249" s="301" t="s">
        <v>112</v>
      </c>
      <c r="F249" s="301" t="s">
        <v>117</v>
      </c>
      <c r="G249" s="301" t="s">
        <v>529</v>
      </c>
      <c r="H249" s="301" t="s">
        <v>114</v>
      </c>
      <c r="I249" s="298"/>
      <c r="J249" s="298">
        <v>220</v>
      </c>
      <c r="K249" s="301" t="s">
        <v>530</v>
      </c>
      <c r="L249" s="96">
        <f>I249+J249*EERR!$D$2</f>
        <v>170836.6</v>
      </c>
      <c r="M249" s="96">
        <f>L249/EERR!$D$2</f>
        <v>220.00000000000003</v>
      </c>
      <c r="N249" s="96">
        <f>SUMIF(Nov!$B$3:$B$116,A249,Nov!$V$3:$V$116)</f>
        <v>0</v>
      </c>
      <c r="O249" s="166">
        <f t="shared" si="5"/>
        <v>1</v>
      </c>
    </row>
    <row r="250" spans="1:15" x14ac:dyDescent="0.25">
      <c r="A250" s="299">
        <v>48</v>
      </c>
      <c r="B250" s="300" t="s">
        <v>531</v>
      </c>
      <c r="C250" s="301" t="s">
        <v>225</v>
      </c>
      <c r="D250" s="301" t="s">
        <v>111</v>
      </c>
      <c r="E250" s="301" t="s">
        <v>112</v>
      </c>
      <c r="F250" s="301" t="s">
        <v>117</v>
      </c>
      <c r="G250" s="301" t="s">
        <v>532</v>
      </c>
      <c r="H250" s="301" t="s">
        <v>114</v>
      </c>
      <c r="I250" s="298"/>
      <c r="J250" s="298">
        <v>220</v>
      </c>
      <c r="K250" s="301" t="s">
        <v>533</v>
      </c>
      <c r="L250" s="96">
        <f>I250+J250*EERR!$D$2</f>
        <v>170836.6</v>
      </c>
      <c r="M250" s="96">
        <f>L250/EERR!$D$2</f>
        <v>220.00000000000003</v>
      </c>
      <c r="N250" s="96">
        <f>SUMIF(Nov!$B$3:$B$116,A250,Nov!$V$3:$V$116)</f>
        <v>0</v>
      </c>
      <c r="O250" s="166">
        <f t="shared" si="5"/>
        <v>1</v>
      </c>
    </row>
    <row r="251" spans="1:15" x14ac:dyDescent="0.25">
      <c r="A251" s="299">
        <v>49</v>
      </c>
      <c r="B251" s="300" t="s">
        <v>534</v>
      </c>
      <c r="C251" s="301" t="s">
        <v>225</v>
      </c>
      <c r="D251" s="301" t="s">
        <v>111</v>
      </c>
      <c r="E251" s="301" t="s">
        <v>112</v>
      </c>
      <c r="F251" s="301" t="s">
        <v>117</v>
      </c>
      <c r="G251" s="301" t="s">
        <v>532</v>
      </c>
      <c r="H251" s="301" t="s">
        <v>114</v>
      </c>
      <c r="I251" s="298"/>
      <c r="J251" s="298">
        <v>220</v>
      </c>
      <c r="K251" s="301" t="s">
        <v>535</v>
      </c>
      <c r="L251" s="96">
        <f>I251+J251*EERR!$D$2</f>
        <v>170836.6</v>
      </c>
      <c r="M251" s="96">
        <f>L251/EERR!$D$2</f>
        <v>220.00000000000003</v>
      </c>
      <c r="N251" s="96">
        <f>SUMIF(Nov!$B$3:$B$116,A251,Nov!$V$3:$V$116)</f>
        <v>0</v>
      </c>
      <c r="O251" s="166">
        <f t="shared" si="5"/>
        <v>1</v>
      </c>
    </row>
    <row r="252" spans="1:15" x14ac:dyDescent="0.25">
      <c r="A252" s="299">
        <v>50</v>
      </c>
      <c r="B252" s="300" t="s">
        <v>534</v>
      </c>
      <c r="C252" s="301" t="s">
        <v>225</v>
      </c>
      <c r="D252" s="301" t="s">
        <v>111</v>
      </c>
      <c r="E252" s="301" t="s">
        <v>112</v>
      </c>
      <c r="F252" s="301" t="s">
        <v>117</v>
      </c>
      <c r="G252" s="301" t="s">
        <v>536</v>
      </c>
      <c r="H252" s="301" t="s">
        <v>114</v>
      </c>
      <c r="I252" s="298"/>
      <c r="J252" s="298">
        <v>198</v>
      </c>
      <c r="K252" s="301" t="s">
        <v>537</v>
      </c>
      <c r="L252" s="96">
        <f>I252+J252*EERR!$D$2</f>
        <v>153752.94</v>
      </c>
      <c r="M252" s="96">
        <f>L252/EERR!$D$2</f>
        <v>198</v>
      </c>
      <c r="N252" s="96">
        <f>SUMIF(Nov!$B$3:$B$116,A252,Nov!$V$3:$V$116)</f>
        <v>0</v>
      </c>
      <c r="O252" s="166">
        <f t="shared" si="5"/>
        <v>1</v>
      </c>
    </row>
    <row r="253" spans="1:15" x14ac:dyDescent="0.25">
      <c r="A253" s="299">
        <v>51</v>
      </c>
      <c r="B253" s="300" t="s">
        <v>538</v>
      </c>
      <c r="C253" s="301" t="s">
        <v>225</v>
      </c>
      <c r="D253" s="301" t="s">
        <v>111</v>
      </c>
      <c r="E253" s="301" t="s">
        <v>112</v>
      </c>
      <c r="F253" s="301" t="s">
        <v>117</v>
      </c>
      <c r="G253" s="301" t="s">
        <v>539</v>
      </c>
      <c r="H253" s="301" t="s">
        <v>114</v>
      </c>
      <c r="I253" s="298"/>
      <c r="J253" s="298">
        <v>220</v>
      </c>
      <c r="K253" s="301" t="s">
        <v>540</v>
      </c>
      <c r="L253" s="96">
        <f>I253+J253*EERR!$D$2</f>
        <v>170836.6</v>
      </c>
      <c r="M253" s="96">
        <f>L253/EERR!$D$2</f>
        <v>220.00000000000003</v>
      </c>
      <c r="N253" s="96">
        <f>SUMIF(Nov!$B$3:$B$116,A253,Nov!$V$3:$V$116)</f>
        <v>170836.6</v>
      </c>
      <c r="O253" s="166">
        <f t="shared" si="5"/>
        <v>1</v>
      </c>
    </row>
    <row r="254" spans="1:15" x14ac:dyDescent="0.25">
      <c r="A254" s="299">
        <v>52</v>
      </c>
      <c r="B254" s="300" t="s">
        <v>541</v>
      </c>
      <c r="C254" s="301" t="s">
        <v>225</v>
      </c>
      <c r="D254" s="301" t="s">
        <v>111</v>
      </c>
      <c r="E254" s="301" t="s">
        <v>112</v>
      </c>
      <c r="F254" s="301" t="s">
        <v>113</v>
      </c>
      <c r="G254" s="301" t="s">
        <v>542</v>
      </c>
      <c r="H254" s="301" t="s">
        <v>114</v>
      </c>
      <c r="I254" s="298"/>
      <c r="J254" s="298">
        <v>240</v>
      </c>
      <c r="K254" s="301" t="s">
        <v>543</v>
      </c>
      <c r="L254" s="96">
        <f>I254+J254*EERR!$D$2</f>
        <v>186367.19999999998</v>
      </c>
      <c r="M254" s="96">
        <f>L254/EERR!$D$2</f>
        <v>240</v>
      </c>
      <c r="N254" s="96">
        <f>SUMIF(Nov!$B$3:$B$116,A254,Nov!$V$3:$V$116)</f>
        <v>729938.2</v>
      </c>
      <c r="O254" s="166">
        <f t="shared" si="5"/>
        <v>1</v>
      </c>
    </row>
    <row r="255" spans="1:15" x14ac:dyDescent="0.25">
      <c r="A255" s="299">
        <v>53</v>
      </c>
      <c r="B255" s="300" t="s">
        <v>544</v>
      </c>
      <c r="C255" s="301" t="s">
        <v>225</v>
      </c>
      <c r="D255" s="301" t="s">
        <v>111</v>
      </c>
      <c r="E255" s="301" t="s">
        <v>112</v>
      </c>
      <c r="F255" s="301" t="s">
        <v>117</v>
      </c>
      <c r="G255" s="301" t="s">
        <v>529</v>
      </c>
      <c r="H255" s="301" t="s">
        <v>114</v>
      </c>
      <c r="I255" s="298"/>
      <c r="J255" s="298">
        <v>220</v>
      </c>
      <c r="K255" s="301" t="s">
        <v>545</v>
      </c>
      <c r="L255" s="96">
        <f>I255+J255*EERR!$D$2</f>
        <v>170836.6</v>
      </c>
      <c r="M255" s="96">
        <f>L255/EERR!$D$2</f>
        <v>220.00000000000003</v>
      </c>
      <c r="N255" s="96">
        <f>SUMIF(Nov!$B$3:$B$116,A255,Nov!$V$3:$V$116)</f>
        <v>0</v>
      </c>
      <c r="O255" s="166">
        <f t="shared" si="5"/>
        <v>1</v>
      </c>
    </row>
    <row r="256" spans="1:15" x14ac:dyDescent="0.25">
      <c r="A256" s="299">
        <v>54</v>
      </c>
      <c r="B256" s="300" t="s">
        <v>546</v>
      </c>
      <c r="C256" s="301" t="s">
        <v>225</v>
      </c>
      <c r="D256" s="301" t="s">
        <v>111</v>
      </c>
      <c r="E256" s="301" t="s">
        <v>112</v>
      </c>
      <c r="F256" s="301" t="s">
        <v>113</v>
      </c>
      <c r="G256" s="301" t="s">
        <v>349</v>
      </c>
      <c r="H256" s="301" t="s">
        <v>114</v>
      </c>
      <c r="I256" s="298"/>
      <c r="J256" s="298">
        <v>440</v>
      </c>
      <c r="K256" s="301" t="s">
        <v>547</v>
      </c>
      <c r="L256" s="96">
        <f>I256+J256*EERR!$D$2</f>
        <v>341673.2</v>
      </c>
      <c r="M256" s="96">
        <f>L256/EERR!$D$2</f>
        <v>440.00000000000006</v>
      </c>
      <c r="N256" s="96">
        <f>SUMIF(Nov!$B$3:$B$116,A256,Nov!$V$3:$V$116)</f>
        <v>0</v>
      </c>
      <c r="O256" s="166">
        <f t="shared" si="5"/>
        <v>1</v>
      </c>
    </row>
    <row r="257" spans="1:15" x14ac:dyDescent="0.25">
      <c r="A257" s="299">
        <v>55</v>
      </c>
      <c r="B257" s="300" t="s">
        <v>548</v>
      </c>
      <c r="C257" s="301" t="s">
        <v>225</v>
      </c>
      <c r="D257" s="301" t="s">
        <v>111</v>
      </c>
      <c r="E257" s="301" t="s">
        <v>112</v>
      </c>
      <c r="F257" s="301" t="s">
        <v>117</v>
      </c>
      <c r="G257" s="301" t="s">
        <v>549</v>
      </c>
      <c r="H257" s="301" t="s">
        <v>114</v>
      </c>
      <c r="I257" s="298"/>
      <c r="J257" s="298">
        <v>198</v>
      </c>
      <c r="K257" s="301" t="s">
        <v>550</v>
      </c>
      <c r="L257" s="96">
        <f>I257+J257*EERR!$D$2</f>
        <v>153752.94</v>
      </c>
      <c r="M257" s="96">
        <f>L257/EERR!$D$2</f>
        <v>198</v>
      </c>
      <c r="N257" s="96">
        <f>SUMIF(Nov!$B$3:$B$116,A257,Nov!$V$3:$V$116)</f>
        <v>0</v>
      </c>
      <c r="O257" s="166">
        <f t="shared" si="5"/>
        <v>1</v>
      </c>
    </row>
    <row r="258" spans="1:15" x14ac:dyDescent="0.25">
      <c r="A258" s="337">
        <v>55</v>
      </c>
      <c r="B258" s="338" t="s">
        <v>548</v>
      </c>
      <c r="C258" s="339" t="s">
        <v>225</v>
      </c>
      <c r="D258" s="339" t="s">
        <v>111</v>
      </c>
      <c r="E258" s="339" t="s">
        <v>334</v>
      </c>
      <c r="F258" s="339" t="s">
        <v>117</v>
      </c>
      <c r="G258" s="339" t="s">
        <v>549</v>
      </c>
      <c r="H258" s="339" t="s">
        <v>114</v>
      </c>
      <c r="I258" s="340"/>
      <c r="J258" s="340">
        <v>-198</v>
      </c>
      <c r="K258" s="339" t="s">
        <v>550</v>
      </c>
      <c r="L258" s="96">
        <f>I258+J258*EERR!$D$2</f>
        <v>-153752.94</v>
      </c>
      <c r="M258" s="96">
        <f>L258/EERR!$D$2</f>
        <v>-198</v>
      </c>
      <c r="N258" s="96">
        <f>SUMIF(Nov!$B$3:$B$116,A258,Nov!$V$3:$V$116)</f>
        <v>0</v>
      </c>
      <c r="O258" s="166">
        <f t="shared" si="5"/>
        <v>0</v>
      </c>
    </row>
    <row r="259" spans="1:15" x14ac:dyDescent="0.25">
      <c r="A259" s="299">
        <v>56</v>
      </c>
      <c r="B259" s="300" t="s">
        <v>551</v>
      </c>
      <c r="C259" s="301" t="s">
        <v>225</v>
      </c>
      <c r="D259" s="301" t="s">
        <v>111</v>
      </c>
      <c r="E259" s="301" t="s">
        <v>112</v>
      </c>
      <c r="F259" s="301" t="s">
        <v>117</v>
      </c>
      <c r="G259" s="301" t="s">
        <v>348</v>
      </c>
      <c r="H259" s="301" t="s">
        <v>114</v>
      </c>
      <c r="I259" s="298"/>
      <c r="J259" s="298">
        <v>836</v>
      </c>
      <c r="K259" s="301" t="s">
        <v>552</v>
      </c>
      <c r="L259" s="96">
        <f>I259+J259*EERR!$D$2</f>
        <v>649179.07999999996</v>
      </c>
      <c r="M259" s="96">
        <f>L259/EERR!$D$2</f>
        <v>836</v>
      </c>
      <c r="N259" s="96">
        <f>SUMIF(Nov!$B$3:$B$116,A259,Nov!$V$3:$V$116)</f>
        <v>0</v>
      </c>
      <c r="O259" s="166">
        <f t="shared" si="5"/>
        <v>1</v>
      </c>
    </row>
    <row r="260" spans="1:15" x14ac:dyDescent="0.25">
      <c r="A260" s="299">
        <v>57</v>
      </c>
      <c r="B260" s="300" t="s">
        <v>553</v>
      </c>
      <c r="C260" s="301" t="s">
        <v>224</v>
      </c>
      <c r="D260" s="301" t="s">
        <v>111</v>
      </c>
      <c r="E260" s="301" t="s">
        <v>115</v>
      </c>
      <c r="F260" s="301" t="s">
        <v>116</v>
      </c>
      <c r="G260" s="301" t="s">
        <v>519</v>
      </c>
      <c r="H260" s="301" t="s">
        <v>115</v>
      </c>
      <c r="I260" s="298">
        <v>3000</v>
      </c>
      <c r="J260" s="298"/>
      <c r="K260" s="301" t="s">
        <v>554</v>
      </c>
      <c r="L260" s="96">
        <f>I260+J260*EERR!$D$2</f>
        <v>3000</v>
      </c>
      <c r="M260" s="96">
        <f>L260/EERR!$D$2</f>
        <v>3.8633407595327935</v>
      </c>
      <c r="N260" s="96">
        <f>SUMIF(Nov!$B$3:$B$116,A260,Nov!$V$3:$V$116)</f>
        <v>0</v>
      </c>
      <c r="O260" s="166">
        <f t="shared" ref="O260:O323" si="6">+A260-A259</f>
        <v>1</v>
      </c>
    </row>
    <row r="261" spans="1:15" x14ac:dyDescent="0.25">
      <c r="A261" s="299">
        <v>58</v>
      </c>
      <c r="B261" s="300" t="s">
        <v>555</v>
      </c>
      <c r="C261" s="301" t="s">
        <v>225</v>
      </c>
      <c r="D261" s="301" t="s">
        <v>111</v>
      </c>
      <c r="E261" s="301" t="s">
        <v>112</v>
      </c>
      <c r="F261" s="301" t="s">
        <v>117</v>
      </c>
      <c r="G261" s="301" t="s">
        <v>346</v>
      </c>
      <c r="H261" s="301" t="s">
        <v>114</v>
      </c>
      <c r="I261" s="298"/>
      <c r="J261" s="298">
        <v>1100</v>
      </c>
      <c r="K261" s="301" t="s">
        <v>556</v>
      </c>
      <c r="L261" s="96">
        <f>I261+J261*EERR!$D$2</f>
        <v>854183</v>
      </c>
      <c r="M261" s="96">
        <f>L261/EERR!$D$2</f>
        <v>1100</v>
      </c>
      <c r="N261" s="96">
        <f>SUMIF(Nov!$B$3:$B$116,A261,Nov!$V$3:$V$116)</f>
        <v>0</v>
      </c>
      <c r="O261" s="166">
        <f t="shared" si="6"/>
        <v>1</v>
      </c>
    </row>
    <row r="262" spans="1:15" x14ac:dyDescent="0.25">
      <c r="A262" s="299">
        <v>59</v>
      </c>
      <c r="B262" s="300" t="s">
        <v>557</v>
      </c>
      <c r="C262" s="301" t="s">
        <v>225</v>
      </c>
      <c r="D262" s="301" t="s">
        <v>111</v>
      </c>
      <c r="E262" s="301" t="s">
        <v>112</v>
      </c>
      <c r="F262" s="301" t="s">
        <v>117</v>
      </c>
      <c r="G262" s="301" t="s">
        <v>558</v>
      </c>
      <c r="H262" s="301" t="s">
        <v>114</v>
      </c>
      <c r="I262" s="298"/>
      <c r="J262" s="298">
        <v>228</v>
      </c>
      <c r="K262" s="301" t="s">
        <v>559</v>
      </c>
      <c r="L262" s="96">
        <f>I262+J262*EERR!$D$2</f>
        <v>177048.84</v>
      </c>
      <c r="M262" s="96">
        <f>L262/EERR!$D$2</f>
        <v>228</v>
      </c>
      <c r="N262" s="96">
        <f>SUMIF(Nov!$B$3:$B$116,A262,Nov!$V$3:$V$116)</f>
        <v>0</v>
      </c>
      <c r="O262" s="166">
        <f t="shared" si="6"/>
        <v>1</v>
      </c>
    </row>
    <row r="263" spans="1:15" x14ac:dyDescent="0.25">
      <c r="A263" s="299">
        <v>60</v>
      </c>
      <c r="B263" s="300" t="s">
        <v>560</v>
      </c>
      <c r="C263" s="301" t="s">
        <v>225</v>
      </c>
      <c r="D263" s="301" t="s">
        <v>111</v>
      </c>
      <c r="E263" s="301" t="s">
        <v>112</v>
      </c>
      <c r="F263" s="301" t="s">
        <v>116</v>
      </c>
      <c r="G263" s="301" t="s">
        <v>470</v>
      </c>
      <c r="H263" s="301" t="s">
        <v>114</v>
      </c>
      <c r="I263" s="298"/>
      <c r="J263" s="298">
        <v>240</v>
      </c>
      <c r="K263" s="301" t="s">
        <v>561</v>
      </c>
      <c r="L263" s="96">
        <f>I263+J263*EERR!$D$2</f>
        <v>186367.19999999998</v>
      </c>
      <c r="M263" s="96">
        <f>L263/EERR!$D$2</f>
        <v>240</v>
      </c>
      <c r="N263" s="96">
        <f>SUMIF(Nov!$B$3:$B$116,A263,Nov!$V$3:$V$116)</f>
        <v>543571</v>
      </c>
      <c r="O263" s="166">
        <f t="shared" si="6"/>
        <v>1</v>
      </c>
    </row>
    <row r="264" spans="1:15" x14ac:dyDescent="0.25">
      <c r="A264" s="299">
        <v>61</v>
      </c>
      <c r="B264" s="300" t="s">
        <v>562</v>
      </c>
      <c r="C264" s="301" t="s">
        <v>225</v>
      </c>
      <c r="D264" s="301" t="s">
        <v>111</v>
      </c>
      <c r="E264" s="301" t="s">
        <v>112</v>
      </c>
      <c r="F264" s="301" t="s">
        <v>116</v>
      </c>
      <c r="G264" s="301" t="s">
        <v>563</v>
      </c>
      <c r="H264" s="301" t="s">
        <v>114</v>
      </c>
      <c r="I264" s="298"/>
      <c r="J264" s="298">
        <v>228</v>
      </c>
      <c r="K264" s="301" t="s">
        <v>564</v>
      </c>
      <c r="L264" s="96">
        <f>I264+J264*EERR!$D$2</f>
        <v>177048.84</v>
      </c>
      <c r="M264" s="96">
        <f>L264/EERR!$D$2</f>
        <v>228</v>
      </c>
      <c r="N264" s="96">
        <f>SUMIF(Nov!$B$3:$B$116,A264,Nov!$V$3:$V$116)</f>
        <v>531146.52</v>
      </c>
      <c r="O264" s="166">
        <f t="shared" si="6"/>
        <v>1</v>
      </c>
    </row>
    <row r="265" spans="1:15" x14ac:dyDescent="0.25">
      <c r="A265" s="299">
        <v>62</v>
      </c>
      <c r="B265" s="300" t="s">
        <v>565</v>
      </c>
      <c r="C265" s="301" t="s">
        <v>225</v>
      </c>
      <c r="D265" s="301" t="s">
        <v>111</v>
      </c>
      <c r="E265" s="301" t="s">
        <v>112</v>
      </c>
      <c r="F265" s="301" t="s">
        <v>117</v>
      </c>
      <c r="G265" s="301" t="s">
        <v>536</v>
      </c>
      <c r="H265" s="301" t="s">
        <v>114</v>
      </c>
      <c r="I265" s="298"/>
      <c r="J265" s="298">
        <v>594</v>
      </c>
      <c r="K265" s="301" t="s">
        <v>566</v>
      </c>
      <c r="L265" s="96">
        <f>I265+J265*EERR!$D$2</f>
        <v>461258.82</v>
      </c>
      <c r="M265" s="96">
        <f>L265/EERR!$D$2</f>
        <v>594</v>
      </c>
      <c r="N265" s="96">
        <f>SUMIF(Nov!$B$3:$B$116,A265,Nov!$V$3:$V$116)</f>
        <v>0</v>
      </c>
      <c r="O265" s="166">
        <f t="shared" si="6"/>
        <v>1</v>
      </c>
    </row>
    <row r="266" spans="1:15" x14ac:dyDescent="0.25">
      <c r="A266" s="299">
        <v>63</v>
      </c>
      <c r="B266" s="300" t="s">
        <v>567</v>
      </c>
      <c r="C266" s="301" t="s">
        <v>225</v>
      </c>
      <c r="D266" s="301" t="s">
        <v>111</v>
      </c>
      <c r="E266" s="301" t="s">
        <v>112</v>
      </c>
      <c r="F266" s="301" t="s">
        <v>117</v>
      </c>
      <c r="G266" s="301" t="s">
        <v>526</v>
      </c>
      <c r="H266" s="301" t="s">
        <v>114</v>
      </c>
      <c r="I266" s="298"/>
      <c r="J266" s="298">
        <v>396</v>
      </c>
      <c r="K266" s="301" t="s">
        <v>568</v>
      </c>
      <c r="L266" s="96">
        <f>I266+J266*EERR!$D$2</f>
        <v>307505.88</v>
      </c>
      <c r="M266" s="96">
        <f>L266/EERR!$D$2</f>
        <v>396</v>
      </c>
      <c r="N266" s="96">
        <f>SUMIF(Nov!$B$3:$B$116,A266,Nov!$V$3:$V$116)</f>
        <v>0</v>
      </c>
      <c r="O266" s="166">
        <f t="shared" si="6"/>
        <v>1</v>
      </c>
    </row>
    <row r="267" spans="1:15" x14ac:dyDescent="0.25">
      <c r="A267" s="299">
        <v>64</v>
      </c>
      <c r="B267" s="300" t="s">
        <v>569</v>
      </c>
      <c r="C267" s="301" t="s">
        <v>225</v>
      </c>
      <c r="D267" s="301" t="s">
        <v>111</v>
      </c>
      <c r="E267" s="301" t="s">
        <v>112</v>
      </c>
      <c r="F267" s="301" t="s">
        <v>116</v>
      </c>
      <c r="G267" s="301" t="s">
        <v>570</v>
      </c>
      <c r="H267" s="301" t="s">
        <v>114</v>
      </c>
      <c r="I267" s="298"/>
      <c r="J267" s="298">
        <v>240</v>
      </c>
      <c r="K267" s="301" t="s">
        <v>571</v>
      </c>
      <c r="L267" s="96">
        <f>I267+J267*EERR!$D$2</f>
        <v>186367.19999999998</v>
      </c>
      <c r="M267" s="96">
        <f>L267/EERR!$D$2</f>
        <v>240</v>
      </c>
      <c r="N267" s="96">
        <f>SUMIF(Nov!$B$3:$B$116,A267,Nov!$V$3:$V$116)</f>
        <v>1040550.2</v>
      </c>
      <c r="O267" s="166">
        <f t="shared" si="6"/>
        <v>1</v>
      </c>
    </row>
    <row r="268" spans="1:15" x14ac:dyDescent="0.25">
      <c r="A268" s="299">
        <v>65</v>
      </c>
      <c r="B268" s="300" t="s">
        <v>572</v>
      </c>
      <c r="C268" s="301" t="s">
        <v>225</v>
      </c>
      <c r="D268" s="301" t="s">
        <v>111</v>
      </c>
      <c r="E268" s="301" t="s">
        <v>112</v>
      </c>
      <c r="F268" s="301" t="s">
        <v>117</v>
      </c>
      <c r="G268" s="301" t="s">
        <v>513</v>
      </c>
      <c r="H268" s="301" t="s">
        <v>114</v>
      </c>
      <c r="I268" s="298"/>
      <c r="J268" s="298">
        <v>220</v>
      </c>
      <c r="K268" s="301" t="s">
        <v>573</v>
      </c>
      <c r="L268" s="96">
        <f>I268+J268*EERR!$D$2</f>
        <v>170836.6</v>
      </c>
      <c r="M268" s="96">
        <f>L268/EERR!$D$2</f>
        <v>220.00000000000003</v>
      </c>
      <c r="N268" s="96">
        <f>SUMIF(Nov!$B$3:$B$116,A268,Nov!$V$3:$V$116)</f>
        <v>0</v>
      </c>
      <c r="O268" s="166">
        <f t="shared" si="6"/>
        <v>1</v>
      </c>
    </row>
    <row r="269" spans="1:15" x14ac:dyDescent="0.25">
      <c r="A269" s="299">
        <v>66</v>
      </c>
      <c r="B269" s="300" t="s">
        <v>574</v>
      </c>
      <c r="C269" s="301" t="s">
        <v>225</v>
      </c>
      <c r="D269" s="301" t="s">
        <v>111</v>
      </c>
      <c r="E269" s="301" t="s">
        <v>112</v>
      </c>
      <c r="F269" s="301" t="s">
        <v>117</v>
      </c>
      <c r="G269" s="301" t="s">
        <v>575</v>
      </c>
      <c r="H269" s="301" t="s">
        <v>114</v>
      </c>
      <c r="I269" s="298"/>
      <c r="J269" s="298">
        <v>205</v>
      </c>
      <c r="K269" s="301" t="s">
        <v>576</v>
      </c>
      <c r="L269" s="96">
        <f>I269+J269*EERR!$D$2</f>
        <v>159188.65</v>
      </c>
      <c r="M269" s="96">
        <f>L269/EERR!$D$2</f>
        <v>205</v>
      </c>
      <c r="N269" s="96">
        <f>SUMIF(Nov!$B$3:$B$116,A269,Nov!$V$3:$V$116)</f>
        <v>477565.95</v>
      </c>
      <c r="O269" s="166">
        <f t="shared" si="6"/>
        <v>1</v>
      </c>
    </row>
    <row r="270" spans="1:15" x14ac:dyDescent="0.25">
      <c r="A270" s="299">
        <v>67</v>
      </c>
      <c r="B270" s="300" t="s">
        <v>577</v>
      </c>
      <c r="C270" s="301" t="s">
        <v>225</v>
      </c>
      <c r="D270" s="301" t="s">
        <v>111</v>
      </c>
      <c r="E270" s="301" t="s">
        <v>112</v>
      </c>
      <c r="F270" s="301" t="s">
        <v>113</v>
      </c>
      <c r="G270" s="301" t="s">
        <v>578</v>
      </c>
      <c r="H270" s="301" t="s">
        <v>114</v>
      </c>
      <c r="I270" s="298"/>
      <c r="J270" s="298">
        <v>220</v>
      </c>
      <c r="K270" s="301" t="s">
        <v>305</v>
      </c>
      <c r="L270" s="96">
        <f>I270+J270*EERR!$D$2</f>
        <v>170836.6</v>
      </c>
      <c r="M270" s="96">
        <f>L270/EERR!$D$2</f>
        <v>220.00000000000003</v>
      </c>
      <c r="N270" s="96">
        <f>SUMIF(Nov!$B$3:$B$116,A270,Nov!$V$3:$V$116)</f>
        <v>341673.2</v>
      </c>
      <c r="O270" s="166">
        <f t="shared" si="6"/>
        <v>1</v>
      </c>
    </row>
    <row r="271" spans="1:15" x14ac:dyDescent="0.25">
      <c r="A271" s="299">
        <v>68</v>
      </c>
      <c r="B271" s="300" t="s">
        <v>579</v>
      </c>
      <c r="C271" s="301" t="s">
        <v>225</v>
      </c>
      <c r="D271" s="301" t="s">
        <v>111</v>
      </c>
      <c r="E271" s="301" t="s">
        <v>112</v>
      </c>
      <c r="F271" s="301" t="s">
        <v>117</v>
      </c>
      <c r="G271" s="301" t="s">
        <v>580</v>
      </c>
      <c r="H271" s="301" t="s">
        <v>114</v>
      </c>
      <c r="I271" s="298"/>
      <c r="J271" s="298">
        <v>220</v>
      </c>
      <c r="K271" s="301" t="s">
        <v>581</v>
      </c>
      <c r="L271" s="96">
        <f>I271+J271*EERR!$D$2</f>
        <v>170836.6</v>
      </c>
      <c r="M271" s="96">
        <f>L271/EERR!$D$2</f>
        <v>220.00000000000003</v>
      </c>
      <c r="N271" s="96">
        <f>SUMIF(Nov!$B$3:$B$116,A271,Nov!$V$3:$V$116)</f>
        <v>854183</v>
      </c>
      <c r="O271" s="166">
        <f t="shared" si="6"/>
        <v>1</v>
      </c>
    </row>
    <row r="272" spans="1:15" x14ac:dyDescent="0.25">
      <c r="A272" s="299">
        <v>69</v>
      </c>
      <c r="B272" s="300" t="s">
        <v>582</v>
      </c>
      <c r="C272" s="301" t="s">
        <v>225</v>
      </c>
      <c r="D272" s="301" t="s">
        <v>111</v>
      </c>
      <c r="E272" s="301" t="s">
        <v>112</v>
      </c>
      <c r="F272" s="301" t="s">
        <v>117</v>
      </c>
      <c r="G272" s="301" t="s">
        <v>583</v>
      </c>
      <c r="H272" s="301" t="s">
        <v>114</v>
      </c>
      <c r="I272" s="298"/>
      <c r="J272" s="298">
        <v>220</v>
      </c>
      <c r="K272" s="301" t="s">
        <v>584</v>
      </c>
      <c r="L272" s="96">
        <f>I272+J272*EERR!$D$2</f>
        <v>170836.6</v>
      </c>
      <c r="M272" s="96">
        <f>L272/EERR!$D$2</f>
        <v>220.00000000000003</v>
      </c>
      <c r="N272" s="96">
        <f>SUMIF(Nov!$B$3:$B$116,A272,Nov!$V$3:$V$116)</f>
        <v>0</v>
      </c>
      <c r="O272" s="166">
        <f t="shared" si="6"/>
        <v>1</v>
      </c>
    </row>
    <row r="273" spans="1:15" x14ac:dyDescent="0.25">
      <c r="A273" s="299">
        <v>70</v>
      </c>
      <c r="B273" s="300" t="s">
        <v>585</v>
      </c>
      <c r="C273" s="301" t="s">
        <v>225</v>
      </c>
      <c r="D273" s="301" t="s">
        <v>111</v>
      </c>
      <c r="E273" s="301" t="s">
        <v>112</v>
      </c>
      <c r="F273" s="301" t="s">
        <v>117</v>
      </c>
      <c r="G273" s="301" t="s">
        <v>586</v>
      </c>
      <c r="H273" s="301" t="s">
        <v>114</v>
      </c>
      <c r="I273" s="298"/>
      <c r="J273" s="298">
        <v>240</v>
      </c>
      <c r="K273" s="301" t="s">
        <v>587</v>
      </c>
      <c r="L273" s="96">
        <f>I273+J273*EERR!$D$2</f>
        <v>186367.19999999998</v>
      </c>
      <c r="M273" s="96">
        <f>L273/EERR!$D$2</f>
        <v>240</v>
      </c>
      <c r="N273" s="96">
        <f>SUMIF(Nov!$B$3:$B$116,A273,Nov!$V$3:$V$116)</f>
        <v>0</v>
      </c>
      <c r="O273" s="166">
        <f t="shared" si="6"/>
        <v>1</v>
      </c>
    </row>
    <row r="274" spans="1:15" x14ac:dyDescent="0.25">
      <c r="A274" s="299">
        <v>71</v>
      </c>
      <c r="B274" s="300" t="s">
        <v>588</v>
      </c>
      <c r="C274" s="301" t="s">
        <v>225</v>
      </c>
      <c r="D274" s="301" t="s">
        <v>111</v>
      </c>
      <c r="E274" s="301" t="s">
        <v>112</v>
      </c>
      <c r="F274" s="301" t="s">
        <v>117</v>
      </c>
      <c r="G274" s="301" t="s">
        <v>589</v>
      </c>
      <c r="H274" s="301" t="s">
        <v>114</v>
      </c>
      <c r="I274" s="298"/>
      <c r="J274" s="298">
        <v>209</v>
      </c>
      <c r="K274" s="301" t="s">
        <v>590</v>
      </c>
      <c r="L274" s="96">
        <f>I274+J274*EERR!$D$2</f>
        <v>162294.76999999999</v>
      </c>
      <c r="M274" s="96">
        <f>L274/EERR!$D$2</f>
        <v>209</v>
      </c>
      <c r="N274" s="96">
        <f>SUMIF(Nov!$B$3:$B$116,A274,Nov!$V$3:$V$116)</f>
        <v>811473.85</v>
      </c>
      <c r="O274" s="166">
        <f t="shared" si="6"/>
        <v>1</v>
      </c>
    </row>
    <row r="275" spans="1:15" x14ac:dyDescent="0.25">
      <c r="A275" s="299">
        <v>72</v>
      </c>
      <c r="B275" s="300" t="s">
        <v>591</v>
      </c>
      <c r="C275" s="301" t="s">
        <v>225</v>
      </c>
      <c r="D275" s="301" t="s">
        <v>111</v>
      </c>
      <c r="E275" s="301" t="s">
        <v>112</v>
      </c>
      <c r="F275" s="301" t="s">
        <v>117</v>
      </c>
      <c r="G275" s="301" t="s">
        <v>592</v>
      </c>
      <c r="H275" s="301" t="s">
        <v>114</v>
      </c>
      <c r="I275" s="298"/>
      <c r="J275" s="298">
        <v>220</v>
      </c>
      <c r="K275" s="301" t="s">
        <v>593</v>
      </c>
      <c r="L275" s="96">
        <f>I275+J275*EERR!$D$2</f>
        <v>170836.6</v>
      </c>
      <c r="M275" s="96">
        <f>L275/EERR!$D$2</f>
        <v>220.00000000000003</v>
      </c>
      <c r="N275" s="96">
        <f>SUMIF(Nov!$B$3:$B$116,A275,Nov!$V$3:$V$116)</f>
        <v>512509.8</v>
      </c>
      <c r="O275" s="166">
        <f t="shared" si="6"/>
        <v>1</v>
      </c>
    </row>
    <row r="276" spans="1:15" x14ac:dyDescent="0.25">
      <c r="A276" s="299">
        <v>73</v>
      </c>
      <c r="B276" s="300" t="s">
        <v>594</v>
      </c>
      <c r="C276" s="301" t="s">
        <v>225</v>
      </c>
      <c r="D276" s="301" t="s">
        <v>111</v>
      </c>
      <c r="E276" s="301" t="s">
        <v>112</v>
      </c>
      <c r="F276" s="301" t="s">
        <v>117</v>
      </c>
      <c r="G276" s="301" t="s">
        <v>526</v>
      </c>
      <c r="H276" s="301" t="s">
        <v>114</v>
      </c>
      <c r="I276" s="298"/>
      <c r="J276" s="298">
        <v>418</v>
      </c>
      <c r="K276" s="301" t="s">
        <v>595</v>
      </c>
      <c r="L276" s="96">
        <f>I276+J276*EERR!$D$2</f>
        <v>324589.53999999998</v>
      </c>
      <c r="M276" s="96">
        <f>L276/EERR!$D$2</f>
        <v>418</v>
      </c>
      <c r="N276" s="96">
        <f>SUMIF(Nov!$B$3:$B$116,A276,Nov!$V$3:$V$116)</f>
        <v>0</v>
      </c>
      <c r="O276" s="166">
        <f t="shared" si="6"/>
        <v>1</v>
      </c>
    </row>
    <row r="277" spans="1:15" x14ac:dyDescent="0.25">
      <c r="A277" s="299">
        <v>74</v>
      </c>
      <c r="B277" s="300" t="s">
        <v>596</v>
      </c>
      <c r="C277" s="301" t="s">
        <v>225</v>
      </c>
      <c r="D277" s="301" t="s">
        <v>111</v>
      </c>
      <c r="E277" s="301" t="s">
        <v>112</v>
      </c>
      <c r="F277" s="301" t="s">
        <v>117</v>
      </c>
      <c r="G277" s="301" t="s">
        <v>536</v>
      </c>
      <c r="H277" s="301" t="s">
        <v>114</v>
      </c>
      <c r="I277" s="298"/>
      <c r="J277" s="298">
        <v>418</v>
      </c>
      <c r="K277" s="301" t="s">
        <v>597</v>
      </c>
      <c r="L277" s="96">
        <f>I277+J277*EERR!$D$2</f>
        <v>324589.53999999998</v>
      </c>
      <c r="M277" s="96">
        <f>L277/EERR!$D$2</f>
        <v>418</v>
      </c>
      <c r="N277" s="96">
        <f>SUMIF(Nov!$B$3:$B$116,A277,Nov!$V$3:$V$116)</f>
        <v>0</v>
      </c>
      <c r="O277" s="166">
        <f t="shared" si="6"/>
        <v>1</v>
      </c>
    </row>
    <row r="278" spans="1:15" x14ac:dyDescent="0.25">
      <c r="A278" s="299">
        <v>75</v>
      </c>
      <c r="B278" s="300" t="s">
        <v>598</v>
      </c>
      <c r="C278" s="301" t="s">
        <v>225</v>
      </c>
      <c r="D278" s="301" t="s">
        <v>111</v>
      </c>
      <c r="E278" s="301" t="s">
        <v>112</v>
      </c>
      <c r="F278" s="301" t="s">
        <v>116</v>
      </c>
      <c r="G278" s="301" t="s">
        <v>599</v>
      </c>
      <c r="H278" s="301" t="s">
        <v>114</v>
      </c>
      <c r="I278" s="298"/>
      <c r="J278" s="298">
        <v>198</v>
      </c>
      <c r="K278" s="301" t="s">
        <v>600</v>
      </c>
      <c r="L278" s="96">
        <f>I278+J278*EERR!$D$2</f>
        <v>153752.94</v>
      </c>
      <c r="M278" s="96">
        <f>L278/EERR!$D$2</f>
        <v>198</v>
      </c>
      <c r="N278" s="96">
        <f>SUMIF(Nov!$B$3:$B$116,A278,Nov!$V$3:$V$116)</f>
        <v>768764.7</v>
      </c>
      <c r="O278" s="166">
        <f t="shared" si="6"/>
        <v>1</v>
      </c>
    </row>
    <row r="279" spans="1:15" x14ac:dyDescent="0.25">
      <c r="A279" s="299">
        <v>76</v>
      </c>
      <c r="B279" s="300" t="s">
        <v>601</v>
      </c>
      <c r="C279" s="301" t="s">
        <v>225</v>
      </c>
      <c r="D279" s="301" t="s">
        <v>111</v>
      </c>
      <c r="E279" s="301" t="s">
        <v>112</v>
      </c>
      <c r="F279" s="301" t="s">
        <v>117</v>
      </c>
      <c r="G279" s="301" t="s">
        <v>536</v>
      </c>
      <c r="H279" s="301" t="s">
        <v>114</v>
      </c>
      <c r="I279" s="298"/>
      <c r="J279" s="298">
        <v>209</v>
      </c>
      <c r="K279" s="301" t="s">
        <v>602</v>
      </c>
      <c r="L279" s="96">
        <f>I279+J279*EERR!$D$2</f>
        <v>162294.76999999999</v>
      </c>
      <c r="M279" s="96">
        <f>L279/EERR!$D$2</f>
        <v>209</v>
      </c>
      <c r="N279" s="96">
        <f>SUMIF(Nov!$B$3:$B$116,A279,Nov!$V$3:$V$116)</f>
        <v>0</v>
      </c>
      <c r="O279" s="166">
        <f t="shared" si="6"/>
        <v>1</v>
      </c>
    </row>
    <row r="280" spans="1:15" x14ac:dyDescent="0.25">
      <c r="A280" s="299">
        <v>77</v>
      </c>
      <c r="B280" s="300" t="s">
        <v>603</v>
      </c>
      <c r="C280" s="301" t="s">
        <v>225</v>
      </c>
      <c r="D280" s="301" t="s">
        <v>111</v>
      </c>
      <c r="E280" s="301" t="s">
        <v>112</v>
      </c>
      <c r="F280" s="301" t="s">
        <v>117</v>
      </c>
      <c r="G280" s="301" t="s">
        <v>604</v>
      </c>
      <c r="H280" s="301" t="s">
        <v>114</v>
      </c>
      <c r="I280" s="298"/>
      <c r="J280" s="298">
        <v>1100</v>
      </c>
      <c r="K280" s="301" t="s">
        <v>605</v>
      </c>
      <c r="L280" s="96">
        <f>I280+J280*EERR!$D$2</f>
        <v>854183</v>
      </c>
      <c r="M280" s="96">
        <f>L280/EERR!$D$2</f>
        <v>1100</v>
      </c>
      <c r="N280" s="96">
        <f>SUMIF(Nov!$B$3:$B$116,A280,Nov!$V$3:$V$116)</f>
        <v>0</v>
      </c>
      <c r="O280" s="166">
        <f t="shared" si="6"/>
        <v>1</v>
      </c>
    </row>
    <row r="281" spans="1:15" x14ac:dyDescent="0.25">
      <c r="A281" s="299">
        <v>78</v>
      </c>
      <c r="B281" s="300" t="s">
        <v>606</v>
      </c>
      <c r="C281" s="301" t="s">
        <v>225</v>
      </c>
      <c r="D281" s="301" t="s">
        <v>111</v>
      </c>
      <c r="E281" s="301" t="s">
        <v>112</v>
      </c>
      <c r="F281" s="301" t="s">
        <v>116</v>
      </c>
      <c r="G281" s="301" t="s">
        <v>607</v>
      </c>
      <c r="H281" s="301" t="s">
        <v>114</v>
      </c>
      <c r="I281" s="298"/>
      <c r="J281" s="298">
        <v>880</v>
      </c>
      <c r="K281" s="301" t="s">
        <v>608</v>
      </c>
      <c r="L281" s="96">
        <f>I281+J281*EERR!$D$2</f>
        <v>683346.4</v>
      </c>
      <c r="M281" s="96">
        <f>L281/EERR!$D$2</f>
        <v>880.00000000000011</v>
      </c>
      <c r="N281" s="96">
        <f>SUMIF(Nov!$B$3:$B$116,A281,Nov!$V$3:$V$116)</f>
        <v>0</v>
      </c>
      <c r="O281" s="166">
        <f t="shared" si="6"/>
        <v>1</v>
      </c>
    </row>
    <row r="282" spans="1:15" x14ac:dyDescent="0.25">
      <c r="A282" s="299">
        <v>79</v>
      </c>
      <c r="B282" s="300" t="s">
        <v>609</v>
      </c>
      <c r="C282" s="301" t="s">
        <v>225</v>
      </c>
      <c r="D282" s="301" t="s">
        <v>111</v>
      </c>
      <c r="E282" s="301" t="s">
        <v>112</v>
      </c>
      <c r="F282" s="301" t="s">
        <v>113</v>
      </c>
      <c r="G282" s="301" t="s">
        <v>350</v>
      </c>
      <c r="H282" s="301" t="s">
        <v>114</v>
      </c>
      <c r="I282" s="298"/>
      <c r="J282" s="298">
        <v>570</v>
      </c>
      <c r="K282" s="301" t="s">
        <v>610</v>
      </c>
      <c r="L282" s="96">
        <f>I282+J282*EERR!$D$2</f>
        <v>442622.1</v>
      </c>
      <c r="M282" s="96">
        <f>L282/EERR!$D$2</f>
        <v>570</v>
      </c>
      <c r="N282" s="96">
        <f>SUMIF(Nov!$B$3:$B$116,A282,Nov!$V$3:$V$116)</f>
        <v>0</v>
      </c>
      <c r="O282" s="166">
        <f t="shared" si="6"/>
        <v>1</v>
      </c>
    </row>
    <row r="283" spans="1:15" x14ac:dyDescent="0.25">
      <c r="A283" s="299">
        <v>80</v>
      </c>
      <c r="B283" s="300" t="s">
        <v>611</v>
      </c>
      <c r="C283" s="301" t="s">
        <v>225</v>
      </c>
      <c r="D283" s="301" t="s">
        <v>111</v>
      </c>
      <c r="E283" s="301" t="s">
        <v>112</v>
      </c>
      <c r="F283" s="301" t="s">
        <v>117</v>
      </c>
      <c r="G283" s="301" t="s">
        <v>536</v>
      </c>
      <c r="H283" s="301" t="s">
        <v>114</v>
      </c>
      <c r="I283" s="298"/>
      <c r="J283" s="298">
        <v>209</v>
      </c>
      <c r="K283" s="301" t="s">
        <v>612</v>
      </c>
      <c r="L283" s="96">
        <f>I283+J283*EERR!$D$2</f>
        <v>162294.76999999999</v>
      </c>
      <c r="M283" s="96">
        <f>L283/EERR!$D$2</f>
        <v>209</v>
      </c>
      <c r="N283" s="96">
        <f>SUMIF(Nov!$B$3:$B$116,A283,Nov!$V$3:$V$116)</f>
        <v>0</v>
      </c>
      <c r="O283" s="166">
        <f t="shared" si="6"/>
        <v>1</v>
      </c>
    </row>
    <row r="284" spans="1:15" x14ac:dyDescent="0.25">
      <c r="A284" s="299">
        <v>81</v>
      </c>
      <c r="B284" s="300" t="s">
        <v>613</v>
      </c>
      <c r="C284" s="301" t="s">
        <v>225</v>
      </c>
      <c r="D284" s="301" t="s">
        <v>111</v>
      </c>
      <c r="E284" s="301" t="s">
        <v>112</v>
      </c>
      <c r="F284" s="301" t="s">
        <v>117</v>
      </c>
      <c r="G284" s="301" t="s">
        <v>614</v>
      </c>
      <c r="H284" s="301" t="s">
        <v>114</v>
      </c>
      <c r="I284" s="298"/>
      <c r="J284" s="298">
        <v>220</v>
      </c>
      <c r="K284" s="301" t="s">
        <v>615</v>
      </c>
      <c r="L284" s="96">
        <f>I284+J284*EERR!$D$2</f>
        <v>170836.6</v>
      </c>
      <c r="M284" s="96">
        <f>L284/EERR!$D$2</f>
        <v>220.00000000000003</v>
      </c>
      <c r="N284" s="96">
        <f>SUMIF(Nov!$B$3:$B$116,A284,Nov!$V$3:$V$116)</f>
        <v>0</v>
      </c>
      <c r="O284" s="166">
        <f t="shared" si="6"/>
        <v>1</v>
      </c>
    </row>
    <row r="285" spans="1:15" x14ac:dyDescent="0.25">
      <c r="A285" s="299">
        <v>82</v>
      </c>
      <c r="B285" s="300" t="s">
        <v>616</v>
      </c>
      <c r="C285" s="301" t="s">
        <v>224</v>
      </c>
      <c r="D285" s="301" t="s">
        <v>111</v>
      </c>
      <c r="E285" s="301" t="s">
        <v>115</v>
      </c>
      <c r="F285" s="301" t="s">
        <v>116</v>
      </c>
      <c r="G285" s="301" t="s">
        <v>617</v>
      </c>
      <c r="H285" s="301" t="s">
        <v>115</v>
      </c>
      <c r="I285" s="298">
        <v>171060</v>
      </c>
      <c r="J285" s="298"/>
      <c r="K285" s="301" t="s">
        <v>618</v>
      </c>
      <c r="L285" s="96">
        <f>I285+J285*EERR!$D$2</f>
        <v>171060</v>
      </c>
      <c r="M285" s="96">
        <f>L285/EERR!$D$2</f>
        <v>220.28769010855987</v>
      </c>
      <c r="N285" s="96">
        <f>SUMIF(Nov!$B$3:$B$116,A285,Nov!$V$3:$V$116)</f>
        <v>0</v>
      </c>
      <c r="O285" s="166">
        <f t="shared" si="6"/>
        <v>1</v>
      </c>
    </row>
    <row r="286" spans="1:15" x14ac:dyDescent="0.25">
      <c r="A286" s="299">
        <v>83</v>
      </c>
      <c r="B286" s="300" t="s">
        <v>619</v>
      </c>
      <c r="C286" s="301" t="s">
        <v>225</v>
      </c>
      <c r="D286" s="301" t="s">
        <v>111</v>
      </c>
      <c r="E286" s="301" t="s">
        <v>112</v>
      </c>
      <c r="F286" s="301" t="s">
        <v>116</v>
      </c>
      <c r="G286" s="301" t="s">
        <v>620</v>
      </c>
      <c r="H286" s="301" t="s">
        <v>114</v>
      </c>
      <c r="I286" s="298"/>
      <c r="J286" s="298">
        <v>220</v>
      </c>
      <c r="K286" s="301" t="s">
        <v>621</v>
      </c>
      <c r="L286" s="96">
        <f>I286+J286*EERR!$D$2</f>
        <v>170836.6</v>
      </c>
      <c r="M286" s="96">
        <f>L286/EERR!$D$2</f>
        <v>220.00000000000003</v>
      </c>
      <c r="N286" s="96">
        <f>SUMIF(Nov!$B$3:$B$116,A286,Nov!$V$3:$V$116)</f>
        <v>1025019.6</v>
      </c>
      <c r="O286" s="166">
        <f t="shared" si="6"/>
        <v>1</v>
      </c>
    </row>
    <row r="287" spans="1:15" x14ac:dyDescent="0.25">
      <c r="A287" s="299">
        <v>84</v>
      </c>
      <c r="B287" s="300" t="s">
        <v>622</v>
      </c>
      <c r="C287" s="301" t="s">
        <v>225</v>
      </c>
      <c r="D287" s="301" t="s">
        <v>111</v>
      </c>
      <c r="E287" s="301" t="s">
        <v>112</v>
      </c>
      <c r="F287" s="301" t="s">
        <v>117</v>
      </c>
      <c r="G287" s="301" t="s">
        <v>623</v>
      </c>
      <c r="H287" s="301" t="s">
        <v>114</v>
      </c>
      <c r="I287" s="298"/>
      <c r="J287" s="298">
        <v>220</v>
      </c>
      <c r="K287" s="301" t="s">
        <v>624</v>
      </c>
      <c r="L287" s="96">
        <f>I287+J287*EERR!$D$2</f>
        <v>170836.6</v>
      </c>
      <c r="M287" s="96">
        <f>L287/EERR!$D$2</f>
        <v>220.00000000000003</v>
      </c>
      <c r="N287" s="96">
        <f>SUMIF(Nov!$B$3:$B$116,A287,Nov!$V$3:$V$116)</f>
        <v>1195856.2</v>
      </c>
      <c r="O287" s="166">
        <f t="shared" si="6"/>
        <v>1</v>
      </c>
    </row>
    <row r="288" spans="1:15" x14ac:dyDescent="0.25">
      <c r="A288" s="299">
        <v>85</v>
      </c>
      <c r="B288" s="300" t="s">
        <v>625</v>
      </c>
      <c r="C288" s="301" t="s">
        <v>225</v>
      </c>
      <c r="D288" s="301" t="s">
        <v>111</v>
      </c>
      <c r="E288" s="301" t="s">
        <v>112</v>
      </c>
      <c r="F288" s="301" t="s">
        <v>117</v>
      </c>
      <c r="G288" s="301" t="s">
        <v>614</v>
      </c>
      <c r="H288" s="301" t="s">
        <v>114</v>
      </c>
      <c r="I288" s="298"/>
      <c r="J288" s="298">
        <v>220</v>
      </c>
      <c r="K288" s="301" t="s">
        <v>626</v>
      </c>
      <c r="L288" s="96">
        <f>I288+J288*EERR!$D$2</f>
        <v>170836.6</v>
      </c>
      <c r="M288" s="96">
        <f>L288/EERR!$D$2</f>
        <v>220.00000000000003</v>
      </c>
      <c r="N288" s="96">
        <f>SUMIF(Nov!$B$3:$B$116,A288,Nov!$V$3:$V$116)</f>
        <v>341673.2</v>
      </c>
      <c r="O288" s="166">
        <f t="shared" si="6"/>
        <v>1</v>
      </c>
    </row>
    <row r="289" spans="1:16" x14ac:dyDescent="0.25">
      <c r="A289" s="299">
        <v>86</v>
      </c>
      <c r="B289" s="300" t="s">
        <v>627</v>
      </c>
      <c r="C289" s="301" t="s">
        <v>225</v>
      </c>
      <c r="D289" s="301" t="s">
        <v>111</v>
      </c>
      <c r="E289" s="301" t="s">
        <v>112</v>
      </c>
      <c r="F289" s="301" t="s">
        <v>113</v>
      </c>
      <c r="G289" s="301" t="s">
        <v>352</v>
      </c>
      <c r="H289" s="301" t="s">
        <v>114</v>
      </c>
      <c r="I289" s="298"/>
      <c r="J289" s="298">
        <v>42</v>
      </c>
      <c r="K289" s="301" t="s">
        <v>628</v>
      </c>
      <c r="L289" s="96">
        <f>I289+J289*EERR!$D$2</f>
        <v>32614.26</v>
      </c>
      <c r="M289" s="96">
        <f>L289/EERR!$D$2</f>
        <v>42</v>
      </c>
      <c r="N289" s="96">
        <f>SUMIF(Nov!$B$3:$B$116,A289,Nov!$V$3:$V$116)</f>
        <v>0</v>
      </c>
      <c r="O289" s="166">
        <f t="shared" si="6"/>
        <v>1</v>
      </c>
    </row>
    <row r="290" spans="1:16" x14ac:dyDescent="0.25">
      <c r="A290" s="299">
        <v>87</v>
      </c>
      <c r="B290" s="300" t="s">
        <v>629</v>
      </c>
      <c r="C290" s="301" t="s">
        <v>225</v>
      </c>
      <c r="D290" s="301" t="s">
        <v>111</v>
      </c>
      <c r="E290" s="301" t="s">
        <v>112</v>
      </c>
      <c r="F290" s="301" t="s">
        <v>116</v>
      </c>
      <c r="G290" s="301" t="s">
        <v>630</v>
      </c>
      <c r="H290" s="301" t="s">
        <v>114</v>
      </c>
      <c r="I290" s="298"/>
      <c r="J290" s="298">
        <v>418</v>
      </c>
      <c r="K290" s="301" t="s">
        <v>631</v>
      </c>
      <c r="L290" s="96">
        <f>I290+J290*EERR!$D$2</f>
        <v>324589.53999999998</v>
      </c>
      <c r="M290" s="96">
        <f>L290/EERR!$D$2</f>
        <v>418</v>
      </c>
      <c r="N290" s="96">
        <f>SUMIF(Nov!$B$3:$B$116,A290,Nov!$V$3:$V$116)</f>
        <v>162294.76999999999</v>
      </c>
      <c r="O290" s="166">
        <f t="shared" si="6"/>
        <v>1</v>
      </c>
    </row>
    <row r="291" spans="1:16" x14ac:dyDescent="0.25">
      <c r="A291" s="299">
        <v>88</v>
      </c>
      <c r="B291" s="300" t="s">
        <v>632</v>
      </c>
      <c r="C291" s="301" t="s">
        <v>225</v>
      </c>
      <c r="D291" s="301" t="s">
        <v>111</v>
      </c>
      <c r="E291" s="301" t="s">
        <v>112</v>
      </c>
      <c r="F291" s="301" t="s">
        <v>117</v>
      </c>
      <c r="G291" s="301" t="s">
        <v>633</v>
      </c>
      <c r="H291" s="301" t="s">
        <v>114</v>
      </c>
      <c r="I291" s="298"/>
      <c r="J291" s="298">
        <v>1298</v>
      </c>
      <c r="K291" s="301" t="s">
        <v>634</v>
      </c>
      <c r="L291" s="96">
        <f>I291+J291*EERR!$D$2</f>
        <v>1007935.94</v>
      </c>
      <c r="M291" s="96">
        <f>L291/EERR!$D$2</f>
        <v>1298</v>
      </c>
      <c r="N291" s="96">
        <f>SUMIF(Nov!$B$3:$B$116,A291,Nov!$V$3:$V$116)</f>
        <v>0</v>
      </c>
      <c r="O291" s="166">
        <f t="shared" si="6"/>
        <v>1</v>
      </c>
    </row>
    <row r="292" spans="1:16" x14ac:dyDescent="0.25">
      <c r="A292" s="299">
        <v>89</v>
      </c>
      <c r="B292" s="300" t="s">
        <v>635</v>
      </c>
      <c r="C292" s="301" t="s">
        <v>225</v>
      </c>
      <c r="D292" s="301" t="s">
        <v>111</v>
      </c>
      <c r="E292" s="301" t="s">
        <v>112</v>
      </c>
      <c r="F292" s="301" t="s">
        <v>117</v>
      </c>
      <c r="G292" s="301" t="s">
        <v>636</v>
      </c>
      <c r="H292" s="301" t="s">
        <v>114</v>
      </c>
      <c r="I292" s="298"/>
      <c r="J292" s="298">
        <v>1298</v>
      </c>
      <c r="K292" s="301" t="s">
        <v>637</v>
      </c>
      <c r="L292" s="96">
        <f>I292+J292*EERR!$D$2</f>
        <v>1007935.94</v>
      </c>
      <c r="M292" s="96">
        <f>L292/EERR!$D$2</f>
        <v>1298</v>
      </c>
      <c r="N292" s="96">
        <f>SUMIF(Nov!$B$3:$B$116,A292,Nov!$V$3:$V$116)</f>
        <v>0</v>
      </c>
      <c r="O292" s="166">
        <f t="shared" si="6"/>
        <v>1</v>
      </c>
    </row>
    <row r="293" spans="1:16" x14ac:dyDescent="0.25">
      <c r="A293" s="299">
        <v>90</v>
      </c>
      <c r="B293" s="300" t="s">
        <v>638</v>
      </c>
      <c r="C293" s="301" t="s">
        <v>225</v>
      </c>
      <c r="D293" s="301" t="s">
        <v>111</v>
      </c>
      <c r="E293" s="301" t="s">
        <v>112</v>
      </c>
      <c r="F293" s="301" t="s">
        <v>116</v>
      </c>
      <c r="G293" s="301" t="s">
        <v>639</v>
      </c>
      <c r="H293" s="301" t="s">
        <v>114</v>
      </c>
      <c r="I293" s="298"/>
      <c r="J293" s="298">
        <v>440</v>
      </c>
      <c r="K293" s="301" t="s">
        <v>640</v>
      </c>
      <c r="L293" s="96">
        <f>I293+J293*EERR!$D$2</f>
        <v>341673.2</v>
      </c>
      <c r="M293" s="96">
        <f>L293/EERR!$D$2</f>
        <v>440.00000000000006</v>
      </c>
      <c r="N293" s="96">
        <f>SUMIF(Nov!$B$3:$B$116,A293,Nov!$V$3:$V$116)</f>
        <v>0</v>
      </c>
      <c r="O293" s="166">
        <f t="shared" si="6"/>
        <v>1</v>
      </c>
    </row>
    <row r="294" spans="1:16" x14ac:dyDescent="0.25">
      <c r="A294" s="299">
        <v>91</v>
      </c>
      <c r="B294" s="300" t="s">
        <v>641</v>
      </c>
      <c r="C294" s="301" t="s">
        <v>225</v>
      </c>
      <c r="D294" s="301" t="s">
        <v>111</v>
      </c>
      <c r="E294" s="301" t="s">
        <v>112</v>
      </c>
      <c r="F294" s="301" t="s">
        <v>117</v>
      </c>
      <c r="G294" s="301" t="s">
        <v>642</v>
      </c>
      <c r="H294" s="301" t="s">
        <v>114</v>
      </c>
      <c r="I294" s="298"/>
      <c r="J294" s="298">
        <v>220</v>
      </c>
      <c r="K294" s="301" t="s">
        <v>643</v>
      </c>
      <c r="L294" s="96">
        <f>I294+J294*EERR!$D$2</f>
        <v>170836.6</v>
      </c>
      <c r="M294" s="96">
        <f>L294/EERR!$D$2</f>
        <v>220.00000000000003</v>
      </c>
      <c r="N294" s="96">
        <f>SUMIF(Nov!$B$3:$B$116,A294,Nov!$V$3:$V$116)</f>
        <v>170836.6</v>
      </c>
      <c r="O294" s="166">
        <f t="shared" si="6"/>
        <v>1</v>
      </c>
    </row>
    <row r="295" spans="1:16" x14ac:dyDescent="0.25">
      <c r="A295" s="299">
        <v>92</v>
      </c>
      <c r="B295" s="300" t="s">
        <v>644</v>
      </c>
      <c r="C295" s="301" t="s">
        <v>225</v>
      </c>
      <c r="D295" s="301" t="s">
        <v>111</v>
      </c>
      <c r="E295" s="301" t="s">
        <v>112</v>
      </c>
      <c r="F295" s="301" t="s">
        <v>117</v>
      </c>
      <c r="G295" s="301" t="s">
        <v>645</v>
      </c>
      <c r="H295" s="301" t="s">
        <v>114</v>
      </c>
      <c r="I295" s="298"/>
      <c r="J295" s="298">
        <v>220</v>
      </c>
      <c r="K295" s="301" t="s">
        <v>646</v>
      </c>
      <c r="L295" s="96">
        <f>I295+J295*EERR!$D$2</f>
        <v>170836.6</v>
      </c>
      <c r="M295" s="96">
        <f>L295/EERR!$D$2</f>
        <v>220.00000000000003</v>
      </c>
      <c r="N295" s="96">
        <f>SUMIF(Nov!$B$3:$B$116,A295,Nov!$V$3:$V$116)</f>
        <v>0</v>
      </c>
      <c r="O295" s="166">
        <f t="shared" si="6"/>
        <v>1</v>
      </c>
    </row>
    <row r="296" spans="1:16" ht="15.75" x14ac:dyDescent="0.25">
      <c r="A296" s="299">
        <v>93</v>
      </c>
      <c r="B296" s="300" t="s">
        <v>647</v>
      </c>
      <c r="C296" s="301" t="s">
        <v>225</v>
      </c>
      <c r="D296" s="301" t="s">
        <v>111</v>
      </c>
      <c r="E296" s="301" t="s">
        <v>112</v>
      </c>
      <c r="F296" s="301" t="s">
        <v>116</v>
      </c>
      <c r="G296" s="301" t="s">
        <v>354</v>
      </c>
      <c r="H296" s="301" t="s">
        <v>114</v>
      </c>
      <c r="I296" s="298"/>
      <c r="J296" s="298">
        <v>42</v>
      </c>
      <c r="K296" s="301" t="s">
        <v>648</v>
      </c>
      <c r="L296" s="96">
        <f>I296+J296*EERR!$D$2</f>
        <v>32614.26</v>
      </c>
      <c r="M296" s="96">
        <f>L296/EERR!$D$2</f>
        <v>42</v>
      </c>
      <c r="N296" s="96">
        <f>SUMIF(Nov!$B$3:$B$116,A296,Nov!$V$3:$V$116)</f>
        <v>0</v>
      </c>
      <c r="O296" s="166">
        <f t="shared" si="6"/>
        <v>1</v>
      </c>
      <c r="P296" s="285" t="s">
        <v>286</v>
      </c>
    </row>
    <row r="297" spans="1:16" ht="15.75" x14ac:dyDescent="0.25">
      <c r="A297" s="299">
        <v>94</v>
      </c>
      <c r="B297" s="300" t="s">
        <v>649</v>
      </c>
      <c r="C297" s="301" t="s">
        <v>224</v>
      </c>
      <c r="D297" s="301" t="s">
        <v>111</v>
      </c>
      <c r="E297" s="301" t="s">
        <v>115</v>
      </c>
      <c r="F297" s="301" t="s">
        <v>117</v>
      </c>
      <c r="G297" s="301" t="s">
        <v>345</v>
      </c>
      <c r="H297" s="301" t="s">
        <v>115</v>
      </c>
      <c r="I297" s="298">
        <v>6000</v>
      </c>
      <c r="J297" s="298"/>
      <c r="K297" s="301" t="s">
        <v>650</v>
      </c>
      <c r="L297" s="96">
        <f>I297+J297*EERR!$D$2</f>
        <v>6000</v>
      </c>
      <c r="M297" s="96">
        <f>L297/EERR!$D$2</f>
        <v>7.7266815190655871</v>
      </c>
      <c r="N297" s="96">
        <f>SUMIF(Nov!$B$3:$B$116,A297,Nov!$V$3:$V$116)</f>
        <v>0</v>
      </c>
      <c r="O297" s="166">
        <f t="shared" si="6"/>
        <v>1</v>
      </c>
      <c r="P297" s="285"/>
    </row>
    <row r="298" spans="1:16" x14ac:dyDescent="0.25">
      <c r="A298" s="299">
        <v>95</v>
      </c>
      <c r="B298" s="300" t="s">
        <v>651</v>
      </c>
      <c r="C298" s="301" t="s">
        <v>225</v>
      </c>
      <c r="D298" s="301" t="s">
        <v>111</v>
      </c>
      <c r="E298" s="301" t="s">
        <v>112</v>
      </c>
      <c r="F298" s="301" t="s">
        <v>113</v>
      </c>
      <c r="G298" s="301" t="s">
        <v>652</v>
      </c>
      <c r="H298" s="301" t="s">
        <v>114</v>
      </c>
      <c r="I298" s="298"/>
      <c r="J298" s="298">
        <v>209</v>
      </c>
      <c r="K298" s="301" t="s">
        <v>351</v>
      </c>
      <c r="L298" s="96">
        <f>I298+J298*EERR!$D$2</f>
        <v>162294.76999999999</v>
      </c>
      <c r="M298" s="96">
        <f>L298/EERR!$D$2</f>
        <v>209</v>
      </c>
      <c r="N298" s="96">
        <f>SUMIF(Nov!$B$3:$B$116,A298,Nov!$V$3:$V$116)</f>
        <v>486884.31</v>
      </c>
      <c r="O298" s="166">
        <f t="shared" si="6"/>
        <v>1</v>
      </c>
    </row>
    <row r="299" spans="1:16" x14ac:dyDescent="0.25">
      <c r="A299" s="299">
        <v>96</v>
      </c>
      <c r="B299" s="300" t="s">
        <v>653</v>
      </c>
      <c r="C299" s="301" t="s">
        <v>224</v>
      </c>
      <c r="D299" s="301" t="s">
        <v>111</v>
      </c>
      <c r="E299" s="301" t="s">
        <v>115</v>
      </c>
      <c r="F299" s="301" t="s">
        <v>113</v>
      </c>
      <c r="G299" s="301" t="s">
        <v>654</v>
      </c>
      <c r="H299" s="301" t="s">
        <v>115</v>
      </c>
      <c r="I299" s="298">
        <v>326569</v>
      </c>
      <c r="J299" s="298"/>
      <c r="K299" s="301" t="s">
        <v>655</v>
      </c>
      <c r="L299" s="96">
        <f>I299+J299*EERR!$D$2</f>
        <v>326569</v>
      </c>
      <c r="M299" s="96">
        <f>L299/EERR!$D$2</f>
        <v>420.54910949995497</v>
      </c>
      <c r="N299" s="96">
        <f>SUMIF(Nov!$B$3:$B$116,A299,Nov!$V$3:$V$116)</f>
        <v>0</v>
      </c>
      <c r="O299" s="166">
        <f t="shared" si="6"/>
        <v>1</v>
      </c>
    </row>
    <row r="300" spans="1:16" x14ac:dyDescent="0.25">
      <c r="A300" s="299">
        <v>97</v>
      </c>
      <c r="B300" s="300" t="s">
        <v>656</v>
      </c>
      <c r="C300" s="301" t="s">
        <v>225</v>
      </c>
      <c r="D300" s="301" t="s">
        <v>111</v>
      </c>
      <c r="E300" s="301" t="s">
        <v>112</v>
      </c>
      <c r="F300" s="301" t="s">
        <v>117</v>
      </c>
      <c r="G300" s="301" t="s">
        <v>657</v>
      </c>
      <c r="H300" s="301" t="s">
        <v>114</v>
      </c>
      <c r="I300" s="298"/>
      <c r="J300" s="298">
        <v>880</v>
      </c>
      <c r="K300" s="301" t="s">
        <v>658</v>
      </c>
      <c r="L300" s="96">
        <f>I300+J300*EERR!$D$2</f>
        <v>683346.4</v>
      </c>
      <c r="M300" s="96">
        <f>L300/EERR!$D$2</f>
        <v>880.00000000000011</v>
      </c>
      <c r="N300" s="96">
        <f>SUMIF(Nov!$B$3:$B$116,A300,Nov!$V$3:$V$116)</f>
        <v>0</v>
      </c>
      <c r="O300" s="166">
        <f t="shared" si="6"/>
        <v>1</v>
      </c>
    </row>
    <row r="301" spans="1:16" x14ac:dyDescent="0.25">
      <c r="A301" s="299">
        <v>98</v>
      </c>
      <c r="B301" s="300" t="s">
        <v>659</v>
      </c>
      <c r="C301" s="301" t="s">
        <v>225</v>
      </c>
      <c r="D301" s="301" t="s">
        <v>111</v>
      </c>
      <c r="E301" s="301" t="s">
        <v>112</v>
      </c>
      <c r="F301" s="301" t="s">
        <v>116</v>
      </c>
      <c r="G301" s="301" t="s">
        <v>660</v>
      </c>
      <c r="H301" s="301" t="s">
        <v>114</v>
      </c>
      <c r="I301" s="298"/>
      <c r="J301" s="298">
        <v>880</v>
      </c>
      <c r="K301" s="301" t="s">
        <v>661</v>
      </c>
      <c r="L301" s="96">
        <f>I301+J301*EERR!$D$2</f>
        <v>683346.4</v>
      </c>
      <c r="M301" s="96">
        <f>L301/EERR!$D$2</f>
        <v>880.00000000000011</v>
      </c>
      <c r="N301" s="96">
        <f>SUMIF(Nov!$B$3:$B$116,A301,Nov!$V$3:$V$116)</f>
        <v>0</v>
      </c>
      <c r="O301" s="166">
        <f t="shared" si="6"/>
        <v>1</v>
      </c>
    </row>
    <row r="302" spans="1:16" x14ac:dyDescent="0.25">
      <c r="A302" s="299">
        <v>99</v>
      </c>
      <c r="B302" s="300" t="s">
        <v>662</v>
      </c>
      <c r="C302" s="301" t="s">
        <v>224</v>
      </c>
      <c r="D302" s="301" t="s">
        <v>111</v>
      </c>
      <c r="E302" s="301" t="s">
        <v>115</v>
      </c>
      <c r="F302" s="301" t="s">
        <v>116</v>
      </c>
      <c r="G302" s="301" t="s">
        <v>663</v>
      </c>
      <c r="H302" s="301" t="s">
        <v>115</v>
      </c>
      <c r="I302" s="298">
        <v>1000</v>
      </c>
      <c r="J302" s="298"/>
      <c r="K302" s="301" t="s">
        <v>664</v>
      </c>
      <c r="L302" s="96">
        <f>I302+J302*EERR!$D$2</f>
        <v>1000</v>
      </c>
      <c r="M302" s="96">
        <f>L302/EERR!$D$2</f>
        <v>1.2877802531775979</v>
      </c>
      <c r="N302" s="96">
        <f>SUMIF(Nov!$B$3:$B$116,A302,Nov!$V$3:$V$116)</f>
        <v>0</v>
      </c>
      <c r="O302" s="166">
        <f t="shared" si="6"/>
        <v>1</v>
      </c>
    </row>
    <row r="303" spans="1:16" x14ac:dyDescent="0.25">
      <c r="A303" s="299">
        <v>100</v>
      </c>
      <c r="B303" s="300" t="s">
        <v>665</v>
      </c>
      <c r="C303" s="301" t="s">
        <v>225</v>
      </c>
      <c r="D303" s="301" t="s">
        <v>111</v>
      </c>
      <c r="E303" s="301" t="s">
        <v>112</v>
      </c>
      <c r="F303" s="301" t="s">
        <v>116</v>
      </c>
      <c r="G303" s="301" t="s">
        <v>666</v>
      </c>
      <c r="H303" s="301" t="s">
        <v>114</v>
      </c>
      <c r="I303" s="298"/>
      <c r="J303" s="298">
        <v>220</v>
      </c>
      <c r="K303" s="301" t="s">
        <v>667</v>
      </c>
      <c r="L303" s="96">
        <f>I303+J303*EERR!$D$2</f>
        <v>170836.6</v>
      </c>
      <c r="M303" s="96">
        <f>L303/EERR!$D$2</f>
        <v>220.00000000000003</v>
      </c>
      <c r="N303" s="96">
        <f>SUMIF(Nov!$B$3:$B$116,A303,Nov!$V$3:$V$116)</f>
        <v>1025019.6</v>
      </c>
      <c r="O303" s="166">
        <f t="shared" si="6"/>
        <v>1</v>
      </c>
    </row>
    <row r="304" spans="1:16" x14ac:dyDescent="0.25">
      <c r="A304" s="299">
        <v>101</v>
      </c>
      <c r="B304" s="300" t="s">
        <v>668</v>
      </c>
      <c r="C304" s="301" t="s">
        <v>225</v>
      </c>
      <c r="D304" s="301" t="s">
        <v>111</v>
      </c>
      <c r="E304" s="301" t="s">
        <v>112</v>
      </c>
      <c r="F304" s="301" t="s">
        <v>117</v>
      </c>
      <c r="G304" s="301" t="s">
        <v>669</v>
      </c>
      <c r="H304" s="301" t="s">
        <v>114</v>
      </c>
      <c r="I304" s="298"/>
      <c r="J304" s="298">
        <v>220</v>
      </c>
      <c r="K304" s="301" t="s">
        <v>670</v>
      </c>
      <c r="L304" s="96">
        <f>I304+J304*EERR!$D$2</f>
        <v>170836.6</v>
      </c>
      <c r="M304" s="96">
        <f>L304/EERR!$D$2</f>
        <v>220.00000000000003</v>
      </c>
      <c r="N304" s="96">
        <f>SUMIF(Nov!$B$3:$B$116,A304,Nov!$V$3:$V$116)</f>
        <v>854183</v>
      </c>
      <c r="O304" s="166">
        <f t="shared" si="6"/>
        <v>1</v>
      </c>
    </row>
    <row r="305" spans="1:17" x14ac:dyDescent="0.25">
      <c r="A305" s="299">
        <v>102</v>
      </c>
      <c r="B305" s="300" t="s">
        <v>671</v>
      </c>
      <c r="C305" s="301" t="s">
        <v>225</v>
      </c>
      <c r="D305" s="301" t="s">
        <v>111</v>
      </c>
      <c r="E305" s="301" t="s">
        <v>112</v>
      </c>
      <c r="F305" s="301" t="s">
        <v>117</v>
      </c>
      <c r="G305" s="301" t="s">
        <v>583</v>
      </c>
      <c r="H305" s="301" t="s">
        <v>114</v>
      </c>
      <c r="I305" s="298"/>
      <c r="J305" s="298">
        <v>240</v>
      </c>
      <c r="K305" s="301" t="s">
        <v>672</v>
      </c>
      <c r="L305" s="96">
        <f>I305+J305*EERR!$D$2</f>
        <v>186367.19999999998</v>
      </c>
      <c r="M305" s="96">
        <f>L305/EERR!$D$2</f>
        <v>240</v>
      </c>
      <c r="N305" s="96">
        <f>SUMIF(Nov!$B$3:$B$116,A305,Nov!$V$3:$V$116)</f>
        <v>186367.19999999998</v>
      </c>
      <c r="O305" s="166">
        <f t="shared" si="6"/>
        <v>1</v>
      </c>
    </row>
    <row r="306" spans="1:17" x14ac:dyDescent="0.25">
      <c r="A306" s="299">
        <v>103</v>
      </c>
      <c r="B306" s="300" t="s">
        <v>673</v>
      </c>
      <c r="C306" s="301" t="s">
        <v>225</v>
      </c>
      <c r="D306" s="301" t="s">
        <v>111</v>
      </c>
      <c r="E306" s="301" t="s">
        <v>112</v>
      </c>
      <c r="F306" s="301" t="s">
        <v>113</v>
      </c>
      <c r="G306" s="301" t="s">
        <v>674</v>
      </c>
      <c r="H306" s="301" t="s">
        <v>114</v>
      </c>
      <c r="I306" s="298"/>
      <c r="J306" s="298">
        <v>209</v>
      </c>
      <c r="K306" s="301" t="s">
        <v>675</v>
      </c>
      <c r="L306" s="96">
        <f>I306+J306*EERR!$D$2</f>
        <v>162294.76999999999</v>
      </c>
      <c r="M306" s="96">
        <f>L306/EERR!$D$2</f>
        <v>209</v>
      </c>
      <c r="N306" s="96">
        <f>SUMIF(Nov!$B$3:$B$116,A306,Nov!$V$3:$V$116)</f>
        <v>811473.85</v>
      </c>
      <c r="O306" s="166">
        <f t="shared" si="6"/>
        <v>1</v>
      </c>
    </row>
    <row r="307" spans="1:17" x14ac:dyDescent="0.25">
      <c r="A307" s="299">
        <v>104</v>
      </c>
      <c r="B307" s="300" t="s">
        <v>676</v>
      </c>
      <c r="C307" s="301" t="s">
        <v>225</v>
      </c>
      <c r="D307" s="301" t="s">
        <v>111</v>
      </c>
      <c r="E307" s="301" t="s">
        <v>112</v>
      </c>
      <c r="F307" s="301" t="s">
        <v>113</v>
      </c>
      <c r="G307" s="301" t="s">
        <v>355</v>
      </c>
      <c r="H307" s="301" t="s">
        <v>114</v>
      </c>
      <c r="I307" s="298"/>
      <c r="J307" s="298">
        <v>42</v>
      </c>
      <c r="K307" s="301" t="s">
        <v>677</v>
      </c>
      <c r="L307" s="96">
        <f>I307+J307*EERR!$D$2</f>
        <v>32614.26</v>
      </c>
      <c r="M307" s="96">
        <f>L307/EERR!$D$2</f>
        <v>42</v>
      </c>
      <c r="N307" s="96">
        <f>SUMIF(Nov!$B$3:$B$116,A307,Nov!$V$3:$V$116)</f>
        <v>0</v>
      </c>
      <c r="O307" s="166">
        <f t="shared" si="6"/>
        <v>1</v>
      </c>
    </row>
    <row r="308" spans="1:17" x14ac:dyDescent="0.25">
      <c r="A308" s="337">
        <v>104</v>
      </c>
      <c r="B308" s="338" t="s">
        <v>676</v>
      </c>
      <c r="C308" s="339" t="s">
        <v>225</v>
      </c>
      <c r="D308" s="339" t="s">
        <v>111</v>
      </c>
      <c r="E308" s="339" t="s">
        <v>334</v>
      </c>
      <c r="F308" s="339" t="s">
        <v>113</v>
      </c>
      <c r="G308" s="339" t="s">
        <v>355</v>
      </c>
      <c r="H308" s="339" t="s">
        <v>114</v>
      </c>
      <c r="I308" s="340"/>
      <c r="J308" s="340">
        <v>-42</v>
      </c>
      <c r="K308" s="339" t="s">
        <v>677</v>
      </c>
      <c r="L308" s="96">
        <f>I308+J308*EERR!$D$2</f>
        <v>-32614.26</v>
      </c>
      <c r="M308" s="96">
        <f>L308/EERR!$D$2</f>
        <v>-42</v>
      </c>
      <c r="N308" s="96">
        <f>SUMIF(Nov!$B$3:$B$116,A308,Nov!$V$3:$V$116)</f>
        <v>0</v>
      </c>
      <c r="O308" s="166">
        <f t="shared" si="6"/>
        <v>0</v>
      </c>
    </row>
    <row r="309" spans="1:17" x14ac:dyDescent="0.25">
      <c r="A309" s="299">
        <v>105</v>
      </c>
      <c r="B309" s="300" t="s">
        <v>678</v>
      </c>
      <c r="C309" s="301" t="s">
        <v>225</v>
      </c>
      <c r="D309" s="301" t="s">
        <v>111</v>
      </c>
      <c r="E309" s="301" t="s">
        <v>112</v>
      </c>
      <c r="F309" s="301" t="s">
        <v>116</v>
      </c>
      <c r="G309" s="301" t="s">
        <v>679</v>
      </c>
      <c r="H309" s="301" t="s">
        <v>114</v>
      </c>
      <c r="I309" s="298"/>
      <c r="J309" s="298">
        <v>198</v>
      </c>
      <c r="K309" s="301" t="s">
        <v>680</v>
      </c>
      <c r="L309" s="96">
        <f>I309+J309*EERR!$D$2</f>
        <v>153752.94</v>
      </c>
      <c r="M309" s="96">
        <f>L309/EERR!$D$2</f>
        <v>198</v>
      </c>
      <c r="N309" s="96">
        <f>SUMIF(Nov!$B$3:$B$116,A309,Nov!$V$3:$V$116)</f>
        <v>922517.64</v>
      </c>
      <c r="O309" s="166">
        <f t="shared" si="6"/>
        <v>1</v>
      </c>
    </row>
    <row r="310" spans="1:17" x14ac:dyDescent="0.25">
      <c r="A310" s="299">
        <v>106</v>
      </c>
      <c r="B310" s="300" t="s">
        <v>681</v>
      </c>
      <c r="C310" s="301" t="s">
        <v>225</v>
      </c>
      <c r="D310" s="301" t="s">
        <v>111</v>
      </c>
      <c r="E310" s="301" t="s">
        <v>112</v>
      </c>
      <c r="F310" s="301" t="s">
        <v>117</v>
      </c>
      <c r="G310" s="301" t="s">
        <v>682</v>
      </c>
      <c r="H310" s="301" t="s">
        <v>114</v>
      </c>
      <c r="I310" s="298"/>
      <c r="J310" s="298">
        <v>900</v>
      </c>
      <c r="K310" s="301" t="s">
        <v>683</v>
      </c>
      <c r="L310" s="96">
        <f>I310+J310*EERR!$D$2</f>
        <v>698877</v>
      </c>
      <c r="M310" s="96">
        <f>L310/EERR!$D$2</f>
        <v>900</v>
      </c>
      <c r="N310" s="96">
        <f>SUMIF(Nov!$B$3:$B$116,A310,Nov!$V$3:$V$116)</f>
        <v>0</v>
      </c>
      <c r="O310" s="166">
        <f t="shared" si="6"/>
        <v>1</v>
      </c>
    </row>
    <row r="311" spans="1:17" x14ac:dyDescent="0.25">
      <c r="A311" s="299">
        <v>107</v>
      </c>
      <c r="B311" s="300" t="s">
        <v>684</v>
      </c>
      <c r="C311" s="301" t="s">
        <v>225</v>
      </c>
      <c r="D311" s="301" t="s">
        <v>111</v>
      </c>
      <c r="E311" s="301" t="s">
        <v>112</v>
      </c>
      <c r="F311" s="301" t="s">
        <v>116</v>
      </c>
      <c r="G311" s="301" t="s">
        <v>685</v>
      </c>
      <c r="H311" s="301" t="s">
        <v>114</v>
      </c>
      <c r="I311" s="298"/>
      <c r="J311" s="298">
        <v>220</v>
      </c>
      <c r="K311" s="301" t="s">
        <v>686</v>
      </c>
      <c r="L311" s="96">
        <f>I311+J311*EERR!$D$2</f>
        <v>170836.6</v>
      </c>
      <c r="M311" s="96">
        <f>L311/EERR!$D$2</f>
        <v>220.00000000000003</v>
      </c>
      <c r="N311" s="96">
        <f>SUMIF(Nov!$B$3:$B$116,A311,Nov!$V$3:$V$116)</f>
        <v>683346.4</v>
      </c>
      <c r="O311" s="166">
        <f t="shared" si="6"/>
        <v>1</v>
      </c>
    </row>
    <row r="312" spans="1:17" x14ac:dyDescent="0.25">
      <c r="A312" s="299">
        <v>108</v>
      </c>
      <c r="B312" s="300" t="s">
        <v>687</v>
      </c>
      <c r="C312" s="301" t="s">
        <v>225</v>
      </c>
      <c r="D312" s="301" t="s">
        <v>111</v>
      </c>
      <c r="E312" s="301" t="s">
        <v>112</v>
      </c>
      <c r="F312" s="301" t="s">
        <v>116</v>
      </c>
      <c r="G312" s="301" t="s">
        <v>688</v>
      </c>
      <c r="H312" s="301" t="s">
        <v>114</v>
      </c>
      <c r="I312" s="298"/>
      <c r="J312" s="298">
        <v>940</v>
      </c>
      <c r="K312" s="301" t="s">
        <v>689</v>
      </c>
      <c r="L312" s="96">
        <f>I312+J312*EERR!$D$2</f>
        <v>729938.2</v>
      </c>
      <c r="M312" s="96">
        <f>L312/EERR!$D$2</f>
        <v>940</v>
      </c>
      <c r="N312" s="96">
        <f>SUMIF(Nov!$B$3:$B$116,A312,Nov!$V$3:$V$116)</f>
        <v>0</v>
      </c>
      <c r="O312" s="166">
        <f t="shared" si="6"/>
        <v>1</v>
      </c>
    </row>
    <row r="313" spans="1:17" x14ac:dyDescent="0.25">
      <c r="A313" s="299">
        <v>109</v>
      </c>
      <c r="B313" s="300" t="s">
        <v>690</v>
      </c>
      <c r="C313" s="301" t="s">
        <v>225</v>
      </c>
      <c r="D313" s="301" t="s">
        <v>111</v>
      </c>
      <c r="E313" s="301" t="s">
        <v>112</v>
      </c>
      <c r="F313" s="301" t="s">
        <v>117</v>
      </c>
      <c r="G313" s="301" t="s">
        <v>691</v>
      </c>
      <c r="H313" s="301" t="s">
        <v>114</v>
      </c>
      <c r="I313" s="298"/>
      <c r="J313" s="298">
        <v>220</v>
      </c>
      <c r="K313" s="301" t="s">
        <v>692</v>
      </c>
      <c r="L313" s="96">
        <f>I313+J313*EERR!$D$2</f>
        <v>170836.6</v>
      </c>
      <c r="M313" s="96">
        <f>L313/EERR!$D$2</f>
        <v>220.00000000000003</v>
      </c>
      <c r="N313" s="96">
        <f>SUMIF(Nov!$B$3:$B$116,A313,Nov!$V$3:$V$116)</f>
        <v>341673.2</v>
      </c>
      <c r="O313" s="166">
        <f t="shared" si="6"/>
        <v>1</v>
      </c>
    </row>
    <row r="314" spans="1:17" x14ac:dyDescent="0.25">
      <c r="A314" s="299">
        <v>110</v>
      </c>
      <c r="B314" s="300" t="s">
        <v>693</v>
      </c>
      <c r="C314" s="301" t="s">
        <v>225</v>
      </c>
      <c r="D314" s="301" t="s">
        <v>111</v>
      </c>
      <c r="E314" s="301" t="s">
        <v>112</v>
      </c>
      <c r="F314" s="301" t="s">
        <v>117</v>
      </c>
      <c r="G314" s="301" t="s">
        <v>694</v>
      </c>
      <c r="H314" s="301" t="s">
        <v>114</v>
      </c>
      <c r="I314" s="298"/>
      <c r="J314" s="298">
        <v>220</v>
      </c>
      <c r="K314" s="301" t="s">
        <v>695</v>
      </c>
      <c r="L314" s="96">
        <f>I314+J314*EERR!$D$2</f>
        <v>170836.6</v>
      </c>
      <c r="M314" s="96">
        <f>L314/EERR!$D$2</f>
        <v>220.00000000000003</v>
      </c>
      <c r="N314" s="96">
        <f>SUMIF(Nov!$B$3:$B$116,A314,Nov!$V$3:$V$116)</f>
        <v>1161688.8799999999</v>
      </c>
      <c r="O314" s="166">
        <f t="shared" si="6"/>
        <v>1</v>
      </c>
      <c r="Q314" s="223" t="str">
        <f t="shared" ref="Q314:Q319" si="7">CONCATENATE(MID(B314,1,2),"-",MID(B314,4,2),"-",MID(B314,7,4))</f>
        <v>28-10-2019</v>
      </c>
    </row>
    <row r="315" spans="1:17" x14ac:dyDescent="0.25">
      <c r="A315" s="299">
        <v>111</v>
      </c>
      <c r="B315" s="300" t="s">
        <v>696</v>
      </c>
      <c r="C315" s="301" t="s">
        <v>225</v>
      </c>
      <c r="D315" s="301" t="s">
        <v>111</v>
      </c>
      <c r="E315" s="301" t="s">
        <v>112</v>
      </c>
      <c r="F315" s="301" t="s">
        <v>117</v>
      </c>
      <c r="G315" s="301" t="s">
        <v>697</v>
      </c>
      <c r="H315" s="301" t="s">
        <v>114</v>
      </c>
      <c r="I315" s="298"/>
      <c r="J315" s="298">
        <v>220</v>
      </c>
      <c r="K315" s="301" t="s">
        <v>698</v>
      </c>
      <c r="L315" s="96">
        <f>I315+J315*EERR!$D$2</f>
        <v>170836.6</v>
      </c>
      <c r="M315" s="96">
        <f>L315/EERR!$D$2</f>
        <v>220.00000000000003</v>
      </c>
      <c r="N315" s="96">
        <f>SUMIF(Nov!$B$3:$B$116,A315,Nov!$V$3:$V$116)</f>
        <v>0</v>
      </c>
      <c r="O315" s="166">
        <f t="shared" si="6"/>
        <v>1</v>
      </c>
      <c r="Q315" s="223" t="str">
        <f t="shared" si="7"/>
        <v>29-10-2019</v>
      </c>
    </row>
    <row r="316" spans="1:17" x14ac:dyDescent="0.25">
      <c r="A316" s="299">
        <v>112</v>
      </c>
      <c r="B316" s="300" t="s">
        <v>699</v>
      </c>
      <c r="C316" s="301" t="s">
        <v>225</v>
      </c>
      <c r="D316" s="301" t="s">
        <v>111</v>
      </c>
      <c r="E316" s="301" t="s">
        <v>112</v>
      </c>
      <c r="F316" s="301" t="s">
        <v>117</v>
      </c>
      <c r="G316" s="301" t="s">
        <v>415</v>
      </c>
      <c r="H316" s="301" t="s">
        <v>114</v>
      </c>
      <c r="I316" s="298"/>
      <c r="J316" s="298">
        <v>40</v>
      </c>
      <c r="K316" s="301" t="s">
        <v>700</v>
      </c>
      <c r="L316" s="96">
        <f>I316+J316*EERR!$D$2</f>
        <v>31061.199999999997</v>
      </c>
      <c r="M316" s="96">
        <f>L316/EERR!$D$2</f>
        <v>40</v>
      </c>
      <c r="N316" s="96">
        <f>SUMIF(Nov!$B$3:$B$116,A316,Nov!$V$3:$V$116)</f>
        <v>0</v>
      </c>
      <c r="O316" s="166">
        <f t="shared" si="6"/>
        <v>1</v>
      </c>
      <c r="Q316" s="223" t="str">
        <f t="shared" si="7"/>
        <v>29-10-2019</v>
      </c>
    </row>
    <row r="317" spans="1:17" x14ac:dyDescent="0.25">
      <c r="A317" s="299">
        <v>113</v>
      </c>
      <c r="B317" s="300" t="s">
        <v>701</v>
      </c>
      <c r="C317" s="301" t="s">
        <v>225</v>
      </c>
      <c r="D317" s="301" t="s">
        <v>111</v>
      </c>
      <c r="E317" s="301" t="s">
        <v>112</v>
      </c>
      <c r="F317" s="301" t="s">
        <v>117</v>
      </c>
      <c r="G317" s="301" t="s">
        <v>415</v>
      </c>
      <c r="H317" s="301" t="s">
        <v>114</v>
      </c>
      <c r="I317" s="298"/>
      <c r="J317" s="298">
        <v>42</v>
      </c>
      <c r="K317" s="301" t="s">
        <v>702</v>
      </c>
      <c r="L317" s="96">
        <f>I317+J317*EERR!$D$2</f>
        <v>32614.26</v>
      </c>
      <c r="M317" s="96">
        <f>L317/EERR!$D$2</f>
        <v>42</v>
      </c>
      <c r="N317" s="96">
        <f>SUMIF(Nov!$B$3:$B$116,A317,Nov!$V$3:$V$116)</f>
        <v>0</v>
      </c>
      <c r="O317" s="166">
        <f t="shared" si="6"/>
        <v>1</v>
      </c>
      <c r="Q317" s="223" t="str">
        <f t="shared" si="7"/>
        <v>29-10-2019</v>
      </c>
    </row>
    <row r="318" spans="1:17" x14ac:dyDescent="0.25">
      <c r="A318" s="299">
        <v>114</v>
      </c>
      <c r="B318" s="300" t="s">
        <v>703</v>
      </c>
      <c r="C318" s="301" t="s">
        <v>225</v>
      </c>
      <c r="D318" s="301" t="s">
        <v>111</v>
      </c>
      <c r="E318" s="301" t="s">
        <v>112</v>
      </c>
      <c r="F318" s="301" t="s">
        <v>116</v>
      </c>
      <c r="G318" s="301" t="s">
        <v>639</v>
      </c>
      <c r="H318" s="301" t="s">
        <v>114</v>
      </c>
      <c r="I318" s="298"/>
      <c r="J318" s="298">
        <v>84</v>
      </c>
      <c r="K318" s="301" t="s">
        <v>704</v>
      </c>
      <c r="L318" s="96">
        <f>I318+J318*EERR!$D$2</f>
        <v>65228.52</v>
      </c>
      <c r="M318" s="96">
        <f>L318/EERR!$D$2</f>
        <v>84</v>
      </c>
      <c r="N318" s="96">
        <f>SUMIF(Nov!$B$3:$B$116,A318,Nov!$V$3:$V$116)</f>
        <v>0</v>
      </c>
      <c r="O318" s="166">
        <f t="shared" si="6"/>
        <v>1</v>
      </c>
      <c r="Q318" s="223" t="str">
        <f t="shared" si="7"/>
        <v>29-10-2019</v>
      </c>
    </row>
    <row r="319" spans="1:17" x14ac:dyDescent="0.25">
      <c r="A319" s="299">
        <v>115</v>
      </c>
      <c r="B319" s="300" t="s">
        <v>705</v>
      </c>
      <c r="C319" s="301" t="s">
        <v>225</v>
      </c>
      <c r="D319" s="301" t="s">
        <v>111</v>
      </c>
      <c r="E319" s="301" t="s">
        <v>112</v>
      </c>
      <c r="F319" s="301" t="s">
        <v>117</v>
      </c>
      <c r="G319" s="301" t="s">
        <v>586</v>
      </c>
      <c r="H319" s="301" t="s">
        <v>114</v>
      </c>
      <c r="I319" s="298"/>
      <c r="J319" s="298">
        <v>46</v>
      </c>
      <c r="K319" s="301" t="s">
        <v>706</v>
      </c>
      <c r="L319" s="96">
        <f>I319+J319*EERR!$D$2</f>
        <v>35720.379999999997</v>
      </c>
      <c r="M319" s="96">
        <f>L319/EERR!$D$2</f>
        <v>46</v>
      </c>
      <c r="N319" s="96">
        <f>SUMIF(Nov!$B$3:$B$116,A319,Nov!$V$3:$V$116)</f>
        <v>0</v>
      </c>
      <c r="O319" s="166">
        <f t="shared" si="6"/>
        <v>1</v>
      </c>
      <c r="Q319" s="223" t="str">
        <f t="shared" si="7"/>
        <v>29-10-2019</v>
      </c>
    </row>
    <row r="320" spans="1:17" x14ac:dyDescent="0.25">
      <c r="A320" s="299">
        <v>116</v>
      </c>
      <c r="B320" s="300" t="s">
        <v>707</v>
      </c>
      <c r="C320" s="301" t="s">
        <v>225</v>
      </c>
      <c r="D320" s="301" t="s">
        <v>111</v>
      </c>
      <c r="E320" s="301" t="s">
        <v>112</v>
      </c>
      <c r="F320" s="301" t="s">
        <v>117</v>
      </c>
      <c r="G320" s="301" t="s">
        <v>708</v>
      </c>
      <c r="H320" s="301" t="s">
        <v>114</v>
      </c>
      <c r="I320" s="298"/>
      <c r="J320" s="298">
        <v>209</v>
      </c>
      <c r="K320" s="301" t="s">
        <v>709</v>
      </c>
      <c r="L320" s="96">
        <f>I320+J320*EERR!$D$2</f>
        <v>162294.76999999999</v>
      </c>
      <c r="M320" s="96">
        <f>L320/EERR!$D$2</f>
        <v>209</v>
      </c>
      <c r="N320" s="96">
        <f>SUMIF(Nov!$B$3:$B$116,A320,Nov!$V$3:$V$116)</f>
        <v>649179.07999999996</v>
      </c>
      <c r="O320" s="166">
        <f t="shared" si="6"/>
        <v>1</v>
      </c>
    </row>
    <row r="321" spans="1:15" x14ac:dyDescent="0.25">
      <c r="A321" s="299">
        <v>117</v>
      </c>
      <c r="B321" s="300" t="s">
        <v>710</v>
      </c>
      <c r="C321" s="301" t="s">
        <v>225</v>
      </c>
      <c r="D321" s="301" t="s">
        <v>111</v>
      </c>
      <c r="E321" s="301" t="s">
        <v>112</v>
      </c>
      <c r="F321" s="301" t="s">
        <v>117</v>
      </c>
      <c r="G321" s="301" t="s">
        <v>708</v>
      </c>
      <c r="H321" s="301" t="s">
        <v>114</v>
      </c>
      <c r="I321" s="298"/>
      <c r="J321" s="298">
        <v>209</v>
      </c>
      <c r="K321" s="301" t="s">
        <v>711</v>
      </c>
      <c r="L321" s="96">
        <f>I321+J321*EERR!$D$2</f>
        <v>162294.76999999999</v>
      </c>
      <c r="M321" s="96">
        <f>L321/EERR!$D$2</f>
        <v>209</v>
      </c>
      <c r="N321" s="96">
        <f>SUMIF(Nov!$B$3:$B$116,A321,Nov!$V$3:$V$116)</f>
        <v>486884.31</v>
      </c>
      <c r="O321" s="166">
        <f t="shared" si="6"/>
        <v>1</v>
      </c>
    </row>
    <row r="322" spans="1:15" x14ac:dyDescent="0.25">
      <c r="A322" s="299">
        <v>118</v>
      </c>
      <c r="B322" s="300" t="s">
        <v>712</v>
      </c>
      <c r="C322" s="301" t="s">
        <v>224</v>
      </c>
      <c r="D322" s="301" t="s">
        <v>111</v>
      </c>
      <c r="E322" s="301" t="s">
        <v>115</v>
      </c>
      <c r="F322" s="301" t="s">
        <v>117</v>
      </c>
      <c r="G322" s="301" t="s">
        <v>713</v>
      </c>
      <c r="H322" s="301" t="s">
        <v>115</v>
      </c>
      <c r="I322" s="298">
        <v>190066</v>
      </c>
      <c r="J322" s="298"/>
      <c r="K322" s="301" t="s">
        <v>714</v>
      </c>
      <c r="L322" s="96">
        <f>I322+J322*EERR!$D$2</f>
        <v>190066</v>
      </c>
      <c r="M322" s="96">
        <f>L322/EERR!$D$2</f>
        <v>244.76324160045331</v>
      </c>
      <c r="N322" s="96">
        <f>SUMIF(Nov!$B$3:$B$116,A322,Nov!$V$3:$V$116)</f>
        <v>612087</v>
      </c>
      <c r="O322" s="166">
        <f t="shared" si="6"/>
        <v>1</v>
      </c>
    </row>
    <row r="323" spans="1:15" x14ac:dyDescent="0.25">
      <c r="A323" s="299">
        <v>119</v>
      </c>
      <c r="B323" s="300" t="s">
        <v>715</v>
      </c>
      <c r="C323" s="301" t="s">
        <v>225</v>
      </c>
      <c r="D323" s="301" t="s">
        <v>111</v>
      </c>
      <c r="E323" s="301" t="s">
        <v>112</v>
      </c>
      <c r="F323" s="301" t="s">
        <v>117</v>
      </c>
      <c r="G323" s="301" t="s">
        <v>384</v>
      </c>
      <c r="H323" s="301" t="s">
        <v>114</v>
      </c>
      <c r="I323" s="298"/>
      <c r="J323" s="298">
        <v>940</v>
      </c>
      <c r="K323" s="301" t="s">
        <v>716</v>
      </c>
      <c r="L323" s="96">
        <f>I323+J323*EERR!$D$2</f>
        <v>729938.2</v>
      </c>
      <c r="M323" s="96">
        <f>L323/EERR!$D$2</f>
        <v>940</v>
      </c>
      <c r="N323" s="96">
        <f>SUMIF(Nov!$B$3:$B$116,A323,Nov!$V$3:$V$116)</f>
        <v>0</v>
      </c>
      <c r="O323" s="166">
        <f t="shared" si="6"/>
        <v>1</v>
      </c>
    </row>
    <row r="324" spans="1:15" x14ac:dyDescent="0.25">
      <c r="A324" s="299">
        <v>120</v>
      </c>
      <c r="B324" s="300" t="s">
        <v>717</v>
      </c>
      <c r="C324" s="301" t="s">
        <v>224</v>
      </c>
      <c r="D324" s="301" t="s">
        <v>111</v>
      </c>
      <c r="E324" s="301" t="s">
        <v>115</v>
      </c>
      <c r="F324" s="301" t="s">
        <v>117</v>
      </c>
      <c r="G324" s="301" t="s">
        <v>378</v>
      </c>
      <c r="H324" s="301" t="s">
        <v>115</v>
      </c>
      <c r="I324" s="298">
        <v>620323</v>
      </c>
      <c r="J324" s="298"/>
      <c r="K324" s="301" t="s">
        <v>718</v>
      </c>
      <c r="L324" s="96">
        <f>I324+J324*EERR!$D$2</f>
        <v>620323</v>
      </c>
      <c r="M324" s="96">
        <f>L324/EERR!$D$2</f>
        <v>798.83970999188705</v>
      </c>
      <c r="N324" s="96">
        <f>SUMIF(Nov!$B$3:$B$116,A324,Nov!$V$3:$V$116)</f>
        <v>0</v>
      </c>
      <c r="O324" s="166">
        <f t="shared" ref="O324:O331" si="8">+A324-A323</f>
        <v>1</v>
      </c>
    </row>
    <row r="325" spans="1:15" x14ac:dyDescent="0.25">
      <c r="A325" s="299">
        <v>121</v>
      </c>
      <c r="B325" s="300" t="s">
        <v>719</v>
      </c>
      <c r="C325" s="301" t="s">
        <v>224</v>
      </c>
      <c r="D325" s="301" t="s">
        <v>111</v>
      </c>
      <c r="E325" s="301" t="s">
        <v>115</v>
      </c>
      <c r="F325" s="301" t="s">
        <v>116</v>
      </c>
      <c r="G325" s="301" t="s">
        <v>381</v>
      </c>
      <c r="H325" s="301" t="s">
        <v>318</v>
      </c>
      <c r="I325" s="298">
        <v>589307</v>
      </c>
      <c r="J325" s="298"/>
      <c r="K325" s="301" t="s">
        <v>720</v>
      </c>
      <c r="L325" s="96">
        <f>I325+J325*EERR!$D$2</f>
        <v>589307</v>
      </c>
      <c r="M325" s="96">
        <f>L325/EERR!$D$2</f>
        <v>758.89791765933069</v>
      </c>
      <c r="N325" s="96">
        <f>SUMIF(Nov!$B$3:$B$116,A325,Nov!$V$3:$V$116)</f>
        <v>0</v>
      </c>
      <c r="O325" s="166">
        <f t="shared" si="8"/>
        <v>1</v>
      </c>
    </row>
    <row r="326" spans="1:15" x14ac:dyDescent="0.25">
      <c r="A326" s="299">
        <v>122</v>
      </c>
      <c r="B326" s="300" t="s">
        <v>721</v>
      </c>
      <c r="C326" s="301" t="s">
        <v>224</v>
      </c>
      <c r="D326" s="301" t="s">
        <v>111</v>
      </c>
      <c r="E326" s="301" t="s">
        <v>115</v>
      </c>
      <c r="F326" s="301" t="s">
        <v>117</v>
      </c>
      <c r="G326" s="301" t="s">
        <v>722</v>
      </c>
      <c r="H326" s="301" t="s">
        <v>318</v>
      </c>
      <c r="I326" s="298">
        <v>196979</v>
      </c>
      <c r="J326" s="298"/>
      <c r="K326" s="301" t="s">
        <v>723</v>
      </c>
      <c r="L326" s="96">
        <f>I326+J326*EERR!$D$2</f>
        <v>196979</v>
      </c>
      <c r="M326" s="96">
        <f>L326/EERR!$D$2</f>
        <v>253.66566649067005</v>
      </c>
      <c r="N326" s="96">
        <f>SUMIF(Nov!$B$3:$B$116,A326,Nov!$V$3:$V$116)</f>
        <v>0</v>
      </c>
      <c r="O326" s="166">
        <f t="shared" si="8"/>
        <v>1</v>
      </c>
    </row>
    <row r="327" spans="1:15" x14ac:dyDescent="0.25">
      <c r="A327" s="299">
        <v>123</v>
      </c>
      <c r="B327" s="300" t="s">
        <v>724</v>
      </c>
      <c r="C327" s="301" t="s">
        <v>224</v>
      </c>
      <c r="D327" s="301" t="s">
        <v>111</v>
      </c>
      <c r="E327" s="301" t="s">
        <v>115</v>
      </c>
      <c r="F327" s="301" t="s">
        <v>116</v>
      </c>
      <c r="G327" s="301" t="s">
        <v>725</v>
      </c>
      <c r="H327" s="301" t="s">
        <v>115</v>
      </c>
      <c r="I327" s="298">
        <v>190067</v>
      </c>
      <c r="J327" s="298"/>
      <c r="K327" s="301" t="s">
        <v>726</v>
      </c>
      <c r="L327" s="96">
        <f>I327+J327*EERR!$D$2</f>
        <v>190067</v>
      </c>
      <c r="M327" s="96">
        <f>L327/EERR!$D$2</f>
        <v>244.76452938070648</v>
      </c>
      <c r="N327" s="96">
        <f>SUMIF(Nov!$B$3:$B$116,A327,Nov!$V$3:$V$116)</f>
        <v>0</v>
      </c>
      <c r="O327" s="166">
        <f t="shared" si="8"/>
        <v>1</v>
      </c>
    </row>
    <row r="328" spans="1:15" x14ac:dyDescent="0.25">
      <c r="A328" s="286">
        <v>124</v>
      </c>
      <c r="B328" s="287" t="s">
        <v>727</v>
      </c>
      <c r="C328" s="288" t="s">
        <v>224</v>
      </c>
      <c r="D328" s="288" t="s">
        <v>111</v>
      </c>
      <c r="E328" s="288" t="s">
        <v>115</v>
      </c>
      <c r="F328" s="288" t="s">
        <v>116</v>
      </c>
      <c r="G328" s="288" t="s">
        <v>728</v>
      </c>
      <c r="H328" s="288" t="s">
        <v>115</v>
      </c>
      <c r="I328" s="289">
        <v>190067</v>
      </c>
      <c r="J328" s="289"/>
      <c r="K328" s="288" t="s">
        <v>729</v>
      </c>
      <c r="L328" s="96">
        <f>I328+J328*EERR!$D$2</f>
        <v>190067</v>
      </c>
      <c r="M328" s="96">
        <f>L328/EERR!$D$2</f>
        <v>244.76452938070648</v>
      </c>
      <c r="N328" s="96">
        <f>SUMIF(Nov!$B$3:$B$116,A328,Nov!$V$3:$V$116)</f>
        <v>0</v>
      </c>
      <c r="O328" s="166">
        <f t="shared" si="8"/>
        <v>1</v>
      </c>
    </row>
    <row r="329" spans="1:15" x14ac:dyDescent="0.25">
      <c r="A329" s="286">
        <v>125</v>
      </c>
      <c r="B329" s="287" t="s">
        <v>730</v>
      </c>
      <c r="C329" s="288" t="s">
        <v>225</v>
      </c>
      <c r="D329" s="288" t="s">
        <v>111</v>
      </c>
      <c r="E329" s="288" t="s">
        <v>112</v>
      </c>
      <c r="F329" s="288" t="s">
        <v>116</v>
      </c>
      <c r="G329" s="288" t="s">
        <v>441</v>
      </c>
      <c r="H329" s="288" t="s">
        <v>114</v>
      </c>
      <c r="I329" s="289"/>
      <c r="J329" s="289">
        <v>1140</v>
      </c>
      <c r="K329" s="288" t="s">
        <v>731</v>
      </c>
      <c r="L329" s="96">
        <f>I329+J329*EERR!$D$2</f>
        <v>885244.2</v>
      </c>
      <c r="M329" s="96">
        <f>L329/EERR!$D$2</f>
        <v>1140</v>
      </c>
      <c r="N329" s="96">
        <f>SUMIF(Nov!$B$3:$B$116,A329,Nov!$V$3:$V$116)</f>
        <v>0</v>
      </c>
      <c r="O329" s="166">
        <f t="shared" si="8"/>
        <v>1</v>
      </c>
    </row>
    <row r="330" spans="1:15" x14ac:dyDescent="0.25">
      <c r="A330" s="286">
        <v>126</v>
      </c>
      <c r="B330" s="287" t="s">
        <v>732</v>
      </c>
      <c r="C330" s="288" t="s">
        <v>224</v>
      </c>
      <c r="D330" s="288" t="s">
        <v>111</v>
      </c>
      <c r="E330" s="288" t="s">
        <v>115</v>
      </c>
      <c r="F330" s="288" t="s">
        <v>116</v>
      </c>
      <c r="G330" s="288" t="s">
        <v>441</v>
      </c>
      <c r="H330" s="288" t="s">
        <v>115</v>
      </c>
      <c r="I330" s="289">
        <v>4000</v>
      </c>
      <c r="J330" s="289"/>
      <c r="K330" s="288" t="s">
        <v>733</v>
      </c>
      <c r="L330" s="96">
        <f>I330+J330*EERR!$D$2</f>
        <v>4000</v>
      </c>
      <c r="M330" s="96">
        <f>L330/EERR!$D$2</f>
        <v>5.1511210127103917</v>
      </c>
      <c r="N330" s="96">
        <f>SUMIF(Nov!$B$3:$B$116,A330,Nov!$V$3:$V$116)</f>
        <v>0</v>
      </c>
      <c r="O330" s="166">
        <f t="shared" si="8"/>
        <v>1</v>
      </c>
    </row>
    <row r="331" spans="1:15" x14ac:dyDescent="0.25">
      <c r="A331" s="299">
        <v>127</v>
      </c>
      <c r="B331" s="300">
        <v>43770</v>
      </c>
      <c r="C331" s="301">
        <v>30975278</v>
      </c>
      <c r="D331" s="301"/>
      <c r="E331" s="301"/>
      <c r="F331" s="301" t="s">
        <v>117</v>
      </c>
      <c r="G331" s="301"/>
      <c r="H331" s="301"/>
      <c r="I331" s="298">
        <v>190067</v>
      </c>
      <c r="J331" s="298"/>
      <c r="K331" s="301">
        <v>78932</v>
      </c>
      <c r="L331" s="96">
        <f>I331+J331*EERR!$D$2</f>
        <v>190067</v>
      </c>
      <c r="M331" s="96">
        <f>L331/EERR!$D$2</f>
        <v>244.76452938070648</v>
      </c>
      <c r="N331" s="96">
        <f>SUMIF(Nov!$B$3:$B$116,A331,Nov!$V$3:$V$116)</f>
        <v>0</v>
      </c>
      <c r="O331" s="166">
        <f t="shared" si="8"/>
        <v>1</v>
      </c>
    </row>
    <row r="332" spans="1:15" x14ac:dyDescent="0.25">
      <c r="A332" s="299"/>
      <c r="B332" s="300"/>
      <c r="C332" s="301"/>
      <c r="D332" s="301"/>
      <c r="E332" s="301"/>
      <c r="F332" s="301"/>
      <c r="G332" s="301"/>
      <c r="H332" s="301"/>
      <c r="I332" s="298"/>
      <c r="J332" s="298"/>
      <c r="K332" s="301"/>
      <c r="L332" s="96">
        <f>I332+J332*EERR!$D$2</f>
        <v>0</v>
      </c>
      <c r="M332" s="96">
        <f>L332/EERR!$D$2</f>
        <v>0</v>
      </c>
      <c r="N332" s="96">
        <f>SUMIF(Nov!$B$3:$B$116,A332,Nov!$V$3:$V$116)</f>
        <v>0</v>
      </c>
      <c r="O332" s="166">
        <f t="shared" ref="O332:O356" si="9">+A332-A331</f>
        <v>-127</v>
      </c>
    </row>
    <row r="333" spans="1:15" x14ac:dyDescent="0.25">
      <c r="A333" s="299"/>
      <c r="B333" s="300"/>
      <c r="C333" s="301"/>
      <c r="D333" s="301"/>
      <c r="E333" s="301"/>
      <c r="F333" s="301"/>
      <c r="G333" s="301"/>
      <c r="H333" s="301"/>
      <c r="I333" s="298"/>
      <c r="J333" s="298"/>
      <c r="K333" s="301"/>
      <c r="L333" s="96">
        <f>I333+J333*EERR!$D$2</f>
        <v>0</v>
      </c>
      <c r="M333" s="96">
        <f>L333/EERR!$D$2</f>
        <v>0</v>
      </c>
      <c r="N333" s="96">
        <f>SUMIF(Nov!$B$3:$B$116,A333,Nov!$V$3:$V$116)</f>
        <v>0</v>
      </c>
      <c r="O333" s="166">
        <f t="shared" si="9"/>
        <v>0</v>
      </c>
    </row>
    <row r="334" spans="1:15" x14ac:dyDescent="0.25">
      <c r="A334" s="299"/>
      <c r="B334" s="300"/>
      <c r="C334" s="301"/>
      <c r="D334" s="301"/>
      <c r="E334" s="301"/>
      <c r="F334" s="301"/>
      <c r="G334" s="301"/>
      <c r="H334" s="301"/>
      <c r="I334" s="298"/>
      <c r="J334" s="298"/>
      <c r="K334" s="301"/>
      <c r="L334" s="96">
        <f>I334+J334*EERR!$D$2</f>
        <v>0</v>
      </c>
      <c r="M334" s="96">
        <f>L334/EERR!$D$2</f>
        <v>0</v>
      </c>
      <c r="N334" s="96">
        <f>SUMIF(Nov!$B$3:$B$116,A334,Nov!$V$3:$V$116)</f>
        <v>0</v>
      </c>
      <c r="O334" s="166">
        <f t="shared" si="9"/>
        <v>0</v>
      </c>
    </row>
    <row r="335" spans="1:15" x14ac:dyDescent="0.25">
      <c r="A335" s="299"/>
      <c r="B335" s="300"/>
      <c r="C335" s="301"/>
      <c r="D335" s="301"/>
      <c r="E335" s="301"/>
      <c r="F335" s="301"/>
      <c r="G335" s="301"/>
      <c r="H335" s="301"/>
      <c r="I335" s="298"/>
      <c r="J335" s="298"/>
      <c r="K335" s="301"/>
      <c r="L335" s="96">
        <f>I335+J335*EERR!$D$2</f>
        <v>0</v>
      </c>
      <c r="M335" s="96">
        <f>L335/EERR!$D$2</f>
        <v>0</v>
      </c>
      <c r="N335" s="96">
        <f>SUMIF(Nov!$B$3:$B$116,A335,Nov!$V$3:$V$116)</f>
        <v>0</v>
      </c>
      <c r="O335" s="166">
        <f t="shared" si="9"/>
        <v>0</v>
      </c>
    </row>
    <row r="336" spans="1:15" x14ac:dyDescent="0.25">
      <c r="A336" s="299"/>
      <c r="B336" s="300"/>
      <c r="C336" s="301"/>
      <c r="D336" s="301"/>
      <c r="E336" s="301"/>
      <c r="F336" s="301"/>
      <c r="G336" s="301"/>
      <c r="H336" s="301"/>
      <c r="I336" s="298"/>
      <c r="J336" s="298"/>
      <c r="K336" s="301"/>
      <c r="L336" s="96">
        <f>I336+J336*EERR!$D$2</f>
        <v>0</v>
      </c>
      <c r="M336" s="96">
        <f>L336/EERR!$D$2</f>
        <v>0</v>
      </c>
      <c r="N336" s="96">
        <f>SUMIF(Nov!$B$3:$B$116,A336,Nov!$V$3:$V$116)</f>
        <v>0</v>
      </c>
      <c r="O336" s="166">
        <f t="shared" si="9"/>
        <v>0</v>
      </c>
    </row>
    <row r="337" spans="1:15" x14ac:dyDescent="0.25">
      <c r="A337" s="299"/>
      <c r="B337" s="300"/>
      <c r="C337" s="301"/>
      <c r="D337" s="301"/>
      <c r="E337" s="301"/>
      <c r="F337" s="301"/>
      <c r="G337" s="301"/>
      <c r="H337" s="301"/>
      <c r="I337" s="298"/>
      <c r="J337" s="298"/>
      <c r="K337" s="301"/>
      <c r="L337" s="96">
        <f>I337+J337*EERR!$D$2</f>
        <v>0</v>
      </c>
      <c r="M337" s="96">
        <f>L337/EERR!$D$2</f>
        <v>0</v>
      </c>
      <c r="N337" s="96">
        <f>SUMIF(Nov!$B$3:$B$116,A337,Nov!$V$3:$V$116)</f>
        <v>0</v>
      </c>
      <c r="O337" s="166">
        <f t="shared" si="9"/>
        <v>0</v>
      </c>
    </row>
    <row r="338" spans="1:15" x14ac:dyDescent="0.25">
      <c r="A338" s="299"/>
      <c r="B338" s="300"/>
      <c r="C338" s="301"/>
      <c r="D338" s="301"/>
      <c r="E338" s="301"/>
      <c r="F338" s="301"/>
      <c r="G338" s="301"/>
      <c r="H338" s="301"/>
      <c r="I338" s="298"/>
      <c r="J338" s="298"/>
      <c r="K338" s="301"/>
      <c r="L338" s="96">
        <f>I338+J338*EERR!$D$2</f>
        <v>0</v>
      </c>
      <c r="M338" s="96">
        <f>L338/EERR!$D$2</f>
        <v>0</v>
      </c>
      <c r="N338" s="96">
        <f>SUMIF(Nov!$B$3:$B$116,A338,Nov!$V$3:$V$116)</f>
        <v>0</v>
      </c>
      <c r="O338" s="166">
        <f t="shared" si="9"/>
        <v>0</v>
      </c>
    </row>
    <row r="339" spans="1:15" x14ac:dyDescent="0.25">
      <c r="A339" s="299"/>
      <c r="B339" s="300"/>
      <c r="C339" s="301"/>
      <c r="D339" s="301"/>
      <c r="E339" s="301"/>
      <c r="F339" s="301"/>
      <c r="G339" s="301"/>
      <c r="H339" s="301"/>
      <c r="I339" s="298"/>
      <c r="J339" s="298"/>
      <c r="K339" s="301"/>
      <c r="L339" s="96">
        <f>I339+J339*EERR!$D$2</f>
        <v>0</v>
      </c>
      <c r="M339" s="96">
        <f>L339/EERR!$D$2</f>
        <v>0</v>
      </c>
      <c r="N339" s="96">
        <f>SUMIF(Nov!$B$3:$B$116,A339,Nov!$V$3:$V$116)</f>
        <v>0</v>
      </c>
      <c r="O339" s="166">
        <f t="shared" si="9"/>
        <v>0</v>
      </c>
    </row>
    <row r="340" spans="1:15" x14ac:dyDescent="0.25">
      <c r="A340" s="299"/>
      <c r="B340" s="300"/>
      <c r="C340" s="301"/>
      <c r="D340" s="301"/>
      <c r="E340" s="301"/>
      <c r="F340" s="301"/>
      <c r="G340" s="301"/>
      <c r="H340" s="301"/>
      <c r="I340" s="298"/>
      <c r="J340" s="298"/>
      <c r="K340" s="301"/>
      <c r="L340" s="96">
        <f>I340+J340*EERR!$D$2</f>
        <v>0</v>
      </c>
      <c r="M340" s="96">
        <f>L340/EERR!$D$2</f>
        <v>0</v>
      </c>
      <c r="N340" s="96">
        <f>SUMIF(Nov!$B$3:$B$116,A340,Nov!$V$3:$V$116)</f>
        <v>0</v>
      </c>
      <c r="O340" s="166">
        <f t="shared" si="9"/>
        <v>0</v>
      </c>
    </row>
    <row r="341" spans="1:15" x14ac:dyDescent="0.25">
      <c r="A341" s="299"/>
      <c r="B341" s="300"/>
      <c r="C341" s="301"/>
      <c r="D341" s="301"/>
      <c r="E341" s="301"/>
      <c r="F341" s="301"/>
      <c r="G341" s="301"/>
      <c r="H341" s="301"/>
      <c r="I341" s="298"/>
      <c r="J341" s="298"/>
      <c r="K341" s="301"/>
      <c r="L341" s="96">
        <f>I341+J341*EERR!$D$2</f>
        <v>0</v>
      </c>
      <c r="M341" s="96">
        <f>L341/EERR!$D$2</f>
        <v>0</v>
      </c>
      <c r="N341" s="96">
        <f>SUMIF(Nov!$B$3:$B$116,A341,Nov!$V$3:$V$116)</f>
        <v>0</v>
      </c>
      <c r="O341" s="166">
        <f t="shared" si="9"/>
        <v>0</v>
      </c>
    </row>
    <row r="342" spans="1:15" x14ac:dyDescent="0.25">
      <c r="A342" s="299"/>
      <c r="B342" s="300"/>
      <c r="C342" s="301"/>
      <c r="D342" s="301"/>
      <c r="E342" s="301"/>
      <c r="F342" s="301"/>
      <c r="G342" s="301"/>
      <c r="H342" s="301"/>
      <c r="I342" s="298"/>
      <c r="J342" s="298"/>
      <c r="K342" s="301"/>
      <c r="L342" s="96">
        <f>I342+J342*EERR!$D$2</f>
        <v>0</v>
      </c>
      <c r="M342" s="96">
        <f>L342/EERR!$D$2</f>
        <v>0</v>
      </c>
      <c r="N342" s="96">
        <f>SUMIF(Nov!$B$3:$B$116,A342,Nov!$V$3:$V$116)</f>
        <v>0</v>
      </c>
      <c r="O342" s="166">
        <f t="shared" si="9"/>
        <v>0</v>
      </c>
    </row>
    <row r="343" spans="1:15" x14ac:dyDescent="0.25">
      <c r="A343" s="299"/>
      <c r="B343" s="300"/>
      <c r="C343" s="301"/>
      <c r="D343" s="301"/>
      <c r="E343" s="301"/>
      <c r="F343" s="301"/>
      <c r="G343" s="301"/>
      <c r="H343" s="301"/>
      <c r="I343" s="298"/>
      <c r="J343" s="298"/>
      <c r="K343" s="301"/>
      <c r="L343" s="96">
        <f>I343+J343*EERR!$D$2</f>
        <v>0</v>
      </c>
      <c r="M343" s="96">
        <f>L343/EERR!$D$2</f>
        <v>0</v>
      </c>
      <c r="N343" s="96">
        <f>SUMIF(Nov!$B$3:$B$116,A343,Nov!$V$3:$V$116)</f>
        <v>0</v>
      </c>
      <c r="O343" s="166">
        <f t="shared" si="9"/>
        <v>0</v>
      </c>
    </row>
    <row r="344" spans="1:15" x14ac:dyDescent="0.25">
      <c r="A344" s="299"/>
      <c r="B344" s="300"/>
      <c r="C344" s="301"/>
      <c r="D344" s="301"/>
      <c r="E344" s="301"/>
      <c r="F344" s="301"/>
      <c r="G344" s="301"/>
      <c r="H344" s="301"/>
      <c r="I344" s="298"/>
      <c r="J344" s="298"/>
      <c r="K344" s="301"/>
      <c r="L344" s="96">
        <f>I344+J344*EERR!$D$2</f>
        <v>0</v>
      </c>
      <c r="M344" s="96">
        <f>L344/EERR!$D$2</f>
        <v>0</v>
      </c>
      <c r="N344" s="96">
        <f>SUMIF(Nov!$B$3:$B$116,A344,Nov!$V$3:$V$116)</f>
        <v>0</v>
      </c>
      <c r="O344" s="166">
        <f t="shared" si="9"/>
        <v>0</v>
      </c>
    </row>
    <row r="345" spans="1:15" x14ac:dyDescent="0.25">
      <c r="A345" s="299"/>
      <c r="B345" s="300"/>
      <c r="C345" s="301"/>
      <c r="D345" s="301"/>
      <c r="E345" s="301"/>
      <c r="F345" s="301"/>
      <c r="G345" s="301"/>
      <c r="H345" s="301"/>
      <c r="I345" s="298"/>
      <c r="J345" s="298"/>
      <c r="K345" s="301"/>
      <c r="L345" s="96">
        <f>I345+J345*EERR!$D$2</f>
        <v>0</v>
      </c>
      <c r="M345" s="96">
        <f>L345/EERR!$D$2</f>
        <v>0</v>
      </c>
      <c r="N345" s="96">
        <f>SUMIF(Nov!$B$3:$B$116,A345,Nov!$V$3:$V$116)</f>
        <v>0</v>
      </c>
      <c r="O345" s="166">
        <f t="shared" si="9"/>
        <v>0</v>
      </c>
    </row>
    <row r="346" spans="1:15" x14ac:dyDescent="0.25">
      <c r="A346" s="299"/>
      <c r="B346" s="300"/>
      <c r="C346" s="301"/>
      <c r="D346" s="301"/>
      <c r="E346" s="301"/>
      <c r="F346" s="301"/>
      <c r="G346" s="301"/>
      <c r="H346" s="301"/>
      <c r="I346" s="298"/>
      <c r="J346" s="298"/>
      <c r="K346" s="301"/>
      <c r="L346" s="96">
        <f>I346+J346*EERR!$D$2</f>
        <v>0</v>
      </c>
      <c r="M346" s="96">
        <f>L346/EERR!$D$2</f>
        <v>0</v>
      </c>
      <c r="N346" s="96">
        <f>SUMIF(Nov!$B$3:$B$116,A346,Nov!$V$3:$V$116)</f>
        <v>0</v>
      </c>
      <c r="O346" s="166">
        <f t="shared" si="9"/>
        <v>0</v>
      </c>
    </row>
    <row r="347" spans="1:15" x14ac:dyDescent="0.25">
      <c r="A347" s="299"/>
      <c r="B347" s="300"/>
      <c r="C347" s="301"/>
      <c r="D347" s="301"/>
      <c r="E347" s="301"/>
      <c r="F347" s="301"/>
      <c r="G347" s="301"/>
      <c r="H347" s="301"/>
      <c r="I347" s="298"/>
      <c r="J347" s="298"/>
      <c r="K347" s="301"/>
      <c r="L347" s="96">
        <f>I347+J347*EERR!$D$2</f>
        <v>0</v>
      </c>
      <c r="M347" s="96">
        <f>L347/EERR!$D$2</f>
        <v>0</v>
      </c>
      <c r="N347" s="96">
        <f>SUMIF(Nov!$B$3:$B$116,A347,Nov!$V$3:$V$116)</f>
        <v>0</v>
      </c>
      <c r="O347" s="166">
        <f t="shared" si="9"/>
        <v>0</v>
      </c>
    </row>
    <row r="348" spans="1:15" x14ac:dyDescent="0.25">
      <c r="A348" s="196"/>
      <c r="B348" s="197"/>
      <c r="C348" s="198"/>
      <c r="D348" s="198"/>
      <c r="E348" s="198"/>
      <c r="F348" s="198"/>
      <c r="G348" s="198"/>
      <c r="H348" s="198"/>
      <c r="I348" s="199"/>
      <c r="J348" s="199"/>
      <c r="K348" s="198"/>
      <c r="L348" s="96">
        <f>I348+J348*EERR!$D$2</f>
        <v>0</v>
      </c>
      <c r="M348" s="96">
        <f>L348/EERR!$D$2</f>
        <v>0</v>
      </c>
      <c r="N348" s="96">
        <f>SUMIF(Nov!$B$3:$B$116,A348,Nov!$V$3:$V$116)</f>
        <v>0</v>
      </c>
      <c r="O348" s="166">
        <f t="shared" si="9"/>
        <v>0</v>
      </c>
    </row>
    <row r="349" spans="1:15" x14ac:dyDescent="0.25">
      <c r="A349" s="196"/>
      <c r="B349" s="197"/>
      <c r="C349" s="198"/>
      <c r="D349" s="198"/>
      <c r="E349" s="198"/>
      <c r="F349" s="198"/>
      <c r="G349" s="198"/>
      <c r="H349" s="198"/>
      <c r="I349" s="199"/>
      <c r="J349" s="199"/>
      <c r="K349" s="198"/>
      <c r="L349" s="96">
        <f>I349+J349*EERR!$D$2</f>
        <v>0</v>
      </c>
      <c r="M349" s="96">
        <f>L349/EERR!$D$2</f>
        <v>0</v>
      </c>
      <c r="N349" s="96">
        <f>SUMIF(Nov!$B$3:$B$116,A349,Nov!$V$3:$V$116)</f>
        <v>0</v>
      </c>
      <c r="O349" s="166">
        <f t="shared" si="9"/>
        <v>0</v>
      </c>
    </row>
    <row r="350" spans="1:15" x14ac:dyDescent="0.25">
      <c r="A350" s="196"/>
      <c r="B350" s="197"/>
      <c r="C350" s="198"/>
      <c r="D350" s="198"/>
      <c r="E350" s="198"/>
      <c r="F350" s="198"/>
      <c r="G350" s="198"/>
      <c r="H350" s="198"/>
      <c r="I350" s="199"/>
      <c r="J350" s="199"/>
      <c r="K350" s="198"/>
      <c r="L350" s="96">
        <f>I350+J350*EERR!$D$2</f>
        <v>0</v>
      </c>
      <c r="M350" s="96">
        <f>L350/EERR!$D$2</f>
        <v>0</v>
      </c>
      <c r="N350" s="96">
        <f>SUMIF(Nov!$B$3:$B$116,A350,Nov!$V$3:$V$116)</f>
        <v>0</v>
      </c>
      <c r="O350" s="166">
        <f t="shared" si="9"/>
        <v>0</v>
      </c>
    </row>
    <row r="351" spans="1:15" x14ac:dyDescent="0.25">
      <c r="A351" s="196"/>
      <c r="B351" s="197"/>
      <c r="C351" s="198"/>
      <c r="D351" s="198"/>
      <c r="E351" s="198"/>
      <c r="F351" s="198"/>
      <c r="G351" s="198"/>
      <c r="H351" s="198"/>
      <c r="I351" s="199"/>
      <c r="J351" s="199"/>
      <c r="K351" s="198"/>
      <c r="L351" s="96">
        <f>I351+J351*EERR!$D$2</f>
        <v>0</v>
      </c>
      <c r="M351" s="96">
        <f>L351/EERR!$D$2</f>
        <v>0</v>
      </c>
      <c r="N351" s="96">
        <f>SUMIF(Nov!$B$3:$B$116,A351,Nov!$V$3:$V$116)</f>
        <v>0</v>
      </c>
      <c r="O351" s="166">
        <f t="shared" si="9"/>
        <v>0</v>
      </c>
    </row>
    <row r="352" spans="1:15" x14ac:dyDescent="0.25">
      <c r="A352" s="196"/>
      <c r="B352" s="197"/>
      <c r="C352" s="198"/>
      <c r="D352" s="198"/>
      <c r="E352" s="198"/>
      <c r="F352" s="198"/>
      <c r="G352" s="198"/>
      <c r="H352" s="198"/>
      <c r="I352" s="199"/>
      <c r="J352" s="199"/>
      <c r="K352" s="198"/>
      <c r="L352" s="96">
        <f>I352+J352*EERR!$D$2</f>
        <v>0</v>
      </c>
      <c r="M352" s="96">
        <f>L352/EERR!$D$2</f>
        <v>0</v>
      </c>
      <c r="N352" s="96">
        <f>SUMIF(Nov!$B$3:$B$116,A352,Nov!$V$3:$V$116)</f>
        <v>0</v>
      </c>
      <c r="O352" s="166">
        <f t="shared" si="9"/>
        <v>0</v>
      </c>
    </row>
    <row r="353" spans="1:15" x14ac:dyDescent="0.25">
      <c r="A353" s="196"/>
      <c r="B353" s="197"/>
      <c r="C353" s="198"/>
      <c r="D353" s="198"/>
      <c r="E353" s="198"/>
      <c r="F353" s="198"/>
      <c r="G353" s="198"/>
      <c r="H353" s="198"/>
      <c r="I353" s="199"/>
      <c r="J353" s="199"/>
      <c r="K353" s="198"/>
      <c r="L353" s="96">
        <f>I353+J353*EERR!$D$2</f>
        <v>0</v>
      </c>
      <c r="M353" s="96">
        <f>L353/EERR!$D$2</f>
        <v>0</v>
      </c>
      <c r="N353" s="96">
        <f>SUMIF(Nov!$B$3:$B$116,A353,Nov!$V$3:$V$116)</f>
        <v>0</v>
      </c>
      <c r="O353" s="166">
        <f t="shared" si="9"/>
        <v>0</v>
      </c>
    </row>
    <row r="354" spans="1:15" x14ac:dyDescent="0.25">
      <c r="A354" s="196"/>
      <c r="B354" s="197"/>
      <c r="C354" s="198"/>
      <c r="D354" s="198"/>
      <c r="E354" s="198"/>
      <c r="F354" s="198"/>
      <c r="G354" s="198"/>
      <c r="H354" s="198"/>
      <c r="I354" s="199"/>
      <c r="J354" s="199"/>
      <c r="K354" s="198"/>
      <c r="L354" s="96">
        <f>I354+J354*EERR!$D$2</f>
        <v>0</v>
      </c>
      <c r="M354" s="96">
        <f>L354/EERR!$D$2</f>
        <v>0</v>
      </c>
      <c r="N354" s="96">
        <f>SUMIF(Nov!$B$3:$B$116,A354,Nov!$V$3:$V$116)</f>
        <v>0</v>
      </c>
      <c r="O354" s="166">
        <f t="shared" si="9"/>
        <v>0</v>
      </c>
    </row>
    <row r="355" spans="1:15" x14ac:dyDescent="0.25">
      <c r="A355" s="196"/>
      <c r="B355" s="197"/>
      <c r="C355" s="198"/>
      <c r="D355" s="198"/>
      <c r="E355" s="198"/>
      <c r="F355" s="198"/>
      <c r="G355" s="198"/>
      <c r="H355" s="198"/>
      <c r="I355" s="199"/>
      <c r="J355" s="199"/>
      <c r="K355" s="198"/>
      <c r="L355" s="96">
        <f>I355+J355*EERR!$D$2</f>
        <v>0</v>
      </c>
      <c r="M355" s="96">
        <f>L355/EERR!$D$2</f>
        <v>0</v>
      </c>
      <c r="N355" s="96">
        <f>SUMIF(Nov!$B$3:$B$116,A355,Nov!$V$3:$V$116)</f>
        <v>0</v>
      </c>
      <c r="O355" s="166">
        <f t="shared" si="9"/>
        <v>0</v>
      </c>
    </row>
    <row r="356" spans="1:15" x14ac:dyDescent="0.25">
      <c r="A356" s="196"/>
      <c r="B356" s="197"/>
      <c r="C356" s="198"/>
      <c r="D356" s="198"/>
      <c r="E356" s="198"/>
      <c r="F356" s="198"/>
      <c r="G356" s="198"/>
      <c r="H356" s="198"/>
      <c r="I356" s="199"/>
      <c r="J356" s="199"/>
      <c r="K356" s="198"/>
      <c r="L356" s="96">
        <f>I356+J356*EERR!$D$2</f>
        <v>0</v>
      </c>
      <c r="M356" s="96">
        <f>L356/EERR!$D$2</f>
        <v>0</v>
      </c>
      <c r="N356" s="96">
        <f>SUMIF(Nov!$B$3:$B$116,A356,Nov!$V$3:$V$116)</f>
        <v>0</v>
      </c>
      <c r="O356" s="166">
        <f t="shared" si="9"/>
        <v>0</v>
      </c>
    </row>
    <row r="357" spans="1:15" x14ac:dyDescent="0.25">
      <c r="A357" s="108"/>
      <c r="B357" s="105"/>
      <c r="C357" s="94"/>
      <c r="D357" s="94"/>
      <c r="E357" s="94"/>
      <c r="F357" s="94"/>
      <c r="G357" s="94"/>
      <c r="H357" s="94"/>
      <c r="I357" s="95"/>
      <c r="J357" s="95"/>
      <c r="K357" s="94"/>
      <c r="L357" s="152"/>
      <c r="M357" s="96"/>
      <c r="N357" s="96"/>
    </row>
    <row r="358" spans="1:15" x14ac:dyDescent="0.25">
      <c r="A358" s="108"/>
      <c r="B358" s="105"/>
      <c r="C358" s="94"/>
      <c r="D358" s="94"/>
      <c r="E358" s="94"/>
      <c r="F358" s="94"/>
      <c r="G358" s="94"/>
      <c r="H358" s="94"/>
      <c r="I358" s="95"/>
      <c r="J358" s="95"/>
      <c r="K358" s="94"/>
      <c r="L358" s="152"/>
      <c r="M358" s="96"/>
      <c r="N358" s="96"/>
    </row>
    <row r="359" spans="1:15" x14ac:dyDescent="0.25">
      <c r="A359" s="108"/>
      <c r="B359" s="105"/>
      <c r="C359" s="94"/>
      <c r="D359" s="94"/>
      <c r="E359" s="94"/>
      <c r="F359" s="94"/>
      <c r="G359" s="94"/>
      <c r="H359" s="94"/>
      <c r="I359" s="95"/>
      <c r="J359" s="95"/>
      <c r="K359" s="94"/>
      <c r="L359" s="152"/>
      <c r="M359" s="96"/>
      <c r="N359" s="96"/>
    </row>
    <row r="360" spans="1:15" x14ac:dyDescent="0.25">
      <c r="A360" s="108"/>
      <c r="B360" s="105"/>
      <c r="C360" s="94"/>
      <c r="D360" s="94"/>
      <c r="E360" s="94"/>
      <c r="F360" s="94"/>
      <c r="G360" s="94"/>
      <c r="H360" s="94"/>
      <c r="I360" s="95"/>
      <c r="J360" s="95"/>
      <c r="K360" s="94"/>
      <c r="L360" s="152"/>
      <c r="M360" s="96"/>
      <c r="N360" s="96"/>
    </row>
    <row r="361" spans="1:15" x14ac:dyDescent="0.25">
      <c r="A361" s="108"/>
      <c r="B361" s="105"/>
      <c r="C361" s="94"/>
      <c r="D361" s="94"/>
      <c r="E361" s="94"/>
      <c r="F361" s="94"/>
      <c r="G361" s="94"/>
      <c r="H361" s="94"/>
      <c r="I361" s="95"/>
      <c r="J361" s="95"/>
      <c r="K361" s="94"/>
      <c r="L361" s="152"/>
      <c r="M361" s="96"/>
      <c r="N361" s="96"/>
    </row>
    <row r="362" spans="1:15" x14ac:dyDescent="0.25">
      <c r="A362" s="108"/>
      <c r="B362" s="105"/>
      <c r="C362" s="94"/>
      <c r="D362" s="94"/>
      <c r="E362" s="94"/>
      <c r="F362" s="94"/>
      <c r="G362" s="94"/>
      <c r="H362" s="94"/>
      <c r="I362" s="95"/>
      <c r="J362" s="95"/>
      <c r="K362" s="94"/>
      <c r="L362" s="152"/>
      <c r="M362" s="96"/>
      <c r="N362" s="96"/>
    </row>
    <row r="363" spans="1:15" x14ac:dyDescent="0.25">
      <c r="A363" s="108"/>
      <c r="B363" s="105"/>
      <c r="C363" s="94"/>
      <c r="D363" s="94"/>
      <c r="E363" s="94"/>
      <c r="F363" s="94"/>
      <c r="G363" s="94"/>
      <c r="H363" s="94"/>
      <c r="I363" s="95"/>
      <c r="J363" s="95"/>
      <c r="K363" s="94"/>
      <c r="L363" s="152"/>
      <c r="M363" s="96"/>
      <c r="N363" s="96"/>
    </row>
    <row r="364" spans="1:15" x14ac:dyDescent="0.25">
      <c r="A364" s="108"/>
      <c r="B364" s="105"/>
      <c r="C364" s="94"/>
      <c r="D364" s="94"/>
      <c r="E364" s="94"/>
      <c r="F364" s="94"/>
      <c r="G364" s="94"/>
      <c r="H364" s="94"/>
      <c r="I364" s="95"/>
      <c r="J364" s="95"/>
      <c r="K364" s="94"/>
      <c r="L364" s="152"/>
      <c r="M364" s="96"/>
      <c r="N364" s="96"/>
    </row>
    <row r="365" spans="1:15" x14ac:dyDescent="0.25">
      <c r="A365" s="108"/>
      <c r="B365" s="105"/>
      <c r="C365" s="94"/>
      <c r="D365" s="94"/>
      <c r="E365" s="94"/>
      <c r="F365" s="94"/>
      <c r="G365" s="94"/>
      <c r="H365" s="94"/>
      <c r="I365" s="95"/>
      <c r="J365" s="95"/>
      <c r="K365" s="94"/>
      <c r="L365" s="152"/>
      <c r="M365" s="96"/>
      <c r="N365" s="96"/>
    </row>
    <row r="366" spans="1:15" x14ac:dyDescent="0.25">
      <c r="A366" s="108"/>
      <c r="B366" s="105"/>
      <c r="C366" s="94"/>
      <c r="D366" s="94"/>
      <c r="E366" s="94"/>
      <c r="F366" s="94"/>
      <c r="G366" s="94"/>
      <c r="H366" s="94"/>
      <c r="I366" s="95"/>
      <c r="J366" s="95"/>
      <c r="K366" s="94"/>
      <c r="L366" s="152"/>
      <c r="M366" s="96"/>
      <c r="N366" s="96"/>
    </row>
    <row r="367" spans="1:15" x14ac:dyDescent="0.25">
      <c r="A367" s="108"/>
      <c r="B367" s="105"/>
      <c r="C367" s="94"/>
      <c r="D367" s="94"/>
      <c r="E367" s="94"/>
      <c r="F367" s="94"/>
      <c r="G367" s="94"/>
      <c r="H367" s="94"/>
      <c r="I367" s="95"/>
      <c r="J367" s="95"/>
      <c r="K367" s="94"/>
      <c r="L367" s="152"/>
      <c r="M367" s="96"/>
      <c r="N367" s="96"/>
    </row>
    <row r="368" spans="1:15" x14ac:dyDescent="0.25">
      <c r="A368" s="108"/>
      <c r="B368" s="105"/>
      <c r="C368" s="94"/>
      <c r="D368" s="94"/>
      <c r="E368" s="94"/>
      <c r="F368" s="94"/>
      <c r="G368" s="94"/>
      <c r="H368" s="94"/>
      <c r="I368" s="95"/>
      <c r="J368" s="95"/>
      <c r="K368" s="94"/>
      <c r="L368" s="152"/>
      <c r="M368" s="96"/>
      <c r="N368" s="96"/>
    </row>
    <row r="369" spans="1:21" x14ac:dyDescent="0.25">
      <c r="A369" s="108"/>
      <c r="B369" s="105"/>
      <c r="C369" s="94"/>
      <c r="D369" s="94"/>
      <c r="E369" s="94"/>
      <c r="F369" s="94"/>
      <c r="G369" s="94"/>
      <c r="H369" s="94"/>
      <c r="I369" s="95"/>
      <c r="J369" s="95"/>
      <c r="K369" s="94"/>
      <c r="L369" s="152"/>
      <c r="M369" s="96"/>
      <c r="N369" s="96"/>
    </row>
    <row r="370" spans="1:21" x14ac:dyDescent="0.25">
      <c r="A370" s="108"/>
      <c r="B370" s="105"/>
      <c r="C370" s="94"/>
      <c r="D370" s="94"/>
      <c r="E370" s="94"/>
      <c r="F370" s="94"/>
      <c r="G370" s="94"/>
      <c r="H370" s="94"/>
      <c r="I370" s="95"/>
      <c r="J370" s="95"/>
      <c r="K370" s="94"/>
      <c r="L370" s="152"/>
      <c r="M370" s="96"/>
      <c r="N370" s="96"/>
    </row>
    <row r="371" spans="1:21" x14ac:dyDescent="0.25">
      <c r="A371" s="108"/>
      <c r="B371" s="105"/>
      <c r="C371" s="94"/>
      <c r="D371" s="94"/>
      <c r="E371" s="94"/>
      <c r="F371" s="94"/>
      <c r="G371" s="94"/>
      <c r="H371" s="94"/>
      <c r="I371" s="95"/>
      <c r="J371" s="95"/>
      <c r="K371" s="94"/>
      <c r="L371" s="152"/>
      <c r="M371" s="96"/>
      <c r="N371" s="96"/>
    </row>
    <row r="372" spans="1:21" x14ac:dyDescent="0.25">
      <c r="A372" s="108"/>
      <c r="B372" s="105"/>
      <c r="C372" s="94"/>
      <c r="D372" s="94"/>
      <c r="E372" s="94"/>
      <c r="F372" s="94"/>
      <c r="G372" s="94"/>
      <c r="H372" s="94"/>
      <c r="I372" s="95"/>
      <c r="J372" s="95"/>
      <c r="K372" s="94"/>
      <c r="L372" s="152"/>
      <c r="M372" s="96"/>
      <c r="N372" s="96"/>
    </row>
    <row r="373" spans="1:21" x14ac:dyDescent="0.25">
      <c r="A373" s="108"/>
      <c r="B373" s="105"/>
      <c r="C373" s="94"/>
      <c r="D373" s="94"/>
      <c r="E373" s="94"/>
      <c r="F373" s="94"/>
      <c r="G373" s="94"/>
      <c r="H373" s="94"/>
      <c r="I373" s="95"/>
      <c r="J373" s="95"/>
      <c r="K373" s="94"/>
      <c r="L373" s="152"/>
      <c r="M373" s="96"/>
      <c r="N373" s="96"/>
    </row>
    <row r="374" spans="1:21" x14ac:dyDescent="0.25">
      <c r="A374" s="108"/>
      <c r="B374" s="105"/>
      <c r="C374" s="94"/>
      <c r="D374" s="94"/>
      <c r="E374" s="94"/>
      <c r="F374" s="94"/>
      <c r="G374" s="94"/>
      <c r="H374" s="94"/>
      <c r="I374" s="95"/>
      <c r="J374" s="95"/>
      <c r="K374" s="94"/>
      <c r="L374" s="152"/>
      <c r="M374" s="96"/>
      <c r="N374" s="96"/>
    </row>
    <row r="375" spans="1:21" x14ac:dyDescent="0.25">
      <c r="A375" s="108"/>
      <c r="B375" s="105"/>
      <c r="C375" s="94"/>
      <c r="D375" s="94"/>
      <c r="E375" s="94"/>
      <c r="F375" s="94"/>
      <c r="G375" s="94"/>
      <c r="H375" s="94"/>
      <c r="I375" s="95"/>
      <c r="J375" s="95"/>
      <c r="K375" s="94"/>
      <c r="L375" s="152"/>
      <c r="M375" s="96"/>
      <c r="N375" s="96"/>
    </row>
    <row r="376" spans="1:21" x14ac:dyDescent="0.25">
      <c r="A376" s="200"/>
      <c r="B376" s="201"/>
      <c r="C376" s="202"/>
      <c r="D376" s="202"/>
      <c r="E376" s="202"/>
      <c r="F376" s="202"/>
      <c r="G376" s="202"/>
      <c r="H376" s="202"/>
      <c r="I376" s="203"/>
      <c r="J376" s="203"/>
      <c r="K376" s="202"/>
      <c r="L376" s="152"/>
      <c r="M376" s="96"/>
      <c r="N376" s="96"/>
    </row>
    <row r="377" spans="1:21" x14ac:dyDescent="0.25">
      <c r="A377" s="200"/>
      <c r="B377" s="201"/>
      <c r="C377" s="202"/>
      <c r="D377" s="202"/>
      <c r="E377" s="202"/>
      <c r="F377" s="202"/>
      <c r="G377" s="202"/>
      <c r="H377" s="202"/>
      <c r="I377" s="203"/>
      <c r="J377" s="203"/>
      <c r="K377" s="202"/>
      <c r="L377" s="152"/>
      <c r="M377" s="96"/>
      <c r="N377" s="96"/>
    </row>
    <row r="378" spans="1:21" x14ac:dyDescent="0.25">
      <c r="A378" s="200"/>
      <c r="B378" s="201"/>
      <c r="C378" s="202"/>
      <c r="D378" s="202"/>
      <c r="E378" s="202"/>
      <c r="F378" s="202"/>
      <c r="G378" s="202"/>
      <c r="H378" s="202"/>
      <c r="I378" s="203"/>
      <c r="J378" s="203"/>
      <c r="K378" s="202"/>
      <c r="L378" s="152"/>
      <c r="M378" s="96"/>
      <c r="N378" s="96"/>
    </row>
    <row r="379" spans="1:21" x14ac:dyDescent="0.25">
      <c r="A379" s="200"/>
      <c r="B379" s="201"/>
      <c r="C379" s="202"/>
      <c r="D379" s="202"/>
      <c r="E379" s="202"/>
      <c r="F379" s="202"/>
      <c r="G379" s="202"/>
      <c r="H379" s="202"/>
      <c r="I379" s="203"/>
      <c r="J379" s="203"/>
      <c r="K379" s="202"/>
      <c r="L379" s="152"/>
      <c r="M379" s="96"/>
      <c r="N379" s="96"/>
      <c r="U379" s="53" t="s">
        <v>194</v>
      </c>
    </row>
    <row r="380" spans="1:21" x14ac:dyDescent="0.25">
      <c r="A380" s="108"/>
      <c r="B380" s="105"/>
      <c r="C380" s="94"/>
      <c r="D380" s="94"/>
      <c r="E380" s="94"/>
      <c r="F380" s="94"/>
      <c r="G380" s="94"/>
      <c r="H380" s="94"/>
      <c r="I380" s="95"/>
      <c r="J380" s="95"/>
      <c r="K380" s="94"/>
      <c r="L380" s="152">
        <f>I380+J380*EERR!$D$2</f>
        <v>0</v>
      </c>
      <c r="M380" s="96">
        <f>L380/EERR!$D$2</f>
        <v>0</v>
      </c>
      <c r="N380" s="96" t="e">
        <f>SUMIF(Nov!#REF!,A380,Nov!$T$3:$T$116)+SUMIF(Nov!$B$3:$B$116,A380,Nov!$T$3:$T$116)</f>
        <v>#REF!</v>
      </c>
    </row>
    <row r="381" spans="1:21" x14ac:dyDescent="0.25">
      <c r="A381" s="108"/>
      <c r="B381" s="105"/>
      <c r="C381" s="94"/>
      <c r="D381" s="94"/>
      <c r="E381" s="94"/>
      <c r="F381" s="94"/>
      <c r="G381" s="94"/>
      <c r="H381" s="94"/>
      <c r="I381" s="95"/>
      <c r="J381" s="95"/>
      <c r="K381" s="94"/>
      <c r="L381" s="152">
        <f>I381+J381*EERR!$D$2</f>
        <v>0</v>
      </c>
      <c r="M381" s="96">
        <f>L381/EERR!$D$2</f>
        <v>0</v>
      </c>
      <c r="N381" s="96" t="e">
        <f>SUMIF(Nov!#REF!,A381,Nov!$T$3:$T$116)+SUMIF(Nov!$B$3:$B$116,A381,Nov!$T$3:$T$116)</f>
        <v>#REF!</v>
      </c>
    </row>
    <row r="382" spans="1:21" x14ac:dyDescent="0.25">
      <c r="A382" s="108"/>
      <c r="B382" s="105"/>
      <c r="C382" s="94"/>
      <c r="D382" s="94"/>
      <c r="E382" s="94"/>
      <c r="F382" s="94"/>
      <c r="G382" s="94"/>
      <c r="H382" s="94"/>
      <c r="I382" s="95"/>
      <c r="J382" s="95"/>
      <c r="K382" s="94"/>
      <c r="L382" s="152">
        <f>I382+J382*EERR!$D$2</f>
        <v>0</v>
      </c>
      <c r="M382" s="96">
        <f>L382/EERR!$D$2</f>
        <v>0</v>
      </c>
      <c r="N382" s="96" t="e">
        <f>SUMIF(Nov!#REF!,A382,Nov!$T$3:$T$116)+SUMIF(Nov!$B$3:$B$116,A382,Nov!$T$3:$T$116)</f>
        <v>#REF!</v>
      </c>
    </row>
    <row r="383" spans="1:21" x14ac:dyDescent="0.25">
      <c r="A383" s="108"/>
      <c r="B383" s="105"/>
      <c r="C383" s="94"/>
      <c r="D383" s="94"/>
      <c r="E383" s="94"/>
      <c r="F383" s="94"/>
      <c r="G383" s="94"/>
      <c r="H383" s="94"/>
      <c r="I383" s="95"/>
      <c r="J383" s="95"/>
      <c r="K383" s="94"/>
      <c r="L383" s="152">
        <f>I383+J383*EERR!$D$2</f>
        <v>0</v>
      </c>
      <c r="M383" s="96">
        <f>L383/EERR!$D$2</f>
        <v>0</v>
      </c>
      <c r="N383" s="96" t="e">
        <f>SUMIF(Nov!#REF!,A383,Nov!$T$3:$T$116)+SUMIF(Nov!$B$3:$B$116,A383,Nov!$T$3:$T$116)</f>
        <v>#REF!</v>
      </c>
    </row>
    <row r="384" spans="1:21" x14ac:dyDescent="0.25">
      <c r="A384" s="108"/>
      <c r="B384" s="105"/>
      <c r="C384" s="94"/>
      <c r="D384" s="94"/>
      <c r="E384" s="94"/>
      <c r="F384" s="94"/>
      <c r="G384" s="94"/>
      <c r="H384" s="94"/>
      <c r="I384" s="95">
        <f>SUM(I189:I383)</f>
        <v>4503342</v>
      </c>
      <c r="J384" s="95">
        <f>SUM(J189:J383)</f>
        <v>45768.5</v>
      </c>
      <c r="K384" s="94"/>
      <c r="L384" s="152">
        <f>I384+J384*EERR!$D$2</f>
        <v>40043955.305</v>
      </c>
      <c r="M384" s="96">
        <f>L384/EERR!$D$2</f>
        <v>51567.814900905309</v>
      </c>
      <c r="N384" s="96" t="e">
        <f>SUMIF(Nov!#REF!,A384,Nov!$T$3:$T$116)+SUMIF(Nov!$B$3:$B$116,A384,Nov!$T$3:$T$116)</f>
        <v>#REF!</v>
      </c>
    </row>
    <row r="388" spans="1:14" x14ac:dyDescent="0.25">
      <c r="A388" s="146"/>
      <c r="B388" s="146"/>
      <c r="C388" s="146"/>
      <c r="D388" s="146"/>
      <c r="E388" s="146"/>
      <c r="F388" s="146"/>
      <c r="G388" s="146"/>
      <c r="H388" s="146"/>
      <c r="I388" s="170"/>
      <c r="J388" s="170"/>
      <c r="K388" s="146"/>
      <c r="L388" s="170">
        <f>Nov!L117</f>
        <v>0</v>
      </c>
      <c r="M388" s="146"/>
      <c r="N388" s="146"/>
    </row>
    <row r="389" spans="1:14" x14ac:dyDescent="0.25">
      <c r="A389" s="146"/>
      <c r="B389" s="171"/>
      <c r="C389" s="146"/>
      <c r="D389" s="146"/>
      <c r="E389" s="146"/>
      <c r="F389" s="146"/>
      <c r="G389" s="146"/>
      <c r="H389" s="146"/>
      <c r="I389" s="170"/>
      <c r="J389" s="170"/>
      <c r="K389" s="146"/>
      <c r="L389" s="147" t="e">
        <f>SUM(L182:L388)</f>
        <v>#VALUE!</v>
      </c>
    </row>
    <row r="390" spans="1:14" x14ac:dyDescent="0.25">
      <c r="A390" s="146"/>
      <c r="B390" s="171"/>
      <c r="C390" s="146"/>
      <c r="D390" s="146"/>
      <c r="E390" s="146"/>
      <c r="F390" s="146"/>
      <c r="G390" s="146"/>
      <c r="H390" s="146"/>
      <c r="I390" s="170"/>
      <c r="J390" s="170"/>
      <c r="K390" s="146"/>
    </row>
    <row r="391" spans="1:14" x14ac:dyDescent="0.25">
      <c r="A391" s="172"/>
      <c r="B391" s="172"/>
      <c r="C391" s="172"/>
      <c r="D391" s="172"/>
      <c r="E391" s="172"/>
      <c r="F391" s="172"/>
      <c r="G391" s="172" t="s">
        <v>98</v>
      </c>
      <c r="H391" s="172"/>
      <c r="I391" s="173">
        <f>I182</f>
        <v>2693882</v>
      </c>
      <c r="J391" s="173">
        <f>J182</f>
        <v>40649.299999999996</v>
      </c>
      <c r="K391" s="172"/>
      <c r="L391" s="147">
        <v>51431551.622000001</v>
      </c>
    </row>
    <row r="392" spans="1:14" x14ac:dyDescent="0.25">
      <c r="A392" s="172"/>
      <c r="B392" s="172"/>
      <c r="C392" s="172"/>
      <c r="D392" s="172"/>
      <c r="E392" s="172"/>
      <c r="F392" s="172"/>
      <c r="G392" s="172" t="s">
        <v>99</v>
      </c>
      <c r="H392" s="172"/>
      <c r="I392" s="174"/>
      <c r="J392" s="174"/>
      <c r="K392" s="172"/>
    </row>
    <row r="393" spans="1:14" x14ac:dyDescent="0.25">
      <c r="A393" s="172"/>
      <c r="B393" s="172"/>
      <c r="C393" s="172"/>
      <c r="D393" s="172"/>
      <c r="E393" s="172"/>
      <c r="F393" s="172"/>
      <c r="G393" s="172"/>
      <c r="H393" s="172"/>
      <c r="K393" s="147"/>
    </row>
    <row r="394" spans="1:14" x14ac:dyDescent="0.25">
      <c r="A394" s="172"/>
      <c r="B394" s="172"/>
      <c r="C394" s="172"/>
      <c r="D394" s="172"/>
      <c r="E394" s="172"/>
      <c r="F394" s="172"/>
      <c r="G394" s="172"/>
      <c r="H394" s="172"/>
      <c r="I394" s="175"/>
      <c r="J394" s="175"/>
      <c r="K394" s="172"/>
    </row>
    <row r="395" spans="1:14" x14ac:dyDescent="0.25">
      <c r="A395" s="133" t="s">
        <v>87</v>
      </c>
      <c r="B395" s="172"/>
      <c r="C395" s="172"/>
      <c r="D395" s="172"/>
      <c r="E395" s="172"/>
      <c r="F395" s="172"/>
      <c r="G395" s="172"/>
      <c r="H395" s="172"/>
      <c r="I395" s="175"/>
      <c r="J395" s="175"/>
      <c r="K395" s="172"/>
    </row>
    <row r="396" spans="1:14" x14ac:dyDescent="0.25">
      <c r="A396" s="94"/>
      <c r="B396" s="172"/>
      <c r="C396" s="172"/>
      <c r="D396" s="172"/>
      <c r="E396" s="172"/>
      <c r="F396" s="172"/>
      <c r="G396" s="172"/>
      <c r="H396" s="172"/>
      <c r="I396" s="175"/>
      <c r="J396" s="175"/>
      <c r="K396" s="172"/>
    </row>
    <row r="397" spans="1:14" x14ac:dyDescent="0.25">
      <c r="A397" s="94"/>
      <c r="B397" s="172"/>
      <c r="C397" s="172"/>
      <c r="D397" s="172"/>
      <c r="E397" s="172"/>
      <c r="F397" s="172"/>
      <c r="G397" s="172"/>
      <c r="H397" s="172"/>
      <c r="I397" s="175"/>
      <c r="J397" s="175"/>
      <c r="K397" s="172"/>
    </row>
    <row r="398" spans="1:14" x14ac:dyDescent="0.25">
      <c r="A398" s="94"/>
      <c r="B398" s="172"/>
      <c r="C398" s="172"/>
      <c r="D398" s="172"/>
      <c r="E398" s="172"/>
      <c r="F398" s="172"/>
      <c r="G398" s="172"/>
      <c r="H398" s="172"/>
      <c r="I398" s="175"/>
      <c r="J398" s="175"/>
      <c r="K398" s="172"/>
    </row>
    <row r="399" spans="1:14" x14ac:dyDescent="0.25">
      <c r="A399" s="94"/>
      <c r="B399" s="172"/>
      <c r="C399" s="172"/>
      <c r="D399" s="172"/>
      <c r="E399" s="172"/>
      <c r="F399" s="172"/>
      <c r="G399" s="172"/>
      <c r="H399" s="172"/>
      <c r="I399" s="175"/>
      <c r="J399" s="175"/>
      <c r="K399" s="172"/>
    </row>
    <row r="400" spans="1:14" x14ac:dyDescent="0.25">
      <c r="A400" s="94"/>
    </row>
    <row r="401" spans="1:1" x14ac:dyDescent="0.25">
      <c r="A401" s="94"/>
    </row>
    <row r="402" spans="1:1" x14ac:dyDescent="0.25">
      <c r="A402" s="94"/>
    </row>
    <row r="403" spans="1:1" x14ac:dyDescent="0.25">
      <c r="A403" s="94"/>
    </row>
    <row r="404" spans="1:1" x14ac:dyDescent="0.25">
      <c r="A404" s="94"/>
    </row>
    <row r="405" spans="1:1" x14ac:dyDescent="0.25">
      <c r="A405" s="94"/>
    </row>
    <row r="406" spans="1:1" x14ac:dyDescent="0.25">
      <c r="A406" s="94"/>
    </row>
    <row r="407" spans="1:1" x14ac:dyDescent="0.25">
      <c r="A407" s="94"/>
    </row>
    <row r="408" spans="1:1" x14ac:dyDescent="0.25">
      <c r="A408" s="94"/>
    </row>
    <row r="409" spans="1:1" x14ac:dyDescent="0.25">
      <c r="A409" s="94"/>
    </row>
    <row r="410" spans="1:1" x14ac:dyDescent="0.25">
      <c r="A410" s="94"/>
    </row>
  </sheetData>
  <autoFilter ref="A1:S356"/>
  <sortState ref="A77:K134">
    <sortCondition ref="A7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06"/>
  <sheetViews>
    <sheetView topLeftCell="A154" zoomScale="85" zoomScaleNormal="85" workbookViewId="0">
      <selection activeCell="I32" sqref="I32:L34"/>
    </sheetView>
  </sheetViews>
  <sheetFormatPr baseColWidth="10" defaultRowHeight="14.25" x14ac:dyDescent="0.2"/>
  <cols>
    <col min="1" max="1" width="3.85546875" style="18" customWidth="1"/>
    <col min="2" max="2" width="18.7109375" style="18" customWidth="1"/>
    <col min="3" max="3" width="20.28515625" style="18" customWidth="1"/>
    <col min="4" max="4" width="39.7109375" style="18" customWidth="1"/>
    <col min="5" max="5" width="26.42578125" style="18" customWidth="1"/>
    <col min="6" max="6" width="15" style="18" customWidth="1"/>
    <col min="7" max="7" width="15.7109375" style="18" customWidth="1"/>
    <col min="8" max="8" width="14.85546875" style="18" customWidth="1"/>
    <col min="9" max="9" width="24" style="40" customWidth="1"/>
    <col min="10" max="10" width="30.85546875" style="40" customWidth="1"/>
    <col min="11" max="11" width="35" style="18" customWidth="1"/>
    <col min="12" max="12" width="23.42578125" style="18" customWidth="1"/>
    <col min="13" max="13" width="18.140625" style="18" customWidth="1"/>
    <col min="14" max="14" width="7.28515625" style="18" customWidth="1"/>
    <col min="15" max="15" width="13.28515625" style="91" customWidth="1"/>
    <col min="16" max="16" width="11.5703125" style="40" customWidth="1"/>
    <col min="17" max="17" width="18" style="40" customWidth="1"/>
    <col min="18" max="18" width="11.140625" style="40" customWidth="1"/>
    <col min="19" max="19" width="15.42578125" style="92" customWidth="1"/>
    <col min="20" max="20" width="11.140625" style="92" customWidth="1"/>
    <col min="21" max="21" width="11.140625" style="40" customWidth="1"/>
    <col min="22" max="22" width="40.28515625" style="40" customWidth="1"/>
    <col min="23" max="23" width="29.7109375" style="40"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30"/>
      <c r="N1" s="52"/>
      <c r="O1" s="114" t="s">
        <v>102</v>
      </c>
      <c r="P1" s="115"/>
      <c r="Q1" s="115"/>
      <c r="R1" s="115"/>
      <c r="S1" s="116"/>
      <c r="T1" s="116"/>
      <c r="U1" s="115"/>
      <c r="V1" s="115"/>
      <c r="W1" s="115"/>
    </row>
    <row r="2" spans="1:25" ht="18" customHeight="1" x14ac:dyDescent="0.25">
      <c r="A2" s="26"/>
      <c r="B2" s="54" t="s">
        <v>5</v>
      </c>
      <c r="C2" s="54" t="s">
        <v>25</v>
      </c>
      <c r="D2" s="54" t="s">
        <v>26</v>
      </c>
      <c r="E2" s="54" t="s">
        <v>27</v>
      </c>
      <c r="F2" s="54" t="s">
        <v>28</v>
      </c>
      <c r="G2" s="54" t="s">
        <v>29</v>
      </c>
      <c r="H2" s="54" t="s">
        <v>46</v>
      </c>
      <c r="I2" s="55" t="s">
        <v>36</v>
      </c>
      <c r="J2" s="55" t="s">
        <v>154</v>
      </c>
      <c r="K2" s="55" t="s">
        <v>103</v>
      </c>
      <c r="L2" s="103"/>
      <c r="M2" s="130"/>
      <c r="N2" s="97"/>
      <c r="O2" s="189" t="s">
        <v>5</v>
      </c>
      <c r="P2" s="189" t="s">
        <v>175</v>
      </c>
      <c r="Q2" s="189" t="s">
        <v>176</v>
      </c>
      <c r="R2" s="189" t="s">
        <v>177</v>
      </c>
      <c r="S2" s="189" t="s">
        <v>178</v>
      </c>
      <c r="T2" s="189" t="s">
        <v>100</v>
      </c>
      <c r="U2" s="189" t="s">
        <v>59</v>
      </c>
      <c r="V2" s="189" t="s">
        <v>179</v>
      </c>
      <c r="W2" s="189" t="s">
        <v>180</v>
      </c>
    </row>
    <row r="3" spans="1:25" ht="18" customHeight="1" x14ac:dyDescent="0.3">
      <c r="A3" s="26"/>
      <c r="B3" s="144" t="s">
        <v>1169</v>
      </c>
      <c r="C3" s="145" t="s">
        <v>123</v>
      </c>
      <c r="D3" s="145" t="s">
        <v>128</v>
      </c>
      <c r="E3" s="145" t="s">
        <v>149</v>
      </c>
      <c r="F3" s="145">
        <v>0</v>
      </c>
      <c r="G3" s="145">
        <v>736000</v>
      </c>
      <c r="H3" s="145">
        <v>7187100</v>
      </c>
      <c r="I3" s="176" t="s">
        <v>135</v>
      </c>
      <c r="J3" s="129" t="str">
        <f>IFERROR(VLOOKUP(-F3,$T$3:$W$50,4,FALSE),"")</f>
        <v/>
      </c>
      <c r="K3" s="129" t="str">
        <f>IFERROR(VLOOKUP(-F3,$T$3:$W$50,3,FALSE),"")</f>
        <v/>
      </c>
      <c r="L3" s="155"/>
      <c r="M3" s="97"/>
      <c r="N3" s="97"/>
      <c r="O3" s="210" t="s">
        <v>1192</v>
      </c>
      <c r="P3" s="211" t="s">
        <v>1193</v>
      </c>
      <c r="Q3" s="211" t="s">
        <v>163</v>
      </c>
      <c r="R3" s="211" t="s">
        <v>147</v>
      </c>
      <c r="S3" s="212" t="s">
        <v>212</v>
      </c>
      <c r="T3" s="258">
        <v>-2200000</v>
      </c>
      <c r="U3" s="211" t="s">
        <v>144</v>
      </c>
      <c r="V3" s="211" t="s">
        <v>164</v>
      </c>
      <c r="W3" s="213" t="s">
        <v>1191</v>
      </c>
      <c r="X3" s="312"/>
      <c r="Y3" s="312"/>
    </row>
    <row r="4" spans="1:25" ht="18" customHeight="1" x14ac:dyDescent="0.3">
      <c r="A4" s="26"/>
      <c r="B4" s="144" t="s">
        <v>1169</v>
      </c>
      <c r="C4" s="145" t="s">
        <v>123</v>
      </c>
      <c r="D4" s="145" t="s">
        <v>124</v>
      </c>
      <c r="E4" s="145" t="s">
        <v>149</v>
      </c>
      <c r="F4" s="145">
        <v>26000</v>
      </c>
      <c r="G4" s="145">
        <v>0</v>
      </c>
      <c r="H4" s="145">
        <v>6451100</v>
      </c>
      <c r="I4" s="176" t="s">
        <v>30</v>
      </c>
      <c r="J4" s="129" t="str">
        <f t="shared" ref="J4:J67" si="0">IFERROR(VLOOKUP(-F4,$T$3:$W$50,4,FALSE),"")</f>
        <v>Sueldo Oct19</v>
      </c>
      <c r="K4" s="129" t="str">
        <f t="shared" ref="K4:K67" si="1">IFERROR(VLOOKUP(-F4,$T$3:$W$50,3,FALSE),"")</f>
        <v xml:space="preserve">Maria Lanza                                  </v>
      </c>
      <c r="L4" s="155"/>
      <c r="M4" s="97"/>
      <c r="N4" s="97"/>
      <c r="O4" s="214" t="s">
        <v>1194</v>
      </c>
      <c r="P4" s="211" t="s">
        <v>1195</v>
      </c>
      <c r="Q4" s="211" t="s">
        <v>364</v>
      </c>
      <c r="R4" s="211" t="s">
        <v>146</v>
      </c>
      <c r="S4" s="212" t="s">
        <v>1196</v>
      </c>
      <c r="T4" s="258">
        <v>-26000</v>
      </c>
      <c r="U4" s="211" t="s">
        <v>144</v>
      </c>
      <c r="V4" s="211" t="s">
        <v>1197</v>
      </c>
      <c r="W4" s="213" t="s">
        <v>743</v>
      </c>
      <c r="X4" s="312"/>
      <c r="Y4" s="312"/>
    </row>
    <row r="5" spans="1:25" ht="18" customHeight="1" x14ac:dyDescent="0.3">
      <c r="A5" s="26"/>
      <c r="B5" s="144" t="s">
        <v>1169</v>
      </c>
      <c r="C5" s="145" t="s">
        <v>123</v>
      </c>
      <c r="D5" s="145" t="s">
        <v>127</v>
      </c>
      <c r="E5" s="145" t="s">
        <v>149</v>
      </c>
      <c r="F5" s="145">
        <v>2200000</v>
      </c>
      <c r="G5" s="145">
        <v>0</v>
      </c>
      <c r="H5" s="145">
        <v>6477100</v>
      </c>
      <c r="I5" s="176" t="s">
        <v>169</v>
      </c>
      <c r="J5" s="129" t="str">
        <f t="shared" si="0"/>
        <v>FR</v>
      </c>
      <c r="K5" s="129" t="str">
        <f t="shared" si="1"/>
        <v>SOCIEDAD HOTELERA ZAMORA RAMIREZ HERMANOS LIM</v>
      </c>
      <c r="L5" s="155"/>
      <c r="M5" s="97"/>
      <c r="N5" s="97"/>
      <c r="O5" s="214" t="s">
        <v>1169</v>
      </c>
      <c r="P5" s="211" t="s">
        <v>1198</v>
      </c>
      <c r="Q5" s="211" t="s">
        <v>302</v>
      </c>
      <c r="R5" s="211" t="s">
        <v>145</v>
      </c>
      <c r="S5" s="212" t="s">
        <v>303</v>
      </c>
      <c r="T5" s="258">
        <v>-536199</v>
      </c>
      <c r="U5" s="211" t="s">
        <v>144</v>
      </c>
      <c r="V5" s="211" t="s">
        <v>304</v>
      </c>
      <c r="W5" s="213" t="s">
        <v>1199</v>
      </c>
      <c r="X5" s="312"/>
      <c r="Y5" s="312"/>
    </row>
    <row r="6" spans="1:25" ht="18" customHeight="1" x14ac:dyDescent="0.3">
      <c r="A6" s="26"/>
      <c r="B6" s="144" t="s">
        <v>1169</v>
      </c>
      <c r="C6" s="145" t="s">
        <v>123</v>
      </c>
      <c r="D6" s="145" t="s">
        <v>127</v>
      </c>
      <c r="E6" s="145" t="s">
        <v>149</v>
      </c>
      <c r="F6" s="145">
        <v>600000</v>
      </c>
      <c r="G6" s="145">
        <v>0</v>
      </c>
      <c r="H6" s="145">
        <v>8677100</v>
      </c>
      <c r="I6" s="176" t="s">
        <v>169</v>
      </c>
      <c r="J6" s="129" t="str">
        <f t="shared" si="0"/>
        <v/>
      </c>
      <c r="K6" s="129" t="str">
        <f t="shared" si="1"/>
        <v/>
      </c>
      <c r="L6" s="155"/>
      <c r="M6" s="97"/>
      <c r="N6" s="97"/>
      <c r="O6" s="214" t="s">
        <v>1169</v>
      </c>
      <c r="P6" s="211" t="s">
        <v>1200</v>
      </c>
      <c r="Q6" s="211" t="s">
        <v>1201</v>
      </c>
      <c r="R6" s="211" t="s">
        <v>285</v>
      </c>
      <c r="S6" s="212" t="s">
        <v>1202</v>
      </c>
      <c r="T6" s="258">
        <v>-150290</v>
      </c>
      <c r="U6" s="211" t="s">
        <v>144</v>
      </c>
      <c r="V6" s="211" t="s">
        <v>1203</v>
      </c>
      <c r="W6" s="213" t="s">
        <v>1204</v>
      </c>
      <c r="X6" s="312"/>
      <c r="Y6" s="312"/>
    </row>
    <row r="7" spans="1:25" s="85" customFormat="1" ht="18" customHeight="1" x14ac:dyDescent="0.3">
      <c r="A7" s="26"/>
      <c r="B7" s="144" t="s">
        <v>1170</v>
      </c>
      <c r="C7" s="145" t="s">
        <v>123</v>
      </c>
      <c r="D7" s="145" t="s">
        <v>124</v>
      </c>
      <c r="E7" s="145" t="s">
        <v>149</v>
      </c>
      <c r="F7" s="145">
        <v>150290</v>
      </c>
      <c r="G7" s="145">
        <v>0</v>
      </c>
      <c r="H7" s="145">
        <v>6852322</v>
      </c>
      <c r="I7" s="176" t="s">
        <v>170</v>
      </c>
      <c r="J7" s="129" t="str">
        <f t="shared" si="0"/>
        <v>fact 275253</v>
      </c>
      <c r="K7" s="129" t="str">
        <f t="shared" si="1"/>
        <v xml:space="preserve">Truly Nolen Chile SA                         </v>
      </c>
      <c r="L7" s="155"/>
      <c r="M7" s="97"/>
      <c r="N7" s="97"/>
      <c r="O7" s="214" t="s">
        <v>1169</v>
      </c>
      <c r="P7" s="211" t="s">
        <v>1205</v>
      </c>
      <c r="Q7" s="211" t="s">
        <v>287</v>
      </c>
      <c r="R7" s="211" t="s">
        <v>145</v>
      </c>
      <c r="S7" s="212" t="s">
        <v>288</v>
      </c>
      <c r="T7" s="258">
        <v>-133591</v>
      </c>
      <c r="U7" s="211" t="s">
        <v>144</v>
      </c>
      <c r="V7" s="211" t="s">
        <v>289</v>
      </c>
      <c r="W7" s="213" t="s">
        <v>1206</v>
      </c>
      <c r="X7" s="312"/>
      <c r="Y7" s="312"/>
    </row>
    <row r="8" spans="1:25" ht="18" customHeight="1" x14ac:dyDescent="0.3">
      <c r="A8" s="26"/>
      <c r="B8" s="144" t="s">
        <v>1170</v>
      </c>
      <c r="C8" s="145" t="s">
        <v>123</v>
      </c>
      <c r="D8" s="145" t="s">
        <v>124</v>
      </c>
      <c r="E8" s="145" t="s">
        <v>149</v>
      </c>
      <c r="F8" s="145">
        <v>536199</v>
      </c>
      <c r="G8" s="145">
        <v>0</v>
      </c>
      <c r="H8" s="145">
        <v>7002612</v>
      </c>
      <c r="I8" s="176" t="s">
        <v>8</v>
      </c>
      <c r="J8" s="129" t="str">
        <f t="shared" si="0"/>
        <v>fact 1840,1998,252,2044</v>
      </c>
      <c r="K8" s="129" t="str">
        <f t="shared" si="1"/>
        <v xml:space="preserve">MIGUEL ANGEL NIEVAS                          </v>
      </c>
      <c r="L8" s="155"/>
      <c r="M8" s="97"/>
      <c r="N8" s="97"/>
      <c r="O8" s="210" t="s">
        <v>1169</v>
      </c>
      <c r="P8" s="211" t="s">
        <v>1207</v>
      </c>
      <c r="Q8" s="211" t="s">
        <v>278</v>
      </c>
      <c r="R8" s="211" t="s">
        <v>147</v>
      </c>
      <c r="S8" s="212" t="s">
        <v>279</v>
      </c>
      <c r="T8" s="258">
        <v>-56388</v>
      </c>
      <c r="U8" s="211" t="s">
        <v>144</v>
      </c>
      <c r="V8" s="211" t="s">
        <v>280</v>
      </c>
      <c r="W8" s="213" t="s">
        <v>1208</v>
      </c>
      <c r="X8" s="312"/>
      <c r="Y8" s="312"/>
    </row>
    <row r="9" spans="1:25" ht="18" customHeight="1" x14ac:dyDescent="0.3">
      <c r="A9" s="26"/>
      <c r="B9" s="144" t="s">
        <v>1170</v>
      </c>
      <c r="C9" s="145" t="s">
        <v>123</v>
      </c>
      <c r="D9" s="145" t="s">
        <v>124</v>
      </c>
      <c r="E9" s="145" t="s">
        <v>149</v>
      </c>
      <c r="F9" s="145">
        <v>133591</v>
      </c>
      <c r="G9" s="145">
        <v>0</v>
      </c>
      <c r="H9" s="145">
        <v>7538811</v>
      </c>
      <c r="I9" s="176" t="s">
        <v>171</v>
      </c>
      <c r="J9" s="129" t="str">
        <f t="shared" si="0"/>
        <v>Fact 742235</v>
      </c>
      <c r="K9" s="129" t="str">
        <f t="shared" si="1"/>
        <v xml:space="preserve">Acepta.com                                   </v>
      </c>
      <c r="L9" s="155"/>
      <c r="M9" s="97"/>
      <c r="N9" s="97"/>
      <c r="O9" s="210" t="s">
        <v>1175</v>
      </c>
      <c r="P9" s="211" t="s">
        <v>1209</v>
      </c>
      <c r="Q9" s="211" t="s">
        <v>1210</v>
      </c>
      <c r="R9" s="211" t="s">
        <v>146</v>
      </c>
      <c r="S9" s="212" t="s">
        <v>1211</v>
      </c>
      <c r="T9" s="258">
        <v>-103300</v>
      </c>
      <c r="U9" s="211" t="s">
        <v>144</v>
      </c>
      <c r="V9" s="211" t="s">
        <v>1212</v>
      </c>
      <c r="W9" s="213" t="s">
        <v>1213</v>
      </c>
      <c r="X9" s="312"/>
      <c r="Y9" s="312"/>
    </row>
    <row r="10" spans="1:25" ht="18" customHeight="1" x14ac:dyDescent="0.3">
      <c r="A10" s="26"/>
      <c r="B10" s="144" t="s">
        <v>1170</v>
      </c>
      <c r="C10" s="145" t="s">
        <v>123</v>
      </c>
      <c r="D10" s="145" t="s">
        <v>127</v>
      </c>
      <c r="E10" s="145" t="s">
        <v>149</v>
      </c>
      <c r="F10" s="145">
        <v>56388</v>
      </c>
      <c r="G10" s="145">
        <v>0</v>
      </c>
      <c r="H10" s="145">
        <v>7672402</v>
      </c>
      <c r="I10" s="176" t="s">
        <v>8</v>
      </c>
      <c r="J10" s="129" t="str">
        <f t="shared" si="0"/>
        <v>10223,10310,10352,10429,10700</v>
      </c>
      <c r="K10" s="129" t="str">
        <f t="shared" si="1"/>
        <v xml:space="preserve">Panaderia La Franchuteria                    </v>
      </c>
      <c r="L10" s="155"/>
      <c r="M10" s="97"/>
      <c r="N10" s="97"/>
      <c r="O10" s="210" t="s">
        <v>1214</v>
      </c>
      <c r="P10" s="211" t="s">
        <v>1215</v>
      </c>
      <c r="Q10" s="211" t="s">
        <v>281</v>
      </c>
      <c r="R10" s="211" t="s">
        <v>282</v>
      </c>
      <c r="S10" s="212" t="s">
        <v>283</v>
      </c>
      <c r="T10" s="258">
        <v>-3749964</v>
      </c>
      <c r="U10" s="211" t="s">
        <v>144</v>
      </c>
      <c r="V10" s="211" t="s">
        <v>284</v>
      </c>
      <c r="W10" s="213" t="s">
        <v>1216</v>
      </c>
      <c r="X10" s="312"/>
      <c r="Y10" s="312"/>
    </row>
    <row r="11" spans="1:25" ht="18" customHeight="1" x14ac:dyDescent="0.3">
      <c r="A11" s="26"/>
      <c r="B11" s="144" t="s">
        <v>1170</v>
      </c>
      <c r="C11" s="145" t="s">
        <v>123</v>
      </c>
      <c r="D11" s="145" t="s">
        <v>128</v>
      </c>
      <c r="E11" s="145" t="s">
        <v>149</v>
      </c>
      <c r="F11" s="145">
        <v>0</v>
      </c>
      <c r="G11" s="145">
        <v>541690</v>
      </c>
      <c r="H11" s="145">
        <v>7728790</v>
      </c>
      <c r="I11" s="176" t="s">
        <v>173</v>
      </c>
      <c r="J11" s="129" t="str">
        <f t="shared" si="0"/>
        <v/>
      </c>
      <c r="K11" s="129" t="str">
        <f t="shared" si="1"/>
        <v/>
      </c>
      <c r="L11" s="155"/>
      <c r="M11" s="97"/>
      <c r="N11" s="97"/>
      <c r="O11" s="210" t="s">
        <v>1214</v>
      </c>
      <c r="P11" s="211" t="s">
        <v>1217</v>
      </c>
      <c r="Q11" s="211" t="s">
        <v>195</v>
      </c>
      <c r="R11" s="211" t="s">
        <v>146</v>
      </c>
      <c r="S11" s="212" t="s">
        <v>213</v>
      </c>
      <c r="T11" s="258">
        <v>-200000.1</v>
      </c>
      <c r="U11" s="211" t="s">
        <v>144</v>
      </c>
      <c r="V11" s="211" t="s">
        <v>227</v>
      </c>
      <c r="W11" s="213" t="s">
        <v>1218</v>
      </c>
      <c r="X11" s="312"/>
      <c r="Y11" s="312"/>
    </row>
    <row r="12" spans="1:25" ht="18" customHeight="1" x14ac:dyDescent="0.3">
      <c r="A12" s="26"/>
      <c r="B12" s="144" t="s">
        <v>1171</v>
      </c>
      <c r="C12" s="145" t="s">
        <v>123</v>
      </c>
      <c r="D12" s="145" t="s">
        <v>128</v>
      </c>
      <c r="E12" s="145" t="s">
        <v>149</v>
      </c>
      <c r="F12" s="145">
        <v>0</v>
      </c>
      <c r="G12" s="145">
        <v>250000</v>
      </c>
      <c r="H12" s="145">
        <v>2735480</v>
      </c>
      <c r="I12" s="176" t="s">
        <v>135</v>
      </c>
      <c r="J12" s="129" t="str">
        <f t="shared" si="0"/>
        <v/>
      </c>
      <c r="K12" s="129" t="str">
        <f t="shared" si="1"/>
        <v/>
      </c>
      <c r="L12" s="155" t="s">
        <v>1391</v>
      </c>
      <c r="M12" s="97"/>
      <c r="N12" s="97"/>
      <c r="O12" s="210" t="s">
        <v>1219</v>
      </c>
      <c r="P12" s="211" t="s">
        <v>1220</v>
      </c>
      <c r="Q12" s="211" t="s">
        <v>243</v>
      </c>
      <c r="R12" s="211" t="s">
        <v>244</v>
      </c>
      <c r="S12" s="212" t="s">
        <v>245</v>
      </c>
      <c r="T12" s="258">
        <v>-1089685</v>
      </c>
      <c r="U12" s="211" t="s">
        <v>144</v>
      </c>
      <c r="V12" s="211" t="s">
        <v>246</v>
      </c>
      <c r="W12" s="213" t="s">
        <v>1221</v>
      </c>
      <c r="X12" s="312"/>
      <c r="Y12" s="312"/>
    </row>
    <row r="13" spans="1:25" ht="18" customHeight="1" x14ac:dyDescent="0.3">
      <c r="A13" s="26"/>
      <c r="B13" s="144" t="s">
        <v>1171</v>
      </c>
      <c r="C13" s="145" t="s">
        <v>129</v>
      </c>
      <c r="D13" s="145" t="s">
        <v>130</v>
      </c>
      <c r="E13" s="145" t="s">
        <v>149</v>
      </c>
      <c r="F13" s="145">
        <v>4366842</v>
      </c>
      <c r="G13" s="145">
        <v>0</v>
      </c>
      <c r="H13" s="145">
        <v>2485480</v>
      </c>
      <c r="I13" s="176" t="s">
        <v>19</v>
      </c>
      <c r="J13" s="129" t="str">
        <f t="shared" si="0"/>
        <v/>
      </c>
      <c r="K13" s="129" t="str">
        <f t="shared" si="1"/>
        <v/>
      </c>
      <c r="L13" s="155"/>
      <c r="M13" s="97"/>
      <c r="N13" s="97"/>
      <c r="O13" s="210" t="s">
        <v>1219</v>
      </c>
      <c r="P13" s="211" t="s">
        <v>1222</v>
      </c>
      <c r="Q13" s="211" t="s">
        <v>228</v>
      </c>
      <c r="R13" s="211" t="s">
        <v>146</v>
      </c>
      <c r="S13" s="212" t="s">
        <v>229</v>
      </c>
      <c r="T13" s="258">
        <v>-150000</v>
      </c>
      <c r="U13" s="211" t="s">
        <v>144</v>
      </c>
      <c r="V13" s="211" t="s">
        <v>230</v>
      </c>
      <c r="W13" s="213" t="s">
        <v>1218</v>
      </c>
      <c r="X13" s="312"/>
      <c r="Y13" s="312"/>
    </row>
    <row r="14" spans="1:25" ht="18" customHeight="1" x14ac:dyDescent="0.3">
      <c r="A14" s="26"/>
      <c r="B14" s="144" t="s">
        <v>1172</v>
      </c>
      <c r="C14" s="145" t="s">
        <v>125</v>
      </c>
      <c r="D14" s="145" t="s">
        <v>126</v>
      </c>
      <c r="E14" s="145" t="s">
        <v>149</v>
      </c>
      <c r="F14" s="257">
        <v>11800</v>
      </c>
      <c r="G14" s="145">
        <v>0</v>
      </c>
      <c r="H14" s="145">
        <v>2723680</v>
      </c>
      <c r="I14" s="176" t="s">
        <v>168</v>
      </c>
      <c r="J14" s="129" t="str">
        <f t="shared" si="0"/>
        <v/>
      </c>
      <c r="K14" s="129" t="str">
        <f t="shared" si="1"/>
        <v/>
      </c>
      <c r="L14" s="155"/>
      <c r="M14" s="97"/>
      <c r="N14" s="97"/>
      <c r="O14" s="210" t="s">
        <v>1177</v>
      </c>
      <c r="P14" s="211" t="s">
        <v>1223</v>
      </c>
      <c r="Q14" s="211" t="s">
        <v>228</v>
      </c>
      <c r="R14" s="211" t="s">
        <v>146</v>
      </c>
      <c r="S14" s="212" t="s">
        <v>229</v>
      </c>
      <c r="T14" s="258">
        <v>-200000</v>
      </c>
      <c r="U14" s="211" t="s">
        <v>144</v>
      </c>
      <c r="V14" s="211" t="s">
        <v>230</v>
      </c>
      <c r="W14" s="213" t="s">
        <v>1224</v>
      </c>
      <c r="X14" s="312"/>
      <c r="Y14" s="312"/>
    </row>
    <row r="15" spans="1:25" ht="18" customHeight="1" x14ac:dyDescent="0.3">
      <c r="A15" s="26"/>
      <c r="B15" s="144" t="s">
        <v>1173</v>
      </c>
      <c r="C15" s="145" t="s">
        <v>123</v>
      </c>
      <c r="D15" s="145" t="s">
        <v>128</v>
      </c>
      <c r="E15" s="145" t="s">
        <v>149</v>
      </c>
      <c r="F15" s="257">
        <v>0</v>
      </c>
      <c r="G15" s="145">
        <v>1200000</v>
      </c>
      <c r="H15" s="145">
        <v>4364680</v>
      </c>
      <c r="I15" s="176" t="s">
        <v>135</v>
      </c>
      <c r="J15" s="129" t="str">
        <f t="shared" si="0"/>
        <v/>
      </c>
      <c r="K15" s="129" t="str">
        <f t="shared" si="1"/>
        <v/>
      </c>
      <c r="L15" s="155" t="s">
        <v>1391</v>
      </c>
      <c r="M15" s="97"/>
      <c r="N15" s="97"/>
      <c r="O15" s="210" t="s">
        <v>1178</v>
      </c>
      <c r="P15" s="211" t="s">
        <v>1225</v>
      </c>
      <c r="Q15" s="211" t="s">
        <v>1226</v>
      </c>
      <c r="R15" s="211" t="s">
        <v>282</v>
      </c>
      <c r="S15" s="212" t="s">
        <v>1227</v>
      </c>
      <c r="T15" s="258">
        <v>-148750</v>
      </c>
      <c r="U15" s="211" t="s">
        <v>144</v>
      </c>
      <c r="V15" s="211" t="s">
        <v>1228</v>
      </c>
      <c r="W15" s="213" t="s">
        <v>1229</v>
      </c>
      <c r="X15" s="312"/>
      <c r="Y15" s="312"/>
    </row>
    <row r="16" spans="1:25" ht="18" customHeight="1" x14ac:dyDescent="0.3">
      <c r="A16" s="26"/>
      <c r="B16" s="144" t="s">
        <v>1173</v>
      </c>
      <c r="C16" s="145" t="s">
        <v>123</v>
      </c>
      <c r="D16" s="145" t="s">
        <v>128</v>
      </c>
      <c r="E16" s="145" t="s">
        <v>149</v>
      </c>
      <c r="F16" s="257">
        <v>0</v>
      </c>
      <c r="G16" s="145">
        <v>441000</v>
      </c>
      <c r="H16" s="145">
        <v>3164680</v>
      </c>
      <c r="I16" s="176" t="s">
        <v>135</v>
      </c>
      <c r="J16" s="129" t="str">
        <f t="shared" si="0"/>
        <v/>
      </c>
      <c r="K16" s="129" t="str">
        <f t="shared" si="1"/>
        <v/>
      </c>
      <c r="L16" s="155" t="s">
        <v>1394</v>
      </c>
      <c r="M16" s="97"/>
      <c r="N16" s="97"/>
      <c r="O16" s="210" t="s">
        <v>1178</v>
      </c>
      <c r="P16" s="211" t="s">
        <v>1230</v>
      </c>
      <c r="Q16" s="211" t="s">
        <v>278</v>
      </c>
      <c r="R16" s="211" t="s">
        <v>147</v>
      </c>
      <c r="S16" s="212" t="s">
        <v>279</v>
      </c>
      <c r="T16" s="258">
        <v>-49095</v>
      </c>
      <c r="U16" s="211" t="s">
        <v>144</v>
      </c>
      <c r="V16" s="211" t="s">
        <v>280</v>
      </c>
      <c r="W16" s="213" t="s">
        <v>1231</v>
      </c>
      <c r="X16" s="312"/>
      <c r="Y16" s="312"/>
    </row>
    <row r="17" spans="1:25" ht="18" customHeight="1" x14ac:dyDescent="0.3">
      <c r="A17" s="26"/>
      <c r="B17" s="144" t="s">
        <v>1174</v>
      </c>
      <c r="C17" s="145" t="s">
        <v>198</v>
      </c>
      <c r="D17" s="145" t="s">
        <v>219</v>
      </c>
      <c r="E17" s="145" t="s">
        <v>149</v>
      </c>
      <c r="F17" s="257">
        <v>0</v>
      </c>
      <c r="G17" s="145">
        <v>27000</v>
      </c>
      <c r="H17" s="145">
        <v>4391680</v>
      </c>
      <c r="I17" s="176" t="s">
        <v>173</v>
      </c>
      <c r="J17" s="129" t="str">
        <f t="shared" si="0"/>
        <v/>
      </c>
      <c r="K17" s="129" t="str">
        <f t="shared" si="1"/>
        <v/>
      </c>
      <c r="L17" s="359"/>
      <c r="M17" s="97"/>
      <c r="N17" s="97"/>
      <c r="O17" s="210" t="s">
        <v>1187</v>
      </c>
      <c r="P17" s="211" t="s">
        <v>1232</v>
      </c>
      <c r="Q17" s="211" t="s">
        <v>259</v>
      </c>
      <c r="R17" s="211" t="s">
        <v>147</v>
      </c>
      <c r="S17" s="212" t="s">
        <v>260</v>
      </c>
      <c r="T17" s="258">
        <v>-636351</v>
      </c>
      <c r="U17" s="211" t="s">
        <v>144</v>
      </c>
      <c r="V17" s="211" t="s">
        <v>261</v>
      </c>
      <c r="W17" s="213" t="s">
        <v>1233</v>
      </c>
      <c r="X17" s="312"/>
      <c r="Y17" s="312"/>
    </row>
    <row r="18" spans="1:25" ht="18" customHeight="1" x14ac:dyDescent="0.3">
      <c r="A18" s="26"/>
      <c r="B18" s="144" t="s">
        <v>1175</v>
      </c>
      <c r="C18" s="145" t="s">
        <v>123</v>
      </c>
      <c r="D18" s="145" t="s">
        <v>128</v>
      </c>
      <c r="E18" s="145" t="s">
        <v>149</v>
      </c>
      <c r="F18" s="257">
        <v>0</v>
      </c>
      <c r="G18" s="145">
        <v>3714020</v>
      </c>
      <c r="H18" s="145">
        <v>8002400</v>
      </c>
      <c r="I18" s="176" t="s">
        <v>135</v>
      </c>
      <c r="J18" s="129" t="str">
        <f t="shared" si="0"/>
        <v/>
      </c>
      <c r="K18" s="129" t="str">
        <f t="shared" si="1"/>
        <v/>
      </c>
      <c r="L18" s="155" t="s">
        <v>1392</v>
      </c>
      <c r="M18" s="97"/>
      <c r="N18" s="97"/>
      <c r="O18" s="210" t="s">
        <v>1187</v>
      </c>
      <c r="P18" s="211" t="s">
        <v>1234</v>
      </c>
      <c r="Q18" s="211" t="s">
        <v>256</v>
      </c>
      <c r="R18" s="211" t="s">
        <v>147</v>
      </c>
      <c r="S18" s="212" t="s">
        <v>257</v>
      </c>
      <c r="T18" s="258">
        <v>-544788</v>
      </c>
      <c r="U18" s="211" t="s">
        <v>144</v>
      </c>
      <c r="V18" s="211" t="s">
        <v>258</v>
      </c>
      <c r="W18" s="213" t="s">
        <v>1235</v>
      </c>
      <c r="X18" s="312"/>
      <c r="Y18" s="312"/>
    </row>
    <row r="19" spans="1:25" ht="18" customHeight="1" x14ac:dyDescent="0.3">
      <c r="A19" s="26"/>
      <c r="B19" s="144" t="s">
        <v>1175</v>
      </c>
      <c r="C19" s="145" t="s">
        <v>123</v>
      </c>
      <c r="D19" s="145" t="s">
        <v>124</v>
      </c>
      <c r="E19" s="145" t="s">
        <v>149</v>
      </c>
      <c r="F19" s="224">
        <v>103300</v>
      </c>
      <c r="G19" s="145">
        <v>0</v>
      </c>
      <c r="H19" s="145">
        <v>4288380</v>
      </c>
      <c r="I19" s="176" t="s">
        <v>170</v>
      </c>
      <c r="J19" s="129" t="str">
        <f t="shared" si="0"/>
        <v>Escalera</v>
      </c>
      <c r="K19" s="129" t="str">
        <f t="shared" si="1"/>
        <v xml:space="preserve">Jose Ortiz Montaño                           </v>
      </c>
      <c r="L19" s="155" t="s">
        <v>1393</v>
      </c>
      <c r="M19" s="97"/>
      <c r="N19" s="97"/>
      <c r="O19" s="210" t="s">
        <v>1236</v>
      </c>
      <c r="P19" s="211" t="s">
        <v>1237</v>
      </c>
      <c r="Q19" s="211" t="s">
        <v>278</v>
      </c>
      <c r="R19" s="211" t="s">
        <v>147</v>
      </c>
      <c r="S19" s="212" t="s">
        <v>279</v>
      </c>
      <c r="T19" s="258">
        <v>-11450</v>
      </c>
      <c r="U19" s="211" t="s">
        <v>144</v>
      </c>
      <c r="V19" s="211" t="s">
        <v>280</v>
      </c>
      <c r="W19" s="213" t="s">
        <v>1238</v>
      </c>
      <c r="X19" s="312"/>
      <c r="Y19" s="312"/>
    </row>
    <row r="20" spans="1:25" ht="18" customHeight="1" x14ac:dyDescent="0.3">
      <c r="A20" s="26"/>
      <c r="B20" s="144" t="s">
        <v>1176</v>
      </c>
      <c r="C20" s="145" t="s">
        <v>198</v>
      </c>
      <c r="D20" s="145" t="s">
        <v>219</v>
      </c>
      <c r="E20" s="145" t="s">
        <v>149</v>
      </c>
      <c r="F20" s="257">
        <v>0</v>
      </c>
      <c r="G20" s="145">
        <v>47000</v>
      </c>
      <c r="H20" s="145">
        <v>2759751</v>
      </c>
      <c r="I20" s="176" t="s">
        <v>173</v>
      </c>
      <c r="J20" s="129" t="str">
        <f t="shared" si="0"/>
        <v/>
      </c>
      <c r="K20" s="129" t="str">
        <f t="shared" si="1"/>
        <v/>
      </c>
      <c r="L20" s="155"/>
      <c r="M20" s="225"/>
      <c r="N20" s="97"/>
      <c r="O20" s="210" t="s">
        <v>1236</v>
      </c>
      <c r="P20" s="211" t="s">
        <v>1239</v>
      </c>
      <c r="Q20" s="211" t="s">
        <v>740</v>
      </c>
      <c r="R20" s="211" t="s">
        <v>296</v>
      </c>
      <c r="S20" s="212" t="s">
        <v>741</v>
      </c>
      <c r="T20" s="258">
        <v>-79326</v>
      </c>
      <c r="U20" s="211" t="s">
        <v>144</v>
      </c>
      <c r="V20" s="211" t="s">
        <v>742</v>
      </c>
      <c r="W20" s="213" t="s">
        <v>1240</v>
      </c>
      <c r="X20" s="312"/>
      <c r="Y20" s="312"/>
    </row>
    <row r="21" spans="1:25" ht="18" customHeight="1" x14ac:dyDescent="0.3">
      <c r="A21" s="26"/>
      <c r="B21" s="144" t="s">
        <v>1176</v>
      </c>
      <c r="C21" s="145" t="s">
        <v>123</v>
      </c>
      <c r="D21" s="145" t="s">
        <v>124</v>
      </c>
      <c r="E21" s="145" t="s">
        <v>149</v>
      </c>
      <c r="F21" s="224">
        <v>1089685</v>
      </c>
      <c r="G21" s="145">
        <v>0</v>
      </c>
      <c r="H21" s="145">
        <v>2712751</v>
      </c>
      <c r="I21" s="176" t="s">
        <v>101</v>
      </c>
      <c r="J21" s="129" t="str">
        <f t="shared" si="0"/>
        <v>Factura 1921234474</v>
      </c>
      <c r="K21" s="129" t="str">
        <f t="shared" si="1"/>
        <v xml:space="preserve">EXP Chile Limitada                           </v>
      </c>
      <c r="L21" s="155"/>
      <c r="M21" s="97"/>
      <c r="N21" s="97"/>
      <c r="O21" s="210" t="s">
        <v>1188</v>
      </c>
      <c r="P21" s="211" t="s">
        <v>1241</v>
      </c>
      <c r="Q21" s="211" t="s">
        <v>214</v>
      </c>
      <c r="R21" s="211" t="s">
        <v>146</v>
      </c>
      <c r="S21" s="212" t="s">
        <v>215</v>
      </c>
      <c r="T21" s="258">
        <v>-1301980</v>
      </c>
      <c r="U21" s="211" t="s">
        <v>144</v>
      </c>
      <c r="V21" s="211" t="s">
        <v>216</v>
      </c>
      <c r="W21" s="213" t="s">
        <v>1218</v>
      </c>
      <c r="X21" s="312"/>
      <c r="Y21" s="312"/>
    </row>
    <row r="22" spans="1:25" ht="18" customHeight="1" x14ac:dyDescent="0.3">
      <c r="A22" s="26"/>
      <c r="B22" s="144" t="s">
        <v>1176</v>
      </c>
      <c r="C22" s="145" t="s">
        <v>123</v>
      </c>
      <c r="D22" s="145" t="s">
        <v>124</v>
      </c>
      <c r="E22" s="145" t="s">
        <v>149</v>
      </c>
      <c r="F22" s="224">
        <v>150000</v>
      </c>
      <c r="G22" s="145">
        <v>0</v>
      </c>
      <c r="H22" s="145">
        <v>3802436</v>
      </c>
      <c r="I22" s="176" t="s">
        <v>30</v>
      </c>
      <c r="J22" s="129" t="str">
        <f t="shared" si="0"/>
        <v>Sueldo Nov 19</v>
      </c>
      <c r="K22" s="129" t="str">
        <f t="shared" si="1"/>
        <v xml:space="preserve">Ana Cruz Varas                               </v>
      </c>
      <c r="L22" s="155"/>
      <c r="M22" s="97"/>
      <c r="N22" s="97"/>
      <c r="O22" s="210" t="s">
        <v>1188</v>
      </c>
      <c r="P22" s="211" t="s">
        <v>1242</v>
      </c>
      <c r="Q22" s="211" t="s">
        <v>197</v>
      </c>
      <c r="R22" s="211" t="s">
        <v>220</v>
      </c>
      <c r="S22" s="212" t="s">
        <v>276</v>
      </c>
      <c r="T22" s="258">
        <v>-612850</v>
      </c>
      <c r="U22" s="211" t="s">
        <v>144</v>
      </c>
      <c r="V22" s="211" t="s">
        <v>277</v>
      </c>
      <c r="W22" s="213" t="s">
        <v>1218</v>
      </c>
      <c r="X22" s="312"/>
      <c r="Y22" s="312"/>
    </row>
    <row r="23" spans="1:25" ht="18" customHeight="1" x14ac:dyDescent="0.3">
      <c r="A23" s="26"/>
      <c r="B23" s="144" t="s">
        <v>1176</v>
      </c>
      <c r="C23" s="145" t="s">
        <v>131</v>
      </c>
      <c r="D23" s="145" t="s">
        <v>150</v>
      </c>
      <c r="E23" s="145" t="s">
        <v>149</v>
      </c>
      <c r="F23" s="224">
        <v>100000</v>
      </c>
      <c r="G23" s="145">
        <v>0</v>
      </c>
      <c r="H23" s="145">
        <v>3952436</v>
      </c>
      <c r="I23" s="176" t="s">
        <v>171</v>
      </c>
      <c r="J23" s="129" t="str">
        <f t="shared" si="0"/>
        <v/>
      </c>
      <c r="K23" s="129" t="str">
        <f t="shared" si="1"/>
        <v/>
      </c>
      <c r="L23" s="155"/>
      <c r="M23" s="97"/>
      <c r="N23" s="97"/>
      <c r="O23" s="210" t="s">
        <v>1188</v>
      </c>
      <c r="P23" s="211" t="s">
        <v>1243</v>
      </c>
      <c r="Q23" s="211" t="s">
        <v>321</v>
      </c>
      <c r="R23" s="211" t="s">
        <v>322</v>
      </c>
      <c r="S23" s="212" t="s">
        <v>323</v>
      </c>
      <c r="T23" s="258">
        <v>-1000106</v>
      </c>
      <c r="U23" s="211" t="s">
        <v>144</v>
      </c>
      <c r="V23" s="211" t="s">
        <v>324</v>
      </c>
      <c r="W23" s="213" t="s">
        <v>1218</v>
      </c>
      <c r="X23" s="312"/>
      <c r="Y23" s="312"/>
    </row>
    <row r="24" spans="1:25" s="111" customFormat="1" ht="18" customHeight="1" x14ac:dyDescent="0.3">
      <c r="A24" s="26"/>
      <c r="B24" s="144" t="s">
        <v>1176</v>
      </c>
      <c r="C24" s="145" t="s">
        <v>123</v>
      </c>
      <c r="D24" s="145" t="s">
        <v>124</v>
      </c>
      <c r="E24" s="145" t="s">
        <v>149</v>
      </c>
      <c r="F24" s="224">
        <v>3749964</v>
      </c>
      <c r="G24" s="145">
        <v>0</v>
      </c>
      <c r="H24" s="145">
        <v>4052436</v>
      </c>
      <c r="I24" s="176" t="s">
        <v>31</v>
      </c>
      <c r="J24" s="129" t="str">
        <f t="shared" si="0"/>
        <v>1546611029</v>
      </c>
      <c r="K24" s="129" t="str">
        <f t="shared" si="1"/>
        <v xml:space="preserve">Pagos y Servicios Astropay Ltda              </v>
      </c>
      <c r="L24" s="155"/>
      <c r="M24" s="97"/>
      <c r="N24" s="97"/>
      <c r="O24" s="210" t="s">
        <v>1188</v>
      </c>
      <c r="P24" s="211" t="s">
        <v>1244</v>
      </c>
      <c r="Q24" s="211" t="s">
        <v>231</v>
      </c>
      <c r="R24" s="211" t="s">
        <v>146</v>
      </c>
      <c r="S24" s="212" t="s">
        <v>232</v>
      </c>
      <c r="T24" s="258">
        <v>-599487</v>
      </c>
      <c r="U24" s="211" t="s">
        <v>144</v>
      </c>
      <c r="V24" s="211" t="s">
        <v>233</v>
      </c>
      <c r="W24" s="213" t="s">
        <v>1218</v>
      </c>
      <c r="X24" s="312"/>
      <c r="Y24" s="312"/>
    </row>
    <row r="25" spans="1:25" s="111" customFormat="1" ht="18" customHeight="1" x14ac:dyDescent="0.3">
      <c r="A25" s="26"/>
      <c r="B25" s="144" t="s">
        <v>1176</v>
      </c>
      <c r="C25" s="145" t="s">
        <v>123</v>
      </c>
      <c r="D25" s="145" t="s">
        <v>124</v>
      </c>
      <c r="E25" s="145" t="s">
        <v>149</v>
      </c>
      <c r="F25" s="224">
        <v>200000.1</v>
      </c>
      <c r="G25" s="145">
        <v>0</v>
      </c>
      <c r="H25" s="145">
        <v>7802400</v>
      </c>
      <c r="I25" s="176" t="s">
        <v>30</v>
      </c>
      <c r="J25" s="129" t="str">
        <f t="shared" si="0"/>
        <v>Sueldo Nov 19</v>
      </c>
      <c r="K25" s="129" t="str">
        <f t="shared" si="1"/>
        <v xml:space="preserve">Luis Arias                                   </v>
      </c>
      <c r="L25" s="155"/>
      <c r="M25" s="97"/>
      <c r="N25" s="97"/>
      <c r="O25" s="210" t="s">
        <v>1188</v>
      </c>
      <c r="P25" s="211" t="s">
        <v>1245</v>
      </c>
      <c r="Q25" s="211" t="s">
        <v>151</v>
      </c>
      <c r="R25" s="211" t="s">
        <v>146</v>
      </c>
      <c r="S25" s="212" t="s">
        <v>218</v>
      </c>
      <c r="T25" s="258">
        <v>-501240</v>
      </c>
      <c r="U25" s="211" t="s">
        <v>144</v>
      </c>
      <c r="V25" s="211" t="s">
        <v>152</v>
      </c>
      <c r="W25" s="213" t="s">
        <v>1218</v>
      </c>
      <c r="X25" s="312"/>
      <c r="Y25" s="312"/>
    </row>
    <row r="26" spans="1:25" s="111" customFormat="1" ht="18" customHeight="1" x14ac:dyDescent="0.3">
      <c r="A26" s="26"/>
      <c r="B26" s="144" t="s">
        <v>1177</v>
      </c>
      <c r="C26" s="145" t="s">
        <v>123</v>
      </c>
      <c r="D26" s="145" t="s">
        <v>124</v>
      </c>
      <c r="E26" s="145" t="s">
        <v>149</v>
      </c>
      <c r="F26" s="224">
        <v>200000</v>
      </c>
      <c r="G26" s="145">
        <v>0</v>
      </c>
      <c r="H26" s="145">
        <v>2559751</v>
      </c>
      <c r="I26" s="176" t="s">
        <v>30</v>
      </c>
      <c r="J26" s="129" t="str">
        <f t="shared" si="0"/>
        <v>Adelando 2 Sueldo Nov19</v>
      </c>
      <c r="K26" s="129" t="str">
        <f t="shared" si="1"/>
        <v xml:space="preserve">Ana Cruz Varas                               </v>
      </c>
      <c r="L26" s="155"/>
      <c r="M26" s="97"/>
      <c r="N26" s="97"/>
      <c r="O26" s="210" t="s">
        <v>1188</v>
      </c>
      <c r="P26" s="211" t="s">
        <v>1246</v>
      </c>
      <c r="Q26" s="211" t="s">
        <v>199</v>
      </c>
      <c r="R26" s="211" t="s">
        <v>146</v>
      </c>
      <c r="S26" s="212" t="s">
        <v>217</v>
      </c>
      <c r="T26" s="258">
        <v>-476413</v>
      </c>
      <c r="U26" s="211" t="s">
        <v>144</v>
      </c>
      <c r="V26" s="211" t="s">
        <v>200</v>
      </c>
      <c r="W26" s="213" t="s">
        <v>1218</v>
      </c>
      <c r="X26" s="312"/>
      <c r="Y26" s="312"/>
    </row>
    <row r="27" spans="1:25" s="111" customFormat="1" ht="18" customHeight="1" x14ac:dyDescent="0.3">
      <c r="A27" s="26"/>
      <c r="B27" s="144" t="s">
        <v>1178</v>
      </c>
      <c r="C27" s="145" t="s">
        <v>123</v>
      </c>
      <c r="D27" s="145" t="s">
        <v>124</v>
      </c>
      <c r="E27" s="145" t="s">
        <v>149</v>
      </c>
      <c r="F27" s="224">
        <v>148750</v>
      </c>
      <c r="G27" s="145">
        <v>0</v>
      </c>
      <c r="H27" s="145">
        <v>1097186</v>
      </c>
      <c r="I27" s="176" t="s">
        <v>170</v>
      </c>
      <c r="J27" s="129" t="str">
        <f t="shared" si="0"/>
        <v>Frigobar -Soc Hotelera Zamora</v>
      </c>
      <c r="K27" s="129" t="str">
        <f t="shared" si="1"/>
        <v xml:space="preserve">Sociedad de Servicios hoteleros SpA          </v>
      </c>
      <c r="L27" s="155" t="s">
        <v>1395</v>
      </c>
      <c r="M27" s="97"/>
      <c r="N27" s="97"/>
      <c r="O27" s="210" t="s">
        <v>1188</v>
      </c>
      <c r="P27" s="211" t="s">
        <v>1247</v>
      </c>
      <c r="Q27" s="211" t="s">
        <v>240</v>
      </c>
      <c r="R27" s="211" t="s">
        <v>146</v>
      </c>
      <c r="S27" s="212" t="s">
        <v>241</v>
      </c>
      <c r="T27" s="258">
        <v>-552939</v>
      </c>
      <c r="U27" s="211" t="s">
        <v>144</v>
      </c>
      <c r="V27" s="211" t="s">
        <v>242</v>
      </c>
      <c r="W27" s="213" t="s">
        <v>1218</v>
      </c>
      <c r="X27" s="312"/>
      <c r="Y27" s="312"/>
    </row>
    <row r="28" spans="1:25" s="111" customFormat="1" ht="18" customHeight="1" x14ac:dyDescent="0.3">
      <c r="A28" s="26"/>
      <c r="B28" s="144" t="s">
        <v>1178</v>
      </c>
      <c r="C28" s="145" t="s">
        <v>123</v>
      </c>
      <c r="D28" s="145" t="s">
        <v>127</v>
      </c>
      <c r="E28" s="145" t="s">
        <v>149</v>
      </c>
      <c r="F28" s="224">
        <v>49095</v>
      </c>
      <c r="G28" s="145">
        <v>0</v>
      </c>
      <c r="H28" s="145">
        <v>1245936</v>
      </c>
      <c r="I28" s="176" t="s">
        <v>8</v>
      </c>
      <c r="J28" s="129" t="str">
        <f t="shared" si="0"/>
        <v>10865,10820,10780,11166,11087</v>
      </c>
      <c r="K28" s="129" t="str">
        <f t="shared" si="1"/>
        <v xml:space="preserve">Panaderia La Franchuteria                    </v>
      </c>
      <c r="L28" s="155" t="s">
        <v>753</v>
      </c>
      <c r="M28" s="97"/>
      <c r="N28" s="97"/>
      <c r="O28" s="210" t="s">
        <v>1188</v>
      </c>
      <c r="P28" s="211" t="s">
        <v>1248</v>
      </c>
      <c r="Q28" s="211" t="s">
        <v>195</v>
      </c>
      <c r="R28" s="211" t="s">
        <v>146</v>
      </c>
      <c r="S28" s="212" t="s">
        <v>213</v>
      </c>
      <c r="T28" s="258">
        <v>-229350</v>
      </c>
      <c r="U28" s="211" t="s">
        <v>144</v>
      </c>
      <c r="V28" s="211" t="s">
        <v>227</v>
      </c>
      <c r="W28" s="213" t="s">
        <v>1218</v>
      </c>
      <c r="X28" s="312"/>
      <c r="Y28" s="312"/>
    </row>
    <row r="29" spans="1:25" s="111" customFormat="1" ht="18" customHeight="1" x14ac:dyDescent="0.3">
      <c r="A29" s="26"/>
      <c r="B29" s="356" t="s">
        <v>1178</v>
      </c>
      <c r="C29" s="357" t="s">
        <v>123</v>
      </c>
      <c r="D29" s="357" t="s">
        <v>133</v>
      </c>
      <c r="E29" s="357" t="s">
        <v>149</v>
      </c>
      <c r="F29" s="358">
        <v>1264720</v>
      </c>
      <c r="G29" s="357">
        <v>0</v>
      </c>
      <c r="H29" s="357">
        <v>1295031</v>
      </c>
      <c r="I29" s="176"/>
      <c r="J29" s="129" t="str">
        <f t="shared" si="0"/>
        <v/>
      </c>
      <c r="K29" s="129" t="str">
        <f t="shared" si="1"/>
        <v/>
      </c>
      <c r="L29" s="155"/>
      <c r="M29" s="97"/>
      <c r="N29" s="97"/>
      <c r="O29" s="210" t="s">
        <v>1188</v>
      </c>
      <c r="P29" s="211" t="s">
        <v>1249</v>
      </c>
      <c r="Q29" s="211" t="s">
        <v>293</v>
      </c>
      <c r="R29" s="211" t="s">
        <v>146</v>
      </c>
      <c r="S29" s="212" t="s">
        <v>294</v>
      </c>
      <c r="T29" s="258">
        <v>-462889</v>
      </c>
      <c r="U29" s="211" t="s">
        <v>144</v>
      </c>
      <c r="V29" s="211" t="s">
        <v>295</v>
      </c>
      <c r="W29" s="213" t="s">
        <v>1218</v>
      </c>
      <c r="X29" s="312"/>
      <c r="Y29" s="312"/>
    </row>
    <row r="30" spans="1:25" s="111" customFormat="1" ht="18" customHeight="1" x14ac:dyDescent="0.3">
      <c r="A30" s="26"/>
      <c r="B30" s="144" t="s">
        <v>1179</v>
      </c>
      <c r="C30" s="145" t="s">
        <v>125</v>
      </c>
      <c r="D30" s="145" t="s">
        <v>1180</v>
      </c>
      <c r="E30" s="145" t="s">
        <v>1181</v>
      </c>
      <c r="F30" s="224">
        <v>197943</v>
      </c>
      <c r="G30" s="145">
        <v>0</v>
      </c>
      <c r="H30" s="145">
        <v>429815</v>
      </c>
      <c r="I30" s="176" t="s">
        <v>172</v>
      </c>
      <c r="J30" s="129" t="str">
        <f t="shared" si="0"/>
        <v/>
      </c>
      <c r="K30" s="129" t="str">
        <f t="shared" si="1"/>
        <v/>
      </c>
      <c r="L30" s="155" t="s">
        <v>1437</v>
      </c>
      <c r="M30" s="97"/>
      <c r="N30" s="97"/>
      <c r="O30" s="210" t="s">
        <v>1188</v>
      </c>
      <c r="P30" s="211" t="s">
        <v>1250</v>
      </c>
      <c r="Q30" s="211" t="s">
        <v>747</v>
      </c>
      <c r="R30" s="211" t="s">
        <v>146</v>
      </c>
      <c r="S30" s="212" t="s">
        <v>748</v>
      </c>
      <c r="T30" s="215">
        <v>-272000</v>
      </c>
      <c r="U30" s="211" t="s">
        <v>144</v>
      </c>
      <c r="V30" s="211" t="s">
        <v>749</v>
      </c>
      <c r="W30" s="213" t="s">
        <v>1218</v>
      </c>
      <c r="X30" s="312"/>
      <c r="Y30" s="312"/>
    </row>
    <row r="31" spans="1:25" s="111" customFormat="1" ht="18" customHeight="1" x14ac:dyDescent="0.3">
      <c r="A31" s="26"/>
      <c r="B31" s="144" t="s">
        <v>1179</v>
      </c>
      <c r="C31" s="145" t="s">
        <v>125</v>
      </c>
      <c r="D31" s="145" t="s">
        <v>1180</v>
      </c>
      <c r="E31" s="145" t="s">
        <v>1182</v>
      </c>
      <c r="F31" s="224">
        <v>61935</v>
      </c>
      <c r="G31" s="145">
        <v>0</v>
      </c>
      <c r="H31" s="145">
        <v>627758</v>
      </c>
      <c r="I31" s="176" t="s">
        <v>172</v>
      </c>
      <c r="J31" s="129" t="str">
        <f t="shared" si="0"/>
        <v/>
      </c>
      <c r="K31" s="129" t="str">
        <f t="shared" si="1"/>
        <v/>
      </c>
      <c r="L31" s="155" t="s">
        <v>1437</v>
      </c>
      <c r="M31" s="97"/>
      <c r="N31" s="97"/>
      <c r="O31" s="210" t="s">
        <v>1188</v>
      </c>
      <c r="P31" s="211" t="s">
        <v>1251</v>
      </c>
      <c r="Q31" s="211" t="s">
        <v>361</v>
      </c>
      <c r="R31" s="211" t="s">
        <v>146</v>
      </c>
      <c r="S31" s="212" t="s">
        <v>362</v>
      </c>
      <c r="T31" s="215">
        <v>-176000</v>
      </c>
      <c r="U31" s="211" t="s">
        <v>144</v>
      </c>
      <c r="V31" s="211" t="s">
        <v>363</v>
      </c>
      <c r="W31" s="213" t="s">
        <v>1218</v>
      </c>
      <c r="X31" s="312"/>
      <c r="Y31" s="312"/>
    </row>
    <row r="32" spans="1:25" s="111" customFormat="1" ht="18" customHeight="1" x14ac:dyDescent="0.3">
      <c r="A32" s="26"/>
      <c r="B32" s="144" t="s">
        <v>1179</v>
      </c>
      <c r="C32" s="145" t="s">
        <v>125</v>
      </c>
      <c r="D32" s="145" t="s">
        <v>1183</v>
      </c>
      <c r="E32" s="145" t="s">
        <v>1184</v>
      </c>
      <c r="F32" s="224">
        <v>219421</v>
      </c>
      <c r="G32" s="145">
        <v>0</v>
      </c>
      <c r="H32" s="145">
        <v>689693</v>
      </c>
      <c r="I32" s="176" t="s">
        <v>30</v>
      </c>
      <c r="J32" s="129" t="str">
        <f t="shared" si="0"/>
        <v/>
      </c>
      <c r="K32" s="129" t="str">
        <f t="shared" si="1"/>
        <v/>
      </c>
      <c r="L32" s="155" t="s">
        <v>1438</v>
      </c>
      <c r="M32" s="97"/>
      <c r="N32" s="97"/>
      <c r="O32" s="210" t="s">
        <v>1188</v>
      </c>
      <c r="P32" s="211" t="s">
        <v>1252</v>
      </c>
      <c r="Q32" s="211" t="s">
        <v>228</v>
      </c>
      <c r="R32" s="211" t="s">
        <v>146</v>
      </c>
      <c r="S32" s="212" t="s">
        <v>229</v>
      </c>
      <c r="T32" s="215">
        <v>-163787</v>
      </c>
      <c r="U32" s="211" t="s">
        <v>144</v>
      </c>
      <c r="V32" s="211" t="s">
        <v>230</v>
      </c>
      <c r="W32" s="213" t="s">
        <v>1218</v>
      </c>
      <c r="X32" s="312"/>
      <c r="Y32" s="312"/>
    </row>
    <row r="33" spans="1:25" s="111" customFormat="1" ht="18" customHeight="1" x14ac:dyDescent="0.3">
      <c r="A33" s="26"/>
      <c r="B33" s="144" t="s">
        <v>1179</v>
      </c>
      <c r="C33" s="145" t="s">
        <v>125</v>
      </c>
      <c r="D33" s="145" t="s">
        <v>1183</v>
      </c>
      <c r="E33" s="145" t="s">
        <v>1185</v>
      </c>
      <c r="F33" s="224">
        <v>87528</v>
      </c>
      <c r="G33" s="145">
        <v>0</v>
      </c>
      <c r="H33" s="145">
        <v>909114</v>
      </c>
      <c r="I33" s="176" t="s">
        <v>30</v>
      </c>
      <c r="J33" s="129" t="str">
        <f t="shared" ref="J33:J34" si="2">IFERROR(VLOOKUP(-F33,$T$3:$W$50,4,FALSE),"")</f>
        <v/>
      </c>
      <c r="K33" s="129" t="str">
        <f t="shared" ref="K33:K34" si="3">IFERROR(VLOOKUP(-F33,$T$3:$W$50,3,FALSE),"")</f>
        <v/>
      </c>
      <c r="L33" s="155" t="s">
        <v>1438</v>
      </c>
      <c r="M33" s="97"/>
      <c r="N33" s="97"/>
      <c r="O33" s="210" t="s">
        <v>1188</v>
      </c>
      <c r="P33" s="211" t="s">
        <v>1253</v>
      </c>
      <c r="Q33" s="211" t="s">
        <v>744</v>
      </c>
      <c r="R33" s="211" t="s">
        <v>146</v>
      </c>
      <c r="S33" s="212" t="s">
        <v>745</v>
      </c>
      <c r="T33" s="215">
        <v>-96000</v>
      </c>
      <c r="U33" s="211" t="s">
        <v>144</v>
      </c>
      <c r="V33" s="211" t="s">
        <v>746</v>
      </c>
      <c r="W33" s="213" t="s">
        <v>1218</v>
      </c>
      <c r="X33" s="312"/>
      <c r="Y33" s="312"/>
    </row>
    <row r="34" spans="1:25" s="111" customFormat="1" ht="18" customHeight="1" x14ac:dyDescent="0.3">
      <c r="A34" s="26"/>
      <c r="B34" s="144" t="s">
        <v>1179</v>
      </c>
      <c r="C34" s="145" t="s">
        <v>125</v>
      </c>
      <c r="D34" s="145" t="s">
        <v>1183</v>
      </c>
      <c r="E34" s="145" t="s">
        <v>1186</v>
      </c>
      <c r="F34" s="224">
        <v>100544</v>
      </c>
      <c r="G34" s="145">
        <v>0</v>
      </c>
      <c r="H34" s="145">
        <v>996642</v>
      </c>
      <c r="I34" s="176" t="s">
        <v>30</v>
      </c>
      <c r="J34" s="129" t="str">
        <f t="shared" si="2"/>
        <v/>
      </c>
      <c r="K34" s="129" t="str">
        <f t="shared" si="3"/>
        <v/>
      </c>
      <c r="L34" s="155" t="s">
        <v>1438</v>
      </c>
      <c r="M34" s="97"/>
      <c r="N34" s="97"/>
      <c r="O34" s="210" t="s">
        <v>1188</v>
      </c>
      <c r="P34" s="211" t="s">
        <v>1254</v>
      </c>
      <c r="Q34" s="211" t="s">
        <v>750</v>
      </c>
      <c r="R34" s="211" t="s">
        <v>146</v>
      </c>
      <c r="S34" s="212" t="s">
        <v>751</v>
      </c>
      <c r="T34" s="215">
        <v>-108000</v>
      </c>
      <c r="U34" s="211" t="s">
        <v>144</v>
      </c>
      <c r="V34" s="211" t="s">
        <v>752</v>
      </c>
      <c r="W34" s="213" t="s">
        <v>1218</v>
      </c>
      <c r="X34" s="312"/>
      <c r="Y34" s="312"/>
    </row>
    <row r="35" spans="1:25" s="111" customFormat="1" ht="18" customHeight="1" x14ac:dyDescent="0.3">
      <c r="A35" s="26"/>
      <c r="B35" s="144" t="s">
        <v>1187</v>
      </c>
      <c r="C35" s="145" t="s">
        <v>123</v>
      </c>
      <c r="D35" s="145" t="s">
        <v>127</v>
      </c>
      <c r="E35" s="145" t="s">
        <v>149</v>
      </c>
      <c r="F35" s="224">
        <v>636351</v>
      </c>
      <c r="G35" s="145">
        <v>0</v>
      </c>
      <c r="H35" s="145">
        <v>4248676</v>
      </c>
      <c r="I35" s="176" t="s">
        <v>172</v>
      </c>
      <c r="J35" s="129" t="str">
        <f t="shared" si="0"/>
        <v>Factura 18139</v>
      </c>
      <c r="K35" s="129" t="str">
        <f t="shared" si="1"/>
        <v xml:space="preserve">Comite de Agua San Pedro de Atacama          </v>
      </c>
      <c r="L35" s="155"/>
      <c r="M35" s="97"/>
      <c r="N35" s="97"/>
      <c r="O35" s="210" t="s">
        <v>1188</v>
      </c>
      <c r="P35" s="211" t="s">
        <v>1255</v>
      </c>
      <c r="Q35" s="211" t="s">
        <v>358</v>
      </c>
      <c r="R35" s="211" t="s">
        <v>146</v>
      </c>
      <c r="S35" s="212" t="s">
        <v>359</v>
      </c>
      <c r="T35" s="215">
        <v>-48000</v>
      </c>
      <c r="U35" s="211" t="s">
        <v>144</v>
      </c>
      <c r="V35" s="211" t="s">
        <v>360</v>
      </c>
      <c r="W35" s="213" t="s">
        <v>1218</v>
      </c>
      <c r="X35" s="312"/>
      <c r="Y35" s="312"/>
    </row>
    <row r="36" spans="1:25" s="111" customFormat="1" ht="18" customHeight="1" x14ac:dyDescent="0.3">
      <c r="A36" s="26"/>
      <c r="B36" s="144" t="s">
        <v>1187</v>
      </c>
      <c r="C36" s="145" t="s">
        <v>123</v>
      </c>
      <c r="D36" s="145" t="s">
        <v>127</v>
      </c>
      <c r="E36" s="145" t="s">
        <v>149</v>
      </c>
      <c r="F36" s="224">
        <v>544788</v>
      </c>
      <c r="G36" s="145">
        <v>0</v>
      </c>
      <c r="H36" s="145">
        <v>4885027</v>
      </c>
      <c r="I36" s="176" t="s">
        <v>172</v>
      </c>
      <c r="J36" s="129" t="str">
        <f t="shared" si="0"/>
        <v>Fact 16613</v>
      </c>
      <c r="K36" s="129" t="str">
        <f t="shared" si="1"/>
        <v xml:space="preserve">CESPA Ltda                                   </v>
      </c>
      <c r="L36" s="155"/>
      <c r="M36" s="97"/>
      <c r="N36" s="97"/>
      <c r="O36" s="210" t="s">
        <v>1189</v>
      </c>
      <c r="P36" s="211" t="s">
        <v>1190</v>
      </c>
      <c r="Q36" s="211" t="s">
        <v>163</v>
      </c>
      <c r="R36" s="211" t="s">
        <v>147</v>
      </c>
      <c r="S36" s="212" t="s">
        <v>212</v>
      </c>
      <c r="T36" s="215">
        <v>-150000</v>
      </c>
      <c r="U36" s="211" t="s">
        <v>144</v>
      </c>
      <c r="V36" s="211" t="s">
        <v>164</v>
      </c>
      <c r="W36" s="213" t="s">
        <v>1191</v>
      </c>
      <c r="X36" s="312"/>
      <c r="Y36" s="312"/>
    </row>
    <row r="37" spans="1:25" s="111" customFormat="1" ht="18" customHeight="1" x14ac:dyDescent="0.3">
      <c r="A37" s="26"/>
      <c r="B37" s="144" t="s">
        <v>1187</v>
      </c>
      <c r="C37" s="145" t="s">
        <v>123</v>
      </c>
      <c r="D37" s="145" t="s">
        <v>128</v>
      </c>
      <c r="E37" s="145" t="s">
        <v>149</v>
      </c>
      <c r="F37" s="224">
        <v>0</v>
      </c>
      <c r="G37" s="145">
        <v>5000000</v>
      </c>
      <c r="H37" s="145">
        <v>5429815</v>
      </c>
      <c r="I37" s="176" t="s">
        <v>135</v>
      </c>
      <c r="J37" s="129" t="str">
        <f t="shared" si="0"/>
        <v/>
      </c>
      <c r="K37" s="129" t="str">
        <f t="shared" si="1"/>
        <v/>
      </c>
      <c r="L37" s="155"/>
      <c r="M37" s="97"/>
      <c r="N37" s="97"/>
      <c r="O37" s="348" t="s">
        <v>1169</v>
      </c>
      <c r="P37" s="349" t="s">
        <v>1256</v>
      </c>
      <c r="Q37" s="349" t="s">
        <v>214</v>
      </c>
      <c r="R37" s="349" t="s">
        <v>1257</v>
      </c>
      <c r="S37" s="350" t="s">
        <v>215</v>
      </c>
      <c r="T37" s="351" t="s">
        <v>1258</v>
      </c>
      <c r="U37" s="349" t="s">
        <v>1259</v>
      </c>
      <c r="V37" s="349" t="s">
        <v>1260</v>
      </c>
      <c r="W37" s="352"/>
      <c r="X37" s="312"/>
      <c r="Y37" s="312"/>
    </row>
    <row r="38" spans="1:25" s="111" customFormat="1" ht="18" customHeight="1" x14ac:dyDescent="0.3">
      <c r="A38" s="26"/>
      <c r="B38" s="144" t="s">
        <v>1188</v>
      </c>
      <c r="C38" s="145" t="s">
        <v>123</v>
      </c>
      <c r="D38" s="145" t="s">
        <v>127</v>
      </c>
      <c r="E38" s="145" t="s">
        <v>149</v>
      </c>
      <c r="F38" s="224">
        <v>11450</v>
      </c>
      <c r="G38" s="145">
        <v>0</v>
      </c>
      <c r="H38" s="145">
        <v>4157900</v>
      </c>
      <c r="I38" s="176" t="s">
        <v>8</v>
      </c>
      <c r="J38" s="129" t="str">
        <f t="shared" si="0"/>
        <v>Fact 11268</v>
      </c>
      <c r="K38" s="129" t="str">
        <f t="shared" si="1"/>
        <v xml:space="preserve">Panaderia La Franchuteria                    </v>
      </c>
      <c r="L38" s="155" t="s">
        <v>754</v>
      </c>
      <c r="M38" s="97"/>
      <c r="N38" s="97"/>
      <c r="O38" s="353" t="s">
        <v>1169</v>
      </c>
      <c r="P38" s="349" t="s">
        <v>1261</v>
      </c>
      <c r="Q38" s="349" t="s">
        <v>1262</v>
      </c>
      <c r="R38" s="349" t="s">
        <v>1263</v>
      </c>
      <c r="S38" s="350" t="s">
        <v>1264</v>
      </c>
      <c r="T38" s="351" t="s">
        <v>1265</v>
      </c>
      <c r="U38" s="349" t="s">
        <v>1259</v>
      </c>
      <c r="V38" s="349" t="s">
        <v>1266</v>
      </c>
      <c r="W38" s="352"/>
      <c r="X38" s="312"/>
      <c r="Y38" s="193"/>
    </row>
    <row r="39" spans="1:25" s="111" customFormat="1" ht="18" customHeight="1" x14ac:dyDescent="0.3">
      <c r="A39" s="26"/>
      <c r="B39" s="144" t="s">
        <v>1188</v>
      </c>
      <c r="C39" s="145" t="s">
        <v>123</v>
      </c>
      <c r="D39" s="145" t="s">
        <v>124</v>
      </c>
      <c r="E39" s="145" t="s">
        <v>149</v>
      </c>
      <c r="F39" s="224">
        <v>79326</v>
      </c>
      <c r="G39" s="145">
        <v>0</v>
      </c>
      <c r="H39" s="145">
        <v>4169350</v>
      </c>
      <c r="I39" s="176" t="s">
        <v>170</v>
      </c>
      <c r="J39" s="129" t="str">
        <f t="shared" si="0"/>
        <v>Pago Web pascualandino.cl</v>
      </c>
      <c r="K39" s="129" t="str">
        <f t="shared" si="1"/>
        <v xml:space="preserve">Sergio Zamora                                </v>
      </c>
      <c r="L39" s="155"/>
      <c r="M39" s="97"/>
      <c r="N39" s="97"/>
      <c r="O39" s="353" t="s">
        <v>1170</v>
      </c>
      <c r="P39" s="349" t="s">
        <v>1267</v>
      </c>
      <c r="Q39" s="349" t="s">
        <v>1268</v>
      </c>
      <c r="R39" s="349" t="s">
        <v>1269</v>
      </c>
      <c r="S39" s="350" t="s">
        <v>1270</v>
      </c>
      <c r="T39" s="351" t="s">
        <v>1271</v>
      </c>
      <c r="U39" s="349" t="s">
        <v>1259</v>
      </c>
      <c r="V39" s="349" t="s">
        <v>1272</v>
      </c>
      <c r="W39" s="352"/>
      <c r="X39" s="312"/>
      <c r="Y39" s="193"/>
    </row>
    <row r="40" spans="1:25" s="111" customFormat="1" ht="18" customHeight="1" x14ac:dyDescent="0.3">
      <c r="A40" s="26"/>
      <c r="B40" s="144" t="s">
        <v>1189</v>
      </c>
      <c r="C40" s="145" t="s">
        <v>123</v>
      </c>
      <c r="D40" s="145" t="s">
        <v>127</v>
      </c>
      <c r="E40" s="145" t="s">
        <v>149</v>
      </c>
      <c r="F40" s="224">
        <v>150000</v>
      </c>
      <c r="G40" s="145">
        <v>0</v>
      </c>
      <c r="H40" s="145">
        <v>7406859</v>
      </c>
      <c r="I40" s="176" t="s">
        <v>30</v>
      </c>
      <c r="J40" s="129" t="str">
        <f t="shared" si="0"/>
        <v>Sueldo Nov 19</v>
      </c>
      <c r="K40" s="129" t="str">
        <f t="shared" si="1"/>
        <v xml:space="preserve">Ana Cruz Varas                               </v>
      </c>
      <c r="L40" s="155"/>
      <c r="M40" s="97"/>
      <c r="N40" s="97"/>
      <c r="O40" s="353" t="s">
        <v>1273</v>
      </c>
      <c r="P40" s="349" t="s">
        <v>1274</v>
      </c>
      <c r="Q40" s="349" t="s">
        <v>1275</v>
      </c>
      <c r="R40" s="349" t="s">
        <v>1276</v>
      </c>
      <c r="S40" s="350" t="s">
        <v>1277</v>
      </c>
      <c r="T40" s="351" t="s">
        <v>1278</v>
      </c>
      <c r="U40" s="349" t="s">
        <v>1259</v>
      </c>
      <c r="V40" s="349" t="s">
        <v>1279</v>
      </c>
      <c r="W40" s="352"/>
      <c r="Y40" s="193"/>
    </row>
    <row r="41" spans="1:25" s="111" customFormat="1" ht="18" customHeight="1" x14ac:dyDescent="0.3">
      <c r="A41" s="26"/>
      <c r="B41" s="144" t="s">
        <v>1189</v>
      </c>
      <c r="C41" s="145" t="s">
        <v>123</v>
      </c>
      <c r="D41" s="145" t="s">
        <v>124</v>
      </c>
      <c r="E41" s="145" t="s">
        <v>149</v>
      </c>
      <c r="F41" s="224">
        <v>96000</v>
      </c>
      <c r="G41" s="145">
        <v>0</v>
      </c>
      <c r="H41" s="145">
        <v>7556859</v>
      </c>
      <c r="I41" s="176" t="s">
        <v>30</v>
      </c>
      <c r="J41" s="129" t="str">
        <f t="shared" si="0"/>
        <v>Sueldo Nov 19</v>
      </c>
      <c r="K41" s="129" t="str">
        <f t="shared" si="1"/>
        <v xml:space="preserve">Flavio Gutierrez                             </v>
      </c>
      <c r="L41" s="155"/>
      <c r="M41" s="97"/>
      <c r="N41" s="97"/>
      <c r="O41" s="353" t="s">
        <v>1280</v>
      </c>
      <c r="P41" s="349" t="s">
        <v>1281</v>
      </c>
      <c r="Q41" s="349" t="s">
        <v>1268</v>
      </c>
      <c r="R41" s="349" t="s">
        <v>1269</v>
      </c>
      <c r="S41" s="350" t="s">
        <v>1270</v>
      </c>
      <c r="T41" s="351" t="s">
        <v>1282</v>
      </c>
      <c r="U41" s="349" t="s">
        <v>1259</v>
      </c>
      <c r="V41" s="349" t="s">
        <v>1272</v>
      </c>
      <c r="W41" s="352"/>
      <c r="Y41" s="193"/>
    </row>
    <row r="42" spans="1:25" s="111" customFormat="1" ht="18" customHeight="1" x14ac:dyDescent="0.3">
      <c r="A42" s="26"/>
      <c r="B42" s="144" t="s">
        <v>1189</v>
      </c>
      <c r="C42" s="145" t="s">
        <v>123</v>
      </c>
      <c r="D42" s="145" t="s">
        <v>124</v>
      </c>
      <c r="E42" s="145" t="s">
        <v>149</v>
      </c>
      <c r="F42" s="224">
        <v>552939</v>
      </c>
      <c r="G42" s="145">
        <v>0</v>
      </c>
      <c r="H42" s="145">
        <v>7652859</v>
      </c>
      <c r="I42" s="176" t="s">
        <v>30</v>
      </c>
      <c r="J42" s="129" t="str">
        <f t="shared" si="0"/>
        <v>Sueldo Nov 19</v>
      </c>
      <c r="K42" s="129" t="str">
        <f t="shared" si="1"/>
        <v xml:space="preserve">Alexi Muchairo Manu                          </v>
      </c>
      <c r="L42" s="155"/>
      <c r="M42" s="97"/>
      <c r="N42" s="97"/>
      <c r="O42" s="353" t="s">
        <v>1187</v>
      </c>
      <c r="P42" s="349" t="s">
        <v>1283</v>
      </c>
      <c r="Q42" s="349" t="s">
        <v>163</v>
      </c>
      <c r="R42" s="349" t="s">
        <v>1284</v>
      </c>
      <c r="S42" s="350" t="s">
        <v>1285</v>
      </c>
      <c r="T42" s="351" t="s">
        <v>1286</v>
      </c>
      <c r="U42" s="349" t="s">
        <v>1259</v>
      </c>
      <c r="V42" s="349" t="s">
        <v>1287</v>
      </c>
      <c r="W42" s="352"/>
      <c r="Y42" s="193"/>
    </row>
    <row r="43" spans="1:25" s="111" customFormat="1" ht="18" customHeight="1" x14ac:dyDescent="0.3">
      <c r="A43" s="26"/>
      <c r="B43" s="144" t="s">
        <v>1189</v>
      </c>
      <c r="C43" s="145" t="s">
        <v>123</v>
      </c>
      <c r="D43" s="145" t="s">
        <v>124</v>
      </c>
      <c r="E43" s="145" t="s">
        <v>149</v>
      </c>
      <c r="F43" s="224">
        <v>476413</v>
      </c>
      <c r="G43" s="145">
        <v>0</v>
      </c>
      <c r="H43" s="145">
        <v>8205798</v>
      </c>
      <c r="I43" s="176" t="s">
        <v>30</v>
      </c>
      <c r="J43" s="129" t="str">
        <f t="shared" si="0"/>
        <v>Sueldo Nov 19</v>
      </c>
      <c r="K43" s="129" t="str">
        <f t="shared" si="1"/>
        <v xml:space="preserve">Juany Estelo Cruz                            </v>
      </c>
      <c r="L43" s="155"/>
      <c r="M43" s="97"/>
      <c r="N43" s="97"/>
      <c r="O43" s="353" t="s">
        <v>1188</v>
      </c>
      <c r="P43" s="349" t="s">
        <v>1288</v>
      </c>
      <c r="Q43" s="349" t="s">
        <v>163</v>
      </c>
      <c r="R43" s="349" t="s">
        <v>1284</v>
      </c>
      <c r="S43" s="350" t="s">
        <v>1285</v>
      </c>
      <c r="T43" s="351" t="s">
        <v>1286</v>
      </c>
      <c r="U43" s="349" t="s">
        <v>1259</v>
      </c>
      <c r="V43" s="349" t="s">
        <v>1287</v>
      </c>
      <c r="W43" s="352"/>
      <c r="Y43" s="193"/>
    </row>
    <row r="44" spans="1:25" s="111" customFormat="1" ht="18" customHeight="1" x14ac:dyDescent="0.3">
      <c r="A44" s="26"/>
      <c r="B44" s="144" t="s">
        <v>1189</v>
      </c>
      <c r="C44" s="145" t="s">
        <v>123</v>
      </c>
      <c r="D44" s="145" t="s">
        <v>124</v>
      </c>
      <c r="E44" s="145" t="s">
        <v>149</v>
      </c>
      <c r="F44" s="224">
        <v>163787</v>
      </c>
      <c r="G44" s="145">
        <v>0</v>
      </c>
      <c r="H44" s="145">
        <v>8682211</v>
      </c>
      <c r="I44" s="176" t="s">
        <v>30</v>
      </c>
      <c r="J44" s="129" t="str">
        <f t="shared" si="0"/>
        <v>Sueldo Nov 19</v>
      </c>
      <c r="K44" s="129" t="str">
        <f t="shared" si="1"/>
        <v xml:space="preserve">Ana Cruz Varas                               </v>
      </c>
      <c r="L44" s="155"/>
      <c r="M44" s="97"/>
      <c r="N44" s="97"/>
      <c r="O44" s="353" t="s">
        <v>1188</v>
      </c>
      <c r="P44" s="349" t="s">
        <v>1289</v>
      </c>
      <c r="Q44" s="349" t="s">
        <v>163</v>
      </c>
      <c r="R44" s="349" t="s">
        <v>1284</v>
      </c>
      <c r="S44" s="350" t="s">
        <v>1285</v>
      </c>
      <c r="T44" s="351" t="s">
        <v>1286</v>
      </c>
      <c r="U44" s="349" t="s">
        <v>1259</v>
      </c>
      <c r="V44" s="349" t="s">
        <v>1287</v>
      </c>
      <c r="W44" s="352"/>
      <c r="Y44" s="193"/>
    </row>
    <row r="45" spans="1:25" s="111" customFormat="1" ht="18" customHeight="1" x14ac:dyDescent="0.3">
      <c r="A45" s="26"/>
      <c r="B45" s="144" t="s">
        <v>1189</v>
      </c>
      <c r="C45" s="145" t="s">
        <v>123</v>
      </c>
      <c r="D45" s="145" t="s">
        <v>124</v>
      </c>
      <c r="E45" s="145" t="s">
        <v>149</v>
      </c>
      <c r="F45" s="224">
        <v>501240</v>
      </c>
      <c r="G45" s="145">
        <v>0</v>
      </c>
      <c r="H45" s="145">
        <v>8845998</v>
      </c>
      <c r="I45" s="176" t="s">
        <v>30</v>
      </c>
      <c r="J45" s="129" t="str">
        <f t="shared" si="0"/>
        <v>Sueldo Nov 19</v>
      </c>
      <c r="K45" s="129" t="str">
        <f t="shared" si="1"/>
        <v xml:space="preserve">Silvia Perez Ibarra                          </v>
      </c>
      <c r="L45" s="155"/>
      <c r="M45" s="97"/>
      <c r="N45" s="97"/>
      <c r="O45" s="214"/>
      <c r="P45" s="211"/>
      <c r="Q45" s="211"/>
      <c r="R45" s="211"/>
      <c r="S45" s="212"/>
      <c r="T45" s="215"/>
      <c r="U45" s="211"/>
      <c r="V45" s="211"/>
      <c r="W45" s="213"/>
      <c r="Y45" s="193"/>
    </row>
    <row r="46" spans="1:25" s="111" customFormat="1" ht="18" customHeight="1" x14ac:dyDescent="0.3">
      <c r="A46" s="26"/>
      <c r="B46" s="144" t="s">
        <v>1189</v>
      </c>
      <c r="C46" s="145" t="s">
        <v>123</v>
      </c>
      <c r="D46" s="145" t="s">
        <v>124</v>
      </c>
      <c r="E46" s="145" t="s">
        <v>149</v>
      </c>
      <c r="F46" s="224">
        <v>272000</v>
      </c>
      <c r="G46" s="145">
        <v>0</v>
      </c>
      <c r="H46" s="145">
        <v>9347238</v>
      </c>
      <c r="I46" s="176" t="s">
        <v>30</v>
      </c>
      <c r="J46" s="129" t="str">
        <f t="shared" si="0"/>
        <v>Sueldo Nov 19</v>
      </c>
      <c r="K46" s="129" t="str">
        <f t="shared" si="1"/>
        <v xml:space="preserve">Zulma Cardozo                                </v>
      </c>
      <c r="L46" s="155"/>
      <c r="M46" s="97"/>
      <c r="N46" s="97"/>
      <c r="O46" s="214"/>
      <c r="P46" s="211"/>
      <c r="Q46" s="211"/>
      <c r="R46" s="211"/>
      <c r="S46" s="212"/>
      <c r="T46" s="215"/>
      <c r="U46" s="211"/>
      <c r="V46" s="211"/>
      <c r="W46" s="213"/>
    </row>
    <row r="47" spans="1:25" s="111" customFormat="1" ht="18" customHeight="1" x14ac:dyDescent="0.3">
      <c r="A47" s="26"/>
      <c r="B47" s="144" t="s">
        <v>1189</v>
      </c>
      <c r="C47" s="145" t="s">
        <v>123</v>
      </c>
      <c r="D47" s="145" t="s">
        <v>124</v>
      </c>
      <c r="E47" s="145" t="s">
        <v>149</v>
      </c>
      <c r="F47" s="224">
        <v>176000</v>
      </c>
      <c r="G47" s="145">
        <v>0</v>
      </c>
      <c r="H47" s="145">
        <v>9619238</v>
      </c>
      <c r="I47" s="176" t="s">
        <v>30</v>
      </c>
      <c r="J47" s="129" t="str">
        <f t="shared" si="0"/>
        <v>Sueldo Nov 19</v>
      </c>
      <c r="K47" s="129" t="str">
        <f t="shared" si="1"/>
        <v xml:space="preserve">Nathalia Correa                              </v>
      </c>
      <c r="L47" s="155"/>
      <c r="M47" s="155"/>
      <c r="N47" s="97"/>
      <c r="O47" s="214"/>
      <c r="P47" s="211"/>
      <c r="Q47" s="211"/>
      <c r="R47" s="211"/>
      <c r="S47" s="212"/>
      <c r="T47" s="215"/>
      <c r="U47" s="211"/>
      <c r="V47" s="211"/>
      <c r="W47" s="213"/>
    </row>
    <row r="48" spans="1:25" s="111" customFormat="1" ht="18" customHeight="1" x14ac:dyDescent="0.3">
      <c r="A48" s="26"/>
      <c r="B48" s="144" t="s">
        <v>1189</v>
      </c>
      <c r="C48" s="145" t="s">
        <v>123</v>
      </c>
      <c r="D48" s="145" t="s">
        <v>124</v>
      </c>
      <c r="E48" s="145" t="s">
        <v>149</v>
      </c>
      <c r="F48" s="224">
        <v>1301980</v>
      </c>
      <c r="G48" s="145">
        <v>0</v>
      </c>
      <c r="H48" s="145">
        <v>9795238</v>
      </c>
      <c r="I48" s="176" t="s">
        <v>30</v>
      </c>
      <c r="J48" s="129" t="str">
        <f t="shared" si="0"/>
        <v>Sueldo Nov 19</v>
      </c>
      <c r="K48" s="129" t="str">
        <f t="shared" si="1"/>
        <v xml:space="preserve">Angelica Ramirez Muñoz                       </v>
      </c>
      <c r="L48" s="155"/>
      <c r="M48" s="155"/>
      <c r="N48" s="97"/>
      <c r="O48" s="214"/>
      <c r="P48" s="211"/>
      <c r="Q48" s="211"/>
      <c r="R48" s="211"/>
      <c r="S48" s="212"/>
      <c r="T48" s="215"/>
      <c r="U48" s="211"/>
      <c r="V48" s="211"/>
      <c r="W48" s="213"/>
    </row>
    <row r="49" spans="1:23" s="130" customFormat="1" ht="18" customHeight="1" x14ac:dyDescent="0.3">
      <c r="A49" s="26"/>
      <c r="B49" s="144" t="s">
        <v>1189</v>
      </c>
      <c r="C49" s="145" t="s">
        <v>123</v>
      </c>
      <c r="D49" s="145" t="s">
        <v>124</v>
      </c>
      <c r="E49" s="145" t="s">
        <v>149</v>
      </c>
      <c r="F49" s="224">
        <v>1000106</v>
      </c>
      <c r="G49" s="145">
        <v>0</v>
      </c>
      <c r="H49" s="145">
        <v>11097218</v>
      </c>
      <c r="I49" s="176" t="s">
        <v>30</v>
      </c>
      <c r="J49" s="129" t="str">
        <f t="shared" si="0"/>
        <v>Sueldo Nov 19</v>
      </c>
      <c r="K49" s="129" t="str">
        <f t="shared" si="1"/>
        <v xml:space="preserve">Camila Aranguiz                              </v>
      </c>
      <c r="L49" s="155"/>
      <c r="M49" s="155"/>
      <c r="N49" s="97"/>
      <c r="O49" s="214"/>
      <c r="P49" s="211"/>
      <c r="Q49" s="211"/>
      <c r="R49" s="211"/>
      <c r="S49" s="212"/>
      <c r="T49" s="215"/>
      <c r="U49" s="211"/>
      <c r="V49" s="211"/>
      <c r="W49" s="213"/>
    </row>
    <row r="50" spans="1:23" s="130" customFormat="1" ht="18" customHeight="1" x14ac:dyDescent="0.3">
      <c r="A50" s="26"/>
      <c r="B50" s="144" t="s">
        <v>1189</v>
      </c>
      <c r="C50" s="145" t="s">
        <v>123</v>
      </c>
      <c r="D50" s="145" t="s">
        <v>124</v>
      </c>
      <c r="E50" s="145" t="s">
        <v>149</v>
      </c>
      <c r="F50" s="224">
        <v>599487</v>
      </c>
      <c r="G50" s="145">
        <v>0</v>
      </c>
      <c r="H50" s="145">
        <v>12097324</v>
      </c>
      <c r="I50" s="176" t="s">
        <v>30</v>
      </c>
      <c r="J50" s="129" t="str">
        <f t="shared" si="0"/>
        <v>Sueldo Nov 19</v>
      </c>
      <c r="K50" s="129" t="str">
        <f t="shared" si="1"/>
        <v xml:space="preserve">Leticia Alessi                               </v>
      </c>
      <c r="L50" s="155"/>
      <c r="M50" s="155"/>
      <c r="N50" s="97"/>
      <c r="O50" s="214"/>
      <c r="P50" s="211"/>
      <c r="Q50" s="211"/>
      <c r="R50" s="211"/>
      <c r="S50" s="212"/>
      <c r="T50" s="215"/>
      <c r="U50" s="211"/>
      <c r="V50" s="211"/>
      <c r="W50" s="213"/>
    </row>
    <row r="51" spans="1:23" s="130" customFormat="1" ht="18" customHeight="1" x14ac:dyDescent="0.3">
      <c r="A51" s="26"/>
      <c r="B51" s="144" t="s">
        <v>1189</v>
      </c>
      <c r="C51" s="145" t="s">
        <v>123</v>
      </c>
      <c r="D51" s="145" t="s">
        <v>124</v>
      </c>
      <c r="E51" s="145" t="s">
        <v>149</v>
      </c>
      <c r="F51" s="224">
        <v>462889</v>
      </c>
      <c r="G51" s="145">
        <v>0</v>
      </c>
      <c r="H51" s="145">
        <v>12696811</v>
      </c>
      <c r="I51" s="176" t="s">
        <v>30</v>
      </c>
      <c r="J51" s="129" t="str">
        <f t="shared" si="0"/>
        <v>Sueldo Nov 19</v>
      </c>
      <c r="K51" s="129" t="str">
        <f t="shared" si="1"/>
        <v xml:space="preserve">Norma Gavia                                  </v>
      </c>
      <c r="L51" s="155"/>
      <c r="M51" s="155"/>
      <c r="N51" s="97"/>
      <c r="O51" s="214"/>
      <c r="P51" s="211"/>
      <c r="Q51" s="211"/>
      <c r="R51" s="211"/>
      <c r="S51" s="212"/>
      <c r="T51" s="215"/>
      <c r="U51" s="211"/>
      <c r="V51" s="211"/>
      <c r="W51" s="213"/>
    </row>
    <row r="52" spans="1:23" s="130" customFormat="1" ht="18" customHeight="1" x14ac:dyDescent="0.3">
      <c r="A52" s="26"/>
      <c r="B52" s="144" t="s">
        <v>1189</v>
      </c>
      <c r="C52" s="145" t="s">
        <v>123</v>
      </c>
      <c r="D52" s="145" t="s">
        <v>124</v>
      </c>
      <c r="E52" s="145" t="s">
        <v>149</v>
      </c>
      <c r="F52" s="224">
        <v>612850</v>
      </c>
      <c r="G52" s="145">
        <v>0</v>
      </c>
      <c r="H52" s="145">
        <v>13159700</v>
      </c>
      <c r="I52" s="176" t="s">
        <v>30</v>
      </c>
      <c r="J52" s="129" t="str">
        <f t="shared" si="0"/>
        <v>Sueldo Nov 19</v>
      </c>
      <c r="K52" s="129" t="str">
        <f t="shared" si="1"/>
        <v xml:space="preserve">Carlos Moscoso                               </v>
      </c>
      <c r="L52" s="155"/>
      <c r="M52" s="155"/>
      <c r="N52" s="97"/>
      <c r="O52" s="214"/>
      <c r="P52" s="211"/>
      <c r="Q52" s="211"/>
      <c r="R52" s="211"/>
      <c r="S52" s="212"/>
      <c r="T52" s="215"/>
      <c r="U52" s="211"/>
      <c r="V52" s="211"/>
      <c r="W52" s="213"/>
    </row>
    <row r="53" spans="1:23" s="130" customFormat="1" ht="18" customHeight="1" x14ac:dyDescent="0.3">
      <c r="A53" s="26"/>
      <c r="B53" s="144" t="s">
        <v>1189</v>
      </c>
      <c r="C53" s="145" t="s">
        <v>123</v>
      </c>
      <c r="D53" s="145" t="s">
        <v>124</v>
      </c>
      <c r="E53" s="145" t="s">
        <v>149</v>
      </c>
      <c r="F53" s="224">
        <v>48000</v>
      </c>
      <c r="G53" s="145">
        <v>0</v>
      </c>
      <c r="H53" s="145">
        <v>13772550</v>
      </c>
      <c r="I53" s="176" t="s">
        <v>30</v>
      </c>
      <c r="J53" s="129" t="str">
        <f t="shared" si="0"/>
        <v>Sueldo Nov 19</v>
      </c>
      <c r="K53" s="129" t="str">
        <f t="shared" si="1"/>
        <v xml:space="preserve">Nilda Ccama Ayma                             </v>
      </c>
      <c r="L53" s="155"/>
      <c r="M53" s="155"/>
      <c r="N53" s="97"/>
      <c r="O53" s="193"/>
      <c r="P53" s="193"/>
      <c r="Q53" s="193"/>
      <c r="R53" s="193"/>
      <c r="S53" s="193"/>
      <c r="T53" s="193"/>
      <c r="U53" s="193"/>
      <c r="V53" s="193"/>
      <c r="W53" s="193"/>
    </row>
    <row r="54" spans="1:23" s="130" customFormat="1" ht="18" customHeight="1" x14ac:dyDescent="0.3">
      <c r="A54" s="26"/>
      <c r="B54" s="144" t="s">
        <v>1189</v>
      </c>
      <c r="C54" s="145" t="s">
        <v>123</v>
      </c>
      <c r="D54" s="145" t="s">
        <v>124</v>
      </c>
      <c r="E54" s="145" t="s">
        <v>149</v>
      </c>
      <c r="F54" s="224">
        <v>229350</v>
      </c>
      <c r="G54" s="145">
        <v>0</v>
      </c>
      <c r="H54" s="145">
        <v>13820550</v>
      </c>
      <c r="I54" s="176" t="s">
        <v>30</v>
      </c>
      <c r="J54" s="129" t="str">
        <f t="shared" si="0"/>
        <v>Sueldo Nov 19</v>
      </c>
      <c r="K54" s="129" t="str">
        <f t="shared" si="1"/>
        <v xml:space="preserve">Luis Arias                                   </v>
      </c>
      <c r="L54" s="155"/>
      <c r="M54" s="155"/>
      <c r="N54" s="97"/>
      <c r="O54" s="193"/>
      <c r="P54" s="193"/>
      <c r="Q54" s="193"/>
      <c r="R54" s="193"/>
      <c r="S54" s="193"/>
      <c r="T54" s="193"/>
      <c r="U54" s="193"/>
      <c r="V54" s="193"/>
      <c r="W54" s="193"/>
    </row>
    <row r="55" spans="1:23" s="130" customFormat="1" ht="18" customHeight="1" x14ac:dyDescent="0.3">
      <c r="A55" s="26"/>
      <c r="B55" s="144" t="s">
        <v>1189</v>
      </c>
      <c r="C55" s="145" t="s">
        <v>123</v>
      </c>
      <c r="D55" s="145" t="s">
        <v>124</v>
      </c>
      <c r="E55" s="145" t="s">
        <v>149</v>
      </c>
      <c r="F55" s="224">
        <v>108000</v>
      </c>
      <c r="G55" s="145">
        <v>0</v>
      </c>
      <c r="H55" s="145">
        <v>14049900</v>
      </c>
      <c r="I55" s="176" t="s">
        <v>30</v>
      </c>
      <c r="J55" s="129" t="str">
        <f t="shared" si="0"/>
        <v>Sueldo Nov 19</v>
      </c>
      <c r="K55" s="129" t="str">
        <f t="shared" si="1"/>
        <v xml:space="preserve">Ivan Vilacagua                               </v>
      </c>
      <c r="L55" s="155"/>
      <c r="M55" s="155"/>
      <c r="N55" s="97"/>
      <c r="O55" s="193"/>
      <c r="P55" s="193"/>
      <c r="Q55" s="193"/>
      <c r="R55" s="193"/>
      <c r="S55" s="193"/>
      <c r="T55" s="193"/>
      <c r="U55" s="193"/>
      <c r="V55" s="193"/>
      <c r="W55" s="193"/>
    </row>
    <row r="56" spans="1:23" s="130" customFormat="1" ht="18" customHeight="1" x14ac:dyDescent="0.3">
      <c r="A56" s="26"/>
      <c r="B56" s="144" t="s">
        <v>1189</v>
      </c>
      <c r="C56" s="145" t="s">
        <v>123</v>
      </c>
      <c r="D56" s="145" t="s">
        <v>128</v>
      </c>
      <c r="E56" s="145" t="s">
        <v>149</v>
      </c>
      <c r="F56" s="224">
        <v>0</v>
      </c>
      <c r="G56" s="145">
        <v>5000000</v>
      </c>
      <c r="H56" s="145">
        <v>14157900</v>
      </c>
      <c r="I56" s="176" t="s">
        <v>135</v>
      </c>
      <c r="J56" s="129" t="str">
        <f t="shared" si="0"/>
        <v/>
      </c>
      <c r="K56" s="129" t="str">
        <f t="shared" si="1"/>
        <v/>
      </c>
      <c r="L56" s="155"/>
      <c r="M56" s="155"/>
      <c r="N56" s="97"/>
      <c r="O56" s="193"/>
      <c r="P56" s="193"/>
      <c r="Q56" s="193"/>
      <c r="R56" s="193"/>
      <c r="S56" s="193"/>
      <c r="T56" s="193"/>
      <c r="U56" s="193"/>
      <c r="V56" s="193"/>
      <c r="W56" s="193"/>
    </row>
    <row r="57" spans="1:23" s="193" customFormat="1" ht="18" customHeight="1" x14ac:dyDescent="0.3">
      <c r="A57" s="26"/>
      <c r="B57" s="144" t="s">
        <v>1189</v>
      </c>
      <c r="C57" s="145" t="s">
        <v>123</v>
      </c>
      <c r="D57" s="145" t="s">
        <v>128</v>
      </c>
      <c r="E57" s="145" t="s">
        <v>149</v>
      </c>
      <c r="F57" s="224">
        <v>0</v>
      </c>
      <c r="G57" s="145">
        <v>5000000</v>
      </c>
      <c r="H57" s="145">
        <v>9157900</v>
      </c>
      <c r="I57" s="176" t="s">
        <v>135</v>
      </c>
      <c r="J57" s="129" t="str">
        <f t="shared" si="0"/>
        <v/>
      </c>
      <c r="K57" s="129" t="str">
        <f t="shared" si="1"/>
        <v/>
      </c>
      <c r="L57" s="155"/>
      <c r="M57" s="155"/>
      <c r="N57" s="97"/>
    </row>
    <row r="58" spans="1:23" s="193" customFormat="1" ht="18" customHeight="1" x14ac:dyDescent="0.3">
      <c r="A58" s="26"/>
      <c r="B58" s="144"/>
      <c r="C58" s="145"/>
      <c r="D58" s="145"/>
      <c r="E58" s="145"/>
      <c r="F58" s="224"/>
      <c r="G58" s="145"/>
      <c r="H58" s="145"/>
      <c r="I58" s="176"/>
      <c r="J58" s="129" t="str">
        <f t="shared" si="0"/>
        <v/>
      </c>
      <c r="K58" s="129" t="str">
        <f t="shared" si="1"/>
        <v/>
      </c>
      <c r="L58" s="155"/>
      <c r="M58" s="155"/>
      <c r="N58" s="97"/>
    </row>
    <row r="59" spans="1:23" s="193" customFormat="1" ht="18" customHeight="1" x14ac:dyDescent="0.3">
      <c r="A59" s="26"/>
      <c r="B59" s="144"/>
      <c r="C59" s="145"/>
      <c r="D59" s="145"/>
      <c r="E59" s="145"/>
      <c r="F59" s="224"/>
      <c r="G59" s="145"/>
      <c r="H59" s="145"/>
      <c r="I59" s="176"/>
      <c r="J59" s="129" t="str">
        <f t="shared" si="0"/>
        <v/>
      </c>
      <c r="K59" s="129" t="str">
        <f t="shared" si="1"/>
        <v/>
      </c>
      <c r="L59" s="155"/>
      <c r="M59" s="155"/>
      <c r="N59" s="97"/>
    </row>
    <row r="60" spans="1:23" s="193" customFormat="1" ht="18" customHeight="1" x14ac:dyDescent="0.3">
      <c r="A60" s="26"/>
      <c r="B60" s="144"/>
      <c r="C60" s="145"/>
      <c r="D60" s="145"/>
      <c r="E60" s="145"/>
      <c r="F60" s="224"/>
      <c r="G60" s="145"/>
      <c r="H60" s="145"/>
      <c r="I60" s="176"/>
      <c r="J60" s="129" t="str">
        <f t="shared" si="0"/>
        <v/>
      </c>
      <c r="K60" s="129" t="str">
        <f t="shared" si="1"/>
        <v/>
      </c>
      <c r="L60" s="155"/>
      <c r="M60" s="155"/>
      <c r="N60" s="97"/>
    </row>
    <row r="61" spans="1:23" s="193" customFormat="1" ht="18" customHeight="1" x14ac:dyDescent="0.3">
      <c r="A61" s="26"/>
      <c r="B61" s="144"/>
      <c r="C61" s="145"/>
      <c r="D61" s="145"/>
      <c r="E61" s="145"/>
      <c r="F61" s="224"/>
      <c r="G61" s="145"/>
      <c r="H61" s="145"/>
      <c r="I61" s="176"/>
      <c r="J61" s="129" t="str">
        <f t="shared" si="0"/>
        <v/>
      </c>
      <c r="K61" s="129" t="str">
        <f t="shared" si="1"/>
        <v/>
      </c>
      <c r="L61" s="155"/>
      <c r="M61" s="155"/>
      <c r="N61" s="97"/>
    </row>
    <row r="62" spans="1:23" s="193" customFormat="1" ht="18" customHeight="1" x14ac:dyDescent="0.3">
      <c r="A62" s="26"/>
      <c r="B62" s="144"/>
      <c r="C62" s="145"/>
      <c r="D62" s="145"/>
      <c r="E62" s="145"/>
      <c r="F62" s="224"/>
      <c r="G62" s="145"/>
      <c r="H62" s="145"/>
      <c r="I62" s="176"/>
      <c r="J62" s="129" t="str">
        <f t="shared" si="0"/>
        <v/>
      </c>
      <c r="K62" s="129" t="str">
        <f t="shared" si="1"/>
        <v/>
      </c>
      <c r="L62" s="155"/>
      <c r="M62" s="155"/>
      <c r="N62" s="97"/>
    </row>
    <row r="63" spans="1:23" s="193" customFormat="1" ht="18" customHeight="1" x14ac:dyDescent="0.3">
      <c r="A63" s="26"/>
      <c r="B63" s="144"/>
      <c r="C63" s="145"/>
      <c r="D63" s="145"/>
      <c r="E63" s="145"/>
      <c r="F63" s="224"/>
      <c r="G63" s="145"/>
      <c r="H63" s="145"/>
      <c r="I63" s="176"/>
      <c r="J63" s="129" t="str">
        <f t="shared" si="0"/>
        <v/>
      </c>
      <c r="K63" s="129" t="str">
        <f t="shared" si="1"/>
        <v/>
      </c>
      <c r="L63" s="155"/>
      <c r="M63" s="97"/>
      <c r="N63" s="97"/>
    </row>
    <row r="64" spans="1:23" s="193" customFormat="1" ht="18" customHeight="1" x14ac:dyDescent="0.3">
      <c r="A64" s="26"/>
      <c r="B64" s="144"/>
      <c r="C64" s="145"/>
      <c r="D64" s="145"/>
      <c r="E64" s="145"/>
      <c r="F64" s="224"/>
      <c r="G64" s="145"/>
      <c r="H64" s="145"/>
      <c r="I64" s="176"/>
      <c r="J64" s="129" t="str">
        <f t="shared" si="0"/>
        <v/>
      </c>
      <c r="K64" s="129" t="str">
        <f t="shared" si="1"/>
        <v/>
      </c>
      <c r="L64" s="155"/>
      <c r="M64" s="97"/>
      <c r="N64" s="97"/>
    </row>
    <row r="65" spans="1:23" s="193" customFormat="1" ht="18" customHeight="1" x14ac:dyDescent="0.3">
      <c r="A65" s="26"/>
      <c r="B65" s="144"/>
      <c r="C65" s="145"/>
      <c r="D65" s="145"/>
      <c r="E65" s="145"/>
      <c r="F65" s="145"/>
      <c r="G65" s="145"/>
      <c r="H65" s="145"/>
      <c r="I65" s="176"/>
      <c r="J65" s="129" t="str">
        <f t="shared" si="0"/>
        <v/>
      </c>
      <c r="K65" s="129" t="str">
        <f t="shared" si="1"/>
        <v/>
      </c>
      <c r="L65" s="155"/>
      <c r="M65" s="97"/>
      <c r="N65" s="97"/>
    </row>
    <row r="66" spans="1:23" s="193" customFormat="1" ht="18" customHeight="1" x14ac:dyDescent="0.3">
      <c r="A66" s="26"/>
      <c r="B66" s="144"/>
      <c r="C66" s="145"/>
      <c r="D66" s="145"/>
      <c r="E66" s="145"/>
      <c r="F66" s="145"/>
      <c r="G66" s="145"/>
      <c r="H66" s="145"/>
      <c r="I66" s="176"/>
      <c r="J66" s="129" t="str">
        <f t="shared" si="0"/>
        <v/>
      </c>
      <c r="K66" s="129" t="str">
        <f t="shared" si="1"/>
        <v/>
      </c>
      <c r="L66" s="155"/>
      <c r="M66" s="97"/>
      <c r="N66" s="97"/>
    </row>
    <row r="67" spans="1:23" s="193" customFormat="1" ht="18" customHeight="1" x14ac:dyDescent="0.3">
      <c r="A67" s="26"/>
      <c r="B67" s="144"/>
      <c r="C67" s="145"/>
      <c r="D67" s="145"/>
      <c r="E67" s="145"/>
      <c r="F67" s="145"/>
      <c r="G67" s="145"/>
      <c r="H67" s="145"/>
      <c r="I67" s="176"/>
      <c r="J67" s="129" t="str">
        <f t="shared" si="0"/>
        <v/>
      </c>
      <c r="K67" s="129" t="str">
        <f t="shared" si="1"/>
        <v/>
      </c>
      <c r="L67" s="155"/>
      <c r="M67" s="97"/>
      <c r="N67" s="97"/>
    </row>
    <row r="68" spans="1:23" s="193" customFormat="1" ht="18" customHeight="1" x14ac:dyDescent="0.3">
      <c r="A68" s="26"/>
      <c r="B68" s="144"/>
      <c r="C68" s="145"/>
      <c r="D68" s="145"/>
      <c r="E68" s="145"/>
      <c r="F68" s="145"/>
      <c r="G68" s="145"/>
      <c r="H68" s="145"/>
      <c r="I68" s="176"/>
      <c r="J68" s="129" t="str">
        <f t="shared" ref="J68:J105" si="4">IFERROR(VLOOKUP(-F68,$T$3:$W$50,4,FALSE),"")</f>
        <v/>
      </c>
      <c r="K68" s="129" t="str">
        <f t="shared" ref="K68:K105" si="5">IFERROR(VLOOKUP(-F68,$T$3:$W$50,3,FALSE),"")</f>
        <v/>
      </c>
      <c r="L68" s="155"/>
      <c r="M68" s="97"/>
      <c r="N68" s="97"/>
    </row>
    <row r="69" spans="1:23" s="193" customFormat="1" ht="18" customHeight="1" x14ac:dyDescent="0.3">
      <c r="A69" s="26"/>
      <c r="B69" s="144"/>
      <c r="C69" s="145"/>
      <c r="D69" s="145"/>
      <c r="E69" s="145"/>
      <c r="F69" s="145"/>
      <c r="G69" s="145"/>
      <c r="H69" s="145"/>
      <c r="I69" s="176"/>
      <c r="J69" s="129" t="str">
        <f t="shared" si="4"/>
        <v/>
      </c>
      <c r="K69" s="129" t="str">
        <f t="shared" si="5"/>
        <v/>
      </c>
      <c r="L69" s="155"/>
      <c r="M69" s="97"/>
      <c r="N69" s="97"/>
    </row>
    <row r="70" spans="1:23" s="193" customFormat="1" ht="18" customHeight="1" x14ac:dyDescent="0.3">
      <c r="A70" s="26"/>
      <c r="B70" s="144"/>
      <c r="C70" s="145"/>
      <c r="D70" s="145"/>
      <c r="E70" s="145"/>
      <c r="F70" s="145"/>
      <c r="G70" s="145"/>
      <c r="H70" s="145"/>
      <c r="I70" s="176"/>
      <c r="J70" s="129" t="str">
        <f t="shared" si="4"/>
        <v/>
      </c>
      <c r="K70" s="129" t="str">
        <f t="shared" si="5"/>
        <v/>
      </c>
      <c r="L70" s="155"/>
      <c r="M70" s="97"/>
      <c r="N70" s="97"/>
    </row>
    <row r="71" spans="1:23" s="193" customFormat="1" ht="18" customHeight="1" x14ac:dyDescent="0.3">
      <c r="A71" s="26"/>
      <c r="B71" s="144"/>
      <c r="C71" s="145"/>
      <c r="D71" s="145"/>
      <c r="E71" s="145"/>
      <c r="F71" s="145"/>
      <c r="G71" s="145"/>
      <c r="H71" s="145"/>
      <c r="I71" s="176"/>
      <c r="J71" s="129" t="str">
        <f t="shared" si="4"/>
        <v/>
      </c>
      <c r="K71" s="129" t="str">
        <f t="shared" si="5"/>
        <v/>
      </c>
      <c r="L71" s="155"/>
      <c r="M71" s="97"/>
      <c r="N71" s="97"/>
    </row>
    <row r="72" spans="1:23" s="193" customFormat="1" ht="18" customHeight="1" x14ac:dyDescent="0.3">
      <c r="A72" s="26"/>
      <c r="B72" s="144"/>
      <c r="C72" s="145"/>
      <c r="D72" s="145"/>
      <c r="E72" s="145"/>
      <c r="F72" s="145"/>
      <c r="G72" s="145"/>
      <c r="H72" s="145"/>
      <c r="I72" s="176"/>
      <c r="J72" s="129" t="str">
        <f t="shared" si="4"/>
        <v/>
      </c>
      <c r="K72" s="129" t="str">
        <f t="shared" si="5"/>
        <v/>
      </c>
      <c r="L72" s="155"/>
      <c r="M72" s="97"/>
      <c r="N72" s="97"/>
    </row>
    <row r="73" spans="1:23" s="193" customFormat="1" ht="18" customHeight="1" x14ac:dyDescent="0.3">
      <c r="A73" s="26"/>
      <c r="B73" s="144"/>
      <c r="C73" s="145"/>
      <c r="D73" s="145"/>
      <c r="E73" s="145"/>
      <c r="F73" s="145"/>
      <c r="G73" s="145"/>
      <c r="H73" s="145"/>
      <c r="I73" s="176"/>
      <c r="J73" s="129" t="str">
        <f t="shared" si="4"/>
        <v/>
      </c>
      <c r="K73" s="129" t="str">
        <f t="shared" si="5"/>
        <v/>
      </c>
      <c r="L73" s="155"/>
      <c r="M73" s="97"/>
      <c r="N73" s="97"/>
    </row>
    <row r="74" spans="1:23" s="193" customFormat="1" ht="18" customHeight="1" x14ac:dyDescent="0.3">
      <c r="A74" s="26"/>
      <c r="B74" s="144"/>
      <c r="C74" s="145"/>
      <c r="D74" s="145"/>
      <c r="E74" s="145"/>
      <c r="F74" s="145"/>
      <c r="G74" s="145"/>
      <c r="H74" s="145"/>
      <c r="I74" s="176"/>
      <c r="J74" s="129" t="str">
        <f t="shared" si="4"/>
        <v/>
      </c>
      <c r="K74" s="129" t="str">
        <f t="shared" si="5"/>
        <v/>
      </c>
      <c r="L74" s="155"/>
      <c r="M74" s="97"/>
      <c r="N74" s="97"/>
    </row>
    <row r="75" spans="1:23" s="130" customFormat="1" ht="18" customHeight="1" x14ac:dyDescent="0.3">
      <c r="A75" s="26"/>
      <c r="B75" s="144"/>
      <c r="C75" s="145"/>
      <c r="D75" s="145"/>
      <c r="E75" s="145"/>
      <c r="F75" s="145"/>
      <c r="G75" s="145"/>
      <c r="H75" s="145"/>
      <c r="I75" s="176"/>
      <c r="J75" s="129" t="str">
        <f t="shared" si="4"/>
        <v/>
      </c>
      <c r="K75" s="129" t="str">
        <f t="shared" si="5"/>
        <v/>
      </c>
      <c r="L75" s="155"/>
      <c r="M75" s="97"/>
      <c r="N75" s="97"/>
      <c r="O75" s="193"/>
      <c r="P75" s="193"/>
      <c r="Q75" s="193"/>
      <c r="R75" s="193"/>
      <c r="S75" s="193"/>
      <c r="T75" s="193"/>
      <c r="U75" s="193"/>
      <c r="V75" s="193"/>
      <c r="W75" s="193"/>
    </row>
    <row r="76" spans="1:23" s="130" customFormat="1" ht="18" customHeight="1" x14ac:dyDescent="0.3">
      <c r="A76" s="26"/>
      <c r="B76" s="144"/>
      <c r="C76" s="145"/>
      <c r="D76" s="145"/>
      <c r="E76" s="145"/>
      <c r="F76" s="145"/>
      <c r="G76" s="145"/>
      <c r="H76" s="145"/>
      <c r="I76" s="176"/>
      <c r="J76" s="129" t="str">
        <f t="shared" si="4"/>
        <v/>
      </c>
      <c r="K76" s="129" t="str">
        <f t="shared" si="5"/>
        <v/>
      </c>
      <c r="L76" s="155"/>
      <c r="M76" s="97"/>
      <c r="N76" s="97"/>
      <c r="O76" s="193"/>
      <c r="P76" s="193"/>
      <c r="Q76" s="193"/>
      <c r="R76" s="193"/>
      <c r="S76" s="193"/>
      <c r="T76" s="193"/>
      <c r="U76" s="193"/>
      <c r="V76" s="193"/>
      <c r="W76" s="193"/>
    </row>
    <row r="77" spans="1:23" s="130" customFormat="1" ht="18" customHeight="1" x14ac:dyDescent="0.3">
      <c r="A77" s="26"/>
      <c r="B77" s="144"/>
      <c r="C77" s="145"/>
      <c r="D77" s="145"/>
      <c r="E77" s="145"/>
      <c r="F77" s="145"/>
      <c r="G77" s="145"/>
      <c r="H77" s="145"/>
      <c r="I77" s="176"/>
      <c r="J77" s="129" t="str">
        <f t="shared" si="4"/>
        <v/>
      </c>
      <c r="K77" s="129" t="str">
        <f t="shared" si="5"/>
        <v/>
      </c>
      <c r="L77" s="155"/>
      <c r="M77" s="97"/>
      <c r="N77" s="97"/>
      <c r="O77" s="193"/>
      <c r="P77" s="193"/>
      <c r="Q77" s="193"/>
      <c r="R77" s="193"/>
      <c r="S77" s="193"/>
      <c r="T77" s="193"/>
      <c r="U77" s="193"/>
      <c r="V77" s="193"/>
      <c r="W77" s="193"/>
    </row>
    <row r="78" spans="1:23" s="130" customFormat="1" ht="18" customHeight="1" x14ac:dyDescent="0.3">
      <c r="A78" s="26"/>
      <c r="B78" s="144"/>
      <c r="C78" s="145"/>
      <c r="D78" s="145"/>
      <c r="E78" s="145"/>
      <c r="F78" s="145"/>
      <c r="G78" s="145"/>
      <c r="H78" s="145"/>
      <c r="I78" s="176"/>
      <c r="J78" s="129" t="str">
        <f t="shared" si="4"/>
        <v/>
      </c>
      <c r="K78" s="129" t="str">
        <f t="shared" si="5"/>
        <v/>
      </c>
      <c r="L78" s="155"/>
      <c r="M78" s="97"/>
      <c r="N78" s="97"/>
      <c r="O78" s="193"/>
      <c r="P78" s="193"/>
      <c r="Q78" s="193"/>
      <c r="R78" s="193"/>
      <c r="S78" s="193"/>
      <c r="T78" s="193"/>
      <c r="U78" s="193"/>
      <c r="V78" s="193"/>
      <c r="W78" s="193"/>
    </row>
    <row r="79" spans="1:23" s="130" customFormat="1" ht="18" customHeight="1" x14ac:dyDescent="0.3">
      <c r="A79" s="26"/>
      <c r="B79" s="144"/>
      <c r="C79" s="145"/>
      <c r="D79" s="145"/>
      <c r="E79" s="145"/>
      <c r="F79" s="145"/>
      <c r="G79" s="145"/>
      <c r="H79" s="145"/>
      <c r="I79" s="176"/>
      <c r="J79" s="129" t="str">
        <f t="shared" si="4"/>
        <v/>
      </c>
      <c r="K79" s="129" t="str">
        <f t="shared" si="5"/>
        <v/>
      </c>
      <c r="L79" s="155"/>
      <c r="M79" s="97"/>
      <c r="N79" s="97"/>
      <c r="O79" s="193"/>
      <c r="P79" s="193"/>
      <c r="Q79" s="193"/>
      <c r="R79" s="193"/>
      <c r="S79" s="193"/>
      <c r="T79" s="193"/>
      <c r="U79" s="193"/>
      <c r="V79" s="193"/>
      <c r="W79" s="193"/>
    </row>
    <row r="80" spans="1:23" s="130" customFormat="1" ht="18" customHeight="1" x14ac:dyDescent="0.3">
      <c r="A80" s="26"/>
      <c r="B80" s="144"/>
      <c r="C80" s="145"/>
      <c r="D80" s="145"/>
      <c r="E80" s="145"/>
      <c r="F80" s="145"/>
      <c r="G80" s="145"/>
      <c r="H80" s="145"/>
      <c r="I80" s="176"/>
      <c r="J80" s="129" t="str">
        <f t="shared" si="4"/>
        <v/>
      </c>
      <c r="K80" s="129" t="str">
        <f t="shared" si="5"/>
        <v/>
      </c>
      <c r="L80" s="155"/>
      <c r="M80" s="97"/>
      <c r="N80" s="97"/>
      <c r="O80" s="193"/>
      <c r="P80" s="193"/>
      <c r="Q80" s="193"/>
      <c r="R80" s="193"/>
      <c r="S80" s="193"/>
      <c r="T80" s="193"/>
      <c r="U80" s="193"/>
      <c r="V80" s="193"/>
      <c r="W80" s="193"/>
    </row>
    <row r="81" spans="1:23" s="130" customFormat="1" ht="18" customHeight="1" x14ac:dyDescent="0.3">
      <c r="A81" s="26"/>
      <c r="B81" s="144"/>
      <c r="C81" s="145"/>
      <c r="D81" s="145"/>
      <c r="E81" s="145"/>
      <c r="F81" s="145"/>
      <c r="G81" s="145"/>
      <c r="H81" s="145"/>
      <c r="I81" s="176"/>
      <c r="J81" s="129" t="str">
        <f t="shared" si="4"/>
        <v/>
      </c>
      <c r="K81" s="129" t="str">
        <f t="shared" si="5"/>
        <v/>
      </c>
      <c r="L81" s="155"/>
      <c r="M81" s="97"/>
      <c r="N81" s="97"/>
      <c r="O81" s="193"/>
      <c r="P81" s="193"/>
      <c r="Q81" s="193"/>
      <c r="R81" s="193"/>
      <c r="S81" s="193"/>
      <c r="T81" s="193"/>
      <c r="U81" s="193"/>
      <c r="V81" s="193"/>
      <c r="W81" s="193"/>
    </row>
    <row r="82" spans="1:23" s="130" customFormat="1" ht="18" customHeight="1" x14ac:dyDescent="0.3">
      <c r="A82" s="26"/>
      <c r="B82" s="144"/>
      <c r="C82" s="145"/>
      <c r="D82" s="145"/>
      <c r="E82" s="145"/>
      <c r="F82" s="145"/>
      <c r="G82" s="145"/>
      <c r="H82" s="145"/>
      <c r="I82" s="176"/>
      <c r="J82" s="129" t="str">
        <f t="shared" si="4"/>
        <v/>
      </c>
      <c r="K82" s="129" t="str">
        <f t="shared" si="5"/>
        <v/>
      </c>
      <c r="L82" s="155"/>
      <c r="N82" s="97"/>
      <c r="O82" s="193"/>
      <c r="P82" s="193"/>
      <c r="Q82" s="193"/>
      <c r="R82" s="193"/>
      <c r="S82" s="193"/>
      <c r="T82" s="193"/>
      <c r="U82" s="193"/>
      <c r="V82" s="193"/>
      <c r="W82" s="193"/>
    </row>
    <row r="83" spans="1:23" s="130" customFormat="1" ht="18" customHeight="1" x14ac:dyDescent="0.3">
      <c r="A83" s="26"/>
      <c r="B83" s="144"/>
      <c r="C83" s="145"/>
      <c r="D83" s="145"/>
      <c r="E83" s="145"/>
      <c r="F83" s="145"/>
      <c r="G83" s="145"/>
      <c r="H83" s="145"/>
      <c r="I83" s="176"/>
      <c r="J83" s="129" t="str">
        <f t="shared" si="4"/>
        <v/>
      </c>
      <c r="K83" s="129" t="str">
        <f t="shared" si="5"/>
        <v/>
      </c>
      <c r="L83" s="155"/>
      <c r="N83" s="97"/>
      <c r="O83" s="193"/>
      <c r="P83" s="193"/>
      <c r="Q83" s="193"/>
      <c r="R83" s="193"/>
      <c r="S83" s="193"/>
      <c r="T83" s="193"/>
      <c r="U83" s="193"/>
      <c r="V83" s="193"/>
      <c r="W83" s="193"/>
    </row>
    <row r="84" spans="1:23" s="130" customFormat="1" ht="18" customHeight="1" x14ac:dyDescent="0.3">
      <c r="A84" s="26"/>
      <c r="B84" s="144"/>
      <c r="C84" s="145"/>
      <c r="D84" s="145"/>
      <c r="E84" s="145"/>
      <c r="F84" s="145"/>
      <c r="G84" s="145"/>
      <c r="H84" s="145"/>
      <c r="I84" s="176"/>
      <c r="J84" s="129" t="str">
        <f t="shared" si="4"/>
        <v/>
      </c>
      <c r="K84" s="129" t="str">
        <f t="shared" si="5"/>
        <v/>
      </c>
      <c r="L84" s="155"/>
      <c r="N84" s="97"/>
      <c r="O84" s="193"/>
      <c r="P84" s="193"/>
      <c r="Q84" s="193"/>
      <c r="R84" s="193"/>
      <c r="S84" s="193"/>
      <c r="T84" s="193"/>
      <c r="U84" s="193"/>
      <c r="V84" s="193"/>
      <c r="W84" s="193"/>
    </row>
    <row r="85" spans="1:23" s="130" customFormat="1" ht="18" customHeight="1" x14ac:dyDescent="0.3">
      <c r="A85" s="26"/>
      <c r="B85" s="144"/>
      <c r="C85" s="145"/>
      <c r="D85" s="145"/>
      <c r="E85" s="145"/>
      <c r="F85" s="145"/>
      <c r="G85" s="145"/>
      <c r="H85" s="145"/>
      <c r="I85" s="176"/>
      <c r="J85" s="129" t="str">
        <f t="shared" si="4"/>
        <v/>
      </c>
      <c r="K85" s="129" t="str">
        <f t="shared" si="5"/>
        <v/>
      </c>
      <c r="L85" s="155"/>
      <c r="N85" s="97"/>
      <c r="O85" s="193"/>
      <c r="P85" s="193"/>
      <c r="Q85" s="193"/>
      <c r="R85" s="193"/>
      <c r="S85" s="193"/>
      <c r="T85" s="193"/>
      <c r="U85" s="193"/>
      <c r="V85" s="193"/>
      <c r="W85" s="193"/>
    </row>
    <row r="86" spans="1:23" s="130" customFormat="1" ht="18" customHeight="1" x14ac:dyDescent="0.3">
      <c r="A86" s="26"/>
      <c r="B86" s="144"/>
      <c r="C86" s="145"/>
      <c r="D86" s="145"/>
      <c r="E86" s="145"/>
      <c r="F86" s="145"/>
      <c r="G86" s="145"/>
      <c r="H86" s="145"/>
      <c r="I86" s="176"/>
      <c r="J86" s="129" t="str">
        <f t="shared" si="4"/>
        <v/>
      </c>
      <c r="K86" s="129" t="str">
        <f t="shared" si="5"/>
        <v/>
      </c>
      <c r="L86" s="155"/>
      <c r="N86" s="97"/>
      <c r="O86" s="193"/>
      <c r="P86" s="193"/>
      <c r="Q86" s="193"/>
      <c r="R86" s="193"/>
      <c r="S86" s="193"/>
      <c r="T86" s="193"/>
      <c r="U86" s="193"/>
      <c r="V86" s="193"/>
      <c r="W86" s="193"/>
    </row>
    <row r="87" spans="1:23" s="130" customFormat="1" ht="18" customHeight="1" x14ac:dyDescent="0.3">
      <c r="A87" s="26"/>
      <c r="B87" s="144"/>
      <c r="C87" s="145"/>
      <c r="D87" s="145"/>
      <c r="E87" s="145"/>
      <c r="F87" s="145"/>
      <c r="G87" s="145"/>
      <c r="H87" s="145"/>
      <c r="I87" s="176"/>
      <c r="J87" s="129" t="str">
        <f t="shared" si="4"/>
        <v/>
      </c>
      <c r="K87" s="129" t="str">
        <f t="shared" si="5"/>
        <v/>
      </c>
      <c r="L87" s="155"/>
      <c r="N87" s="97"/>
      <c r="O87" s="193"/>
      <c r="P87" s="193"/>
      <c r="Q87" s="193"/>
      <c r="R87" s="193"/>
      <c r="S87" s="193"/>
      <c r="T87" s="193"/>
      <c r="U87" s="193"/>
      <c r="V87" s="193"/>
      <c r="W87" s="193"/>
    </row>
    <row r="88" spans="1:23" s="130" customFormat="1" ht="18" customHeight="1" x14ac:dyDescent="0.3">
      <c r="A88" s="26"/>
      <c r="B88" s="144"/>
      <c r="C88" s="145"/>
      <c r="D88" s="145"/>
      <c r="E88" s="145"/>
      <c r="F88" s="145"/>
      <c r="G88" s="145"/>
      <c r="H88" s="145"/>
      <c r="I88" s="176"/>
      <c r="J88" s="129" t="str">
        <f t="shared" si="4"/>
        <v/>
      </c>
      <c r="K88" s="129" t="str">
        <f t="shared" si="5"/>
        <v/>
      </c>
      <c r="L88" s="155"/>
      <c r="N88" s="97"/>
      <c r="O88" s="193"/>
      <c r="P88" s="193"/>
      <c r="Q88" s="193"/>
      <c r="R88" s="193"/>
      <c r="S88" s="193"/>
      <c r="T88" s="193"/>
      <c r="U88" s="193"/>
      <c r="V88" s="193"/>
      <c r="W88" s="193"/>
    </row>
    <row r="89" spans="1:23" s="130" customFormat="1" ht="18" customHeight="1" x14ac:dyDescent="0.3">
      <c r="B89" s="144"/>
      <c r="C89" s="145"/>
      <c r="D89" s="145"/>
      <c r="E89" s="145"/>
      <c r="F89" s="145"/>
      <c r="G89" s="145"/>
      <c r="H89" s="145"/>
      <c r="I89" s="176"/>
      <c r="J89" s="129" t="str">
        <f t="shared" si="4"/>
        <v/>
      </c>
      <c r="K89" s="129" t="str">
        <f t="shared" si="5"/>
        <v/>
      </c>
      <c r="L89" s="155"/>
      <c r="N89" s="97"/>
      <c r="O89" s="193"/>
      <c r="P89" s="193"/>
      <c r="Q89" s="193"/>
      <c r="R89" s="193"/>
      <c r="S89" s="193"/>
      <c r="T89" s="193"/>
      <c r="U89" s="193"/>
      <c r="V89" s="193"/>
      <c r="W89" s="193"/>
    </row>
    <row r="90" spans="1:23" s="130" customFormat="1" ht="18" customHeight="1" x14ac:dyDescent="0.3">
      <c r="B90" s="144"/>
      <c r="C90" s="145"/>
      <c r="D90" s="145"/>
      <c r="E90" s="145"/>
      <c r="F90" s="145"/>
      <c r="G90" s="145"/>
      <c r="H90" s="145"/>
      <c r="I90" s="176"/>
      <c r="J90" s="129" t="str">
        <f t="shared" si="4"/>
        <v/>
      </c>
      <c r="K90" s="129" t="str">
        <f t="shared" si="5"/>
        <v/>
      </c>
      <c r="L90" s="155"/>
      <c r="N90" s="97"/>
      <c r="O90" s="193"/>
      <c r="P90" s="193"/>
      <c r="Q90" s="193"/>
      <c r="R90" s="193"/>
      <c r="S90" s="193"/>
      <c r="T90" s="193"/>
      <c r="U90" s="193"/>
      <c r="V90" s="193"/>
      <c r="W90" s="193"/>
    </row>
    <row r="91" spans="1:23" s="130" customFormat="1" ht="18" customHeight="1" x14ac:dyDescent="0.3">
      <c r="B91" s="144"/>
      <c r="C91" s="145"/>
      <c r="D91" s="145"/>
      <c r="E91" s="145"/>
      <c r="F91" s="145"/>
      <c r="G91" s="145"/>
      <c r="H91" s="145"/>
      <c r="I91" s="176"/>
      <c r="J91" s="129" t="str">
        <f t="shared" si="4"/>
        <v/>
      </c>
      <c r="K91" s="129" t="str">
        <f t="shared" si="5"/>
        <v/>
      </c>
      <c r="L91" s="155"/>
      <c r="N91" s="97"/>
      <c r="O91" s="193"/>
      <c r="P91" s="193"/>
      <c r="Q91" s="193"/>
      <c r="R91" s="193"/>
      <c r="S91" s="193"/>
      <c r="T91" s="193"/>
      <c r="U91" s="193"/>
      <c r="V91" s="193"/>
      <c r="W91" s="193"/>
    </row>
    <row r="92" spans="1:23" s="130" customFormat="1" ht="18" customHeight="1" x14ac:dyDescent="0.3">
      <c r="B92" s="144"/>
      <c r="C92" s="145"/>
      <c r="D92" s="145"/>
      <c r="E92" s="145"/>
      <c r="F92" s="145"/>
      <c r="G92" s="145"/>
      <c r="H92" s="145"/>
      <c r="I92" s="176"/>
      <c r="J92" s="129" t="str">
        <f t="shared" si="4"/>
        <v/>
      </c>
      <c r="K92" s="129" t="str">
        <f t="shared" si="5"/>
        <v/>
      </c>
      <c r="L92" s="155"/>
      <c r="N92" s="97"/>
      <c r="O92" s="193"/>
      <c r="P92" s="193"/>
      <c r="Q92" s="193"/>
      <c r="R92" s="193"/>
      <c r="S92" s="193"/>
      <c r="T92" s="193"/>
      <c r="U92" s="193"/>
      <c r="V92" s="193"/>
      <c r="W92" s="193"/>
    </row>
    <row r="93" spans="1:23" s="130" customFormat="1" ht="18" customHeight="1" x14ac:dyDescent="0.3">
      <c r="B93" s="144"/>
      <c r="C93" s="145"/>
      <c r="D93" s="145"/>
      <c r="E93" s="145"/>
      <c r="F93" s="145"/>
      <c r="G93" s="145"/>
      <c r="H93" s="145"/>
      <c r="I93" s="176"/>
      <c r="J93" s="129" t="str">
        <f t="shared" si="4"/>
        <v/>
      </c>
      <c r="K93" s="129" t="str">
        <f t="shared" si="5"/>
        <v/>
      </c>
      <c r="L93" s="155"/>
      <c r="N93" s="97"/>
      <c r="O93" s="193"/>
      <c r="P93" s="193"/>
      <c r="Q93" s="193"/>
      <c r="R93" s="193"/>
      <c r="S93" s="193"/>
      <c r="T93" s="193"/>
      <c r="U93" s="193"/>
      <c r="V93" s="193"/>
      <c r="W93" s="193"/>
    </row>
    <row r="94" spans="1:23" s="130" customFormat="1" ht="18" customHeight="1" x14ac:dyDescent="0.3">
      <c r="B94" s="144"/>
      <c r="C94" s="145"/>
      <c r="D94" s="145"/>
      <c r="E94" s="145"/>
      <c r="F94" s="145"/>
      <c r="G94" s="145"/>
      <c r="H94" s="145"/>
      <c r="I94" s="176"/>
      <c r="J94" s="129" t="str">
        <f t="shared" si="4"/>
        <v/>
      </c>
      <c r="K94" s="129" t="str">
        <f t="shared" si="5"/>
        <v/>
      </c>
      <c r="L94" s="155"/>
      <c r="N94" s="97"/>
      <c r="O94" s="193"/>
      <c r="P94" s="193"/>
      <c r="Q94" s="193"/>
      <c r="R94" s="193"/>
      <c r="S94" s="193"/>
      <c r="T94" s="193"/>
      <c r="U94" s="193"/>
      <c r="V94" s="193"/>
      <c r="W94" s="193"/>
    </row>
    <row r="95" spans="1:23" s="130" customFormat="1" ht="18" customHeight="1" x14ac:dyDescent="0.3">
      <c r="B95" s="144"/>
      <c r="C95" s="145"/>
      <c r="D95" s="145"/>
      <c r="E95" s="145"/>
      <c r="F95" s="145"/>
      <c r="G95" s="145"/>
      <c r="H95" s="145"/>
      <c r="I95" s="176"/>
      <c r="J95" s="129" t="str">
        <f t="shared" si="4"/>
        <v/>
      </c>
      <c r="K95" s="129" t="str">
        <f t="shared" si="5"/>
        <v/>
      </c>
      <c r="L95" s="155"/>
      <c r="N95" s="97"/>
      <c r="O95" s="193"/>
      <c r="P95" s="193"/>
      <c r="Q95" s="193"/>
      <c r="R95" s="193"/>
      <c r="S95" s="193"/>
      <c r="T95" s="193"/>
      <c r="U95" s="193"/>
      <c r="V95" s="193"/>
      <c r="W95" s="193"/>
    </row>
    <row r="96" spans="1:23" s="130" customFormat="1" ht="18" customHeight="1" x14ac:dyDescent="0.3">
      <c r="B96" s="144"/>
      <c r="C96" s="145"/>
      <c r="D96" s="145"/>
      <c r="E96" s="145"/>
      <c r="F96" s="145"/>
      <c r="G96" s="145"/>
      <c r="H96" s="145"/>
      <c r="I96" s="176"/>
      <c r="J96" s="129" t="str">
        <f t="shared" si="4"/>
        <v/>
      </c>
      <c r="K96" s="129" t="str">
        <f t="shared" si="5"/>
        <v/>
      </c>
      <c r="L96" s="155"/>
      <c r="N96" s="97"/>
      <c r="O96" s="193"/>
      <c r="P96" s="193"/>
      <c r="Q96" s="193"/>
      <c r="R96" s="193"/>
      <c r="S96" s="193"/>
      <c r="T96" s="193"/>
      <c r="U96" s="193"/>
      <c r="V96" s="193"/>
      <c r="W96" s="193"/>
    </row>
    <row r="97" spans="1:23" s="130" customFormat="1" ht="18" customHeight="1" x14ac:dyDescent="0.3">
      <c r="B97" s="144"/>
      <c r="C97" s="145"/>
      <c r="D97" s="145"/>
      <c r="E97" s="145"/>
      <c r="F97" s="145"/>
      <c r="G97" s="145"/>
      <c r="H97" s="145"/>
      <c r="I97" s="176"/>
      <c r="J97" s="129" t="str">
        <f t="shared" si="4"/>
        <v/>
      </c>
      <c r="K97" s="129" t="str">
        <f t="shared" si="5"/>
        <v/>
      </c>
      <c r="L97" s="155"/>
      <c r="N97" s="97"/>
      <c r="O97" s="193"/>
      <c r="P97" s="193"/>
      <c r="Q97" s="193"/>
      <c r="R97" s="193"/>
      <c r="S97" s="193"/>
      <c r="T97" s="193"/>
      <c r="U97" s="193"/>
      <c r="V97" s="193"/>
      <c r="W97" s="193"/>
    </row>
    <row r="98" spans="1:23" s="130" customFormat="1" ht="18" customHeight="1" x14ac:dyDescent="0.3">
      <c r="B98" s="144"/>
      <c r="C98" s="145"/>
      <c r="D98" s="145"/>
      <c r="E98" s="145"/>
      <c r="F98" s="145"/>
      <c r="G98" s="145"/>
      <c r="H98" s="145"/>
      <c r="I98" s="176"/>
      <c r="J98" s="129" t="str">
        <f t="shared" si="4"/>
        <v/>
      </c>
      <c r="K98" s="129" t="str">
        <f t="shared" si="5"/>
        <v/>
      </c>
      <c r="L98" s="103"/>
      <c r="N98" s="97"/>
      <c r="O98" s="193"/>
      <c r="P98" s="193"/>
      <c r="Q98" s="193"/>
      <c r="R98" s="193"/>
      <c r="S98" s="193"/>
      <c r="T98" s="193"/>
      <c r="U98" s="193"/>
      <c r="V98" s="193"/>
      <c r="W98" s="193"/>
    </row>
    <row r="99" spans="1:23" s="130" customFormat="1" ht="18" customHeight="1" x14ac:dyDescent="0.3">
      <c r="B99" s="144"/>
      <c r="C99" s="145"/>
      <c r="D99" s="145"/>
      <c r="E99" s="145"/>
      <c r="F99" s="145"/>
      <c r="G99" s="145"/>
      <c r="H99" s="145"/>
      <c r="I99" s="176"/>
      <c r="J99" s="129" t="str">
        <f t="shared" si="4"/>
        <v/>
      </c>
      <c r="K99" s="129" t="str">
        <f t="shared" si="5"/>
        <v/>
      </c>
      <c r="L99" s="103"/>
      <c r="N99" s="97"/>
      <c r="O99" s="193"/>
      <c r="P99" s="193"/>
      <c r="Q99" s="193"/>
      <c r="R99" s="193"/>
      <c r="S99" s="193"/>
      <c r="T99" s="193"/>
      <c r="U99" s="193"/>
      <c r="V99" s="193"/>
      <c r="W99" s="193"/>
    </row>
    <row r="100" spans="1:23" s="130" customFormat="1" ht="18" customHeight="1" x14ac:dyDescent="0.3">
      <c r="B100" s="144"/>
      <c r="C100" s="145"/>
      <c r="D100" s="145"/>
      <c r="E100" s="145"/>
      <c r="F100" s="145"/>
      <c r="G100" s="145"/>
      <c r="H100" s="145"/>
      <c r="I100" s="176"/>
      <c r="J100" s="129" t="str">
        <f t="shared" si="4"/>
        <v/>
      </c>
      <c r="K100" s="129" t="str">
        <f t="shared" si="5"/>
        <v/>
      </c>
      <c r="L100" s="103"/>
      <c r="N100" s="97"/>
      <c r="O100" s="193"/>
      <c r="P100" s="193"/>
      <c r="Q100" s="193"/>
      <c r="R100" s="193"/>
      <c r="S100" s="193"/>
      <c r="T100" s="193"/>
      <c r="U100" s="193"/>
      <c r="V100" s="193"/>
      <c r="W100" s="193"/>
    </row>
    <row r="101" spans="1:23" s="130" customFormat="1" ht="18" customHeight="1" x14ac:dyDescent="0.3">
      <c r="B101" s="144"/>
      <c r="C101" s="145"/>
      <c r="D101" s="145"/>
      <c r="E101" s="145"/>
      <c r="F101" s="145"/>
      <c r="G101" s="145"/>
      <c r="H101" s="145"/>
      <c r="I101" s="176"/>
      <c r="J101" s="129" t="str">
        <f t="shared" si="4"/>
        <v/>
      </c>
      <c r="K101" s="129" t="str">
        <f t="shared" si="5"/>
        <v/>
      </c>
      <c r="L101" s="103"/>
      <c r="N101" s="97"/>
      <c r="O101" s="193"/>
      <c r="P101" s="193"/>
      <c r="Q101" s="193"/>
      <c r="R101" s="193"/>
      <c r="S101" s="193"/>
      <c r="T101" s="193"/>
      <c r="U101" s="193"/>
      <c r="V101" s="193"/>
      <c r="W101" s="193"/>
    </row>
    <row r="102" spans="1:23" s="130" customFormat="1" ht="18" customHeight="1" x14ac:dyDescent="0.3">
      <c r="B102" s="144"/>
      <c r="C102" s="145"/>
      <c r="D102" s="145"/>
      <c r="E102" s="145"/>
      <c r="F102" s="145"/>
      <c r="G102" s="145"/>
      <c r="H102" s="145"/>
      <c r="I102" s="176"/>
      <c r="J102" s="129" t="str">
        <f t="shared" si="4"/>
        <v/>
      </c>
      <c r="K102" s="129" t="str">
        <f t="shared" si="5"/>
        <v/>
      </c>
      <c r="L102" s="103"/>
      <c r="N102" s="97"/>
      <c r="O102" s="193"/>
      <c r="P102" s="193"/>
      <c r="Q102" s="193"/>
      <c r="R102" s="193"/>
      <c r="S102" s="193"/>
      <c r="T102" s="193"/>
      <c r="U102" s="193"/>
      <c r="V102" s="193"/>
      <c r="W102" s="193"/>
    </row>
    <row r="103" spans="1:23" s="130" customFormat="1" ht="18" customHeight="1" x14ac:dyDescent="0.3">
      <c r="B103" s="144"/>
      <c r="C103" s="145"/>
      <c r="D103" s="145"/>
      <c r="E103" s="145"/>
      <c r="F103" s="145"/>
      <c r="G103" s="145"/>
      <c r="H103" s="145"/>
      <c r="I103" s="176"/>
      <c r="J103" s="129" t="str">
        <f t="shared" si="4"/>
        <v/>
      </c>
      <c r="K103" s="129" t="str">
        <f t="shared" si="5"/>
        <v/>
      </c>
      <c r="L103" s="103"/>
      <c r="N103" s="97"/>
      <c r="O103" s="193"/>
      <c r="P103" s="193"/>
      <c r="Q103" s="193"/>
      <c r="R103" s="193"/>
      <c r="S103" s="193"/>
      <c r="T103" s="193"/>
      <c r="U103" s="193"/>
      <c r="V103" s="193"/>
      <c r="W103" s="193"/>
    </row>
    <row r="104" spans="1:23" s="130" customFormat="1" ht="18" customHeight="1" x14ac:dyDescent="0.3">
      <c r="B104" s="144"/>
      <c r="C104" s="145"/>
      <c r="D104" s="145"/>
      <c r="E104" s="145"/>
      <c r="F104" s="145"/>
      <c r="G104" s="145"/>
      <c r="H104" s="145"/>
      <c r="I104" s="176"/>
      <c r="J104" s="129" t="str">
        <f t="shared" si="4"/>
        <v/>
      </c>
      <c r="K104" s="129" t="str">
        <f t="shared" si="5"/>
        <v/>
      </c>
      <c r="L104" s="103"/>
      <c r="N104" s="97"/>
      <c r="O104" s="193"/>
      <c r="P104" s="193"/>
      <c r="Q104" s="193"/>
      <c r="R104" s="193"/>
      <c r="S104" s="193"/>
      <c r="T104" s="193"/>
      <c r="U104" s="193"/>
      <c r="V104" s="193"/>
      <c r="W104" s="193"/>
    </row>
    <row r="105" spans="1:23" s="111" customFormat="1" ht="18" customHeight="1" x14ac:dyDescent="0.3">
      <c r="A105" s="130"/>
      <c r="B105" s="144"/>
      <c r="C105" s="145"/>
      <c r="D105" s="145"/>
      <c r="E105" s="145"/>
      <c r="F105" s="145"/>
      <c r="G105" s="145"/>
      <c r="H105" s="145"/>
      <c r="I105" s="176"/>
      <c r="J105" s="129" t="str">
        <f t="shared" si="4"/>
        <v/>
      </c>
      <c r="K105" s="129" t="str">
        <f t="shared" si="5"/>
        <v/>
      </c>
      <c r="L105" s="103"/>
      <c r="N105" s="97"/>
      <c r="O105" s="193"/>
      <c r="P105" s="193"/>
      <c r="Q105" s="193"/>
      <c r="R105" s="193"/>
      <c r="S105" s="193"/>
      <c r="T105" s="193"/>
      <c r="U105" s="193"/>
      <c r="V105" s="193"/>
      <c r="W105" s="193"/>
    </row>
    <row r="106" spans="1:23" s="52" customFormat="1" ht="18" customHeight="1" x14ac:dyDescent="0.25">
      <c r="B106" s="54" t="s">
        <v>5</v>
      </c>
      <c r="C106" s="54" t="s">
        <v>25</v>
      </c>
      <c r="D106" s="139" t="s">
        <v>137</v>
      </c>
      <c r="E106" s="54" t="s">
        <v>27</v>
      </c>
      <c r="F106" s="54" t="s">
        <v>28</v>
      </c>
      <c r="G106" s="54" t="s">
        <v>29</v>
      </c>
      <c r="H106" s="54" t="s">
        <v>46</v>
      </c>
      <c r="I106" s="55"/>
      <c r="J106" s="181"/>
      <c r="K106" s="55"/>
      <c r="L106" s="104"/>
      <c r="M106" s="40"/>
      <c r="N106" s="40"/>
      <c r="O106" s="193"/>
      <c r="P106" s="193"/>
      <c r="Q106" s="193"/>
      <c r="R106" s="193"/>
      <c r="S106" s="193"/>
      <c r="T106" s="193"/>
      <c r="U106" s="193"/>
      <c r="V106" s="193"/>
      <c r="W106" s="193"/>
    </row>
    <row r="107" spans="1:23" s="52" customFormat="1" ht="18" customHeight="1" x14ac:dyDescent="0.3">
      <c r="B107" s="100" t="s">
        <v>1155</v>
      </c>
      <c r="C107" s="101" t="s">
        <v>736</v>
      </c>
      <c r="D107" s="101" t="s">
        <v>737</v>
      </c>
      <c r="E107" s="101" t="s">
        <v>1156</v>
      </c>
      <c r="F107" s="224">
        <v>3000</v>
      </c>
      <c r="G107" s="224"/>
      <c r="H107" s="224"/>
      <c r="I107" s="176" t="s">
        <v>134</v>
      </c>
      <c r="J107" s="182"/>
      <c r="K107" s="46"/>
      <c r="L107" s="281" t="s">
        <v>1396</v>
      </c>
      <c r="M107" s="40"/>
      <c r="N107" s="111"/>
      <c r="O107" s="193" t="s">
        <v>1155</v>
      </c>
      <c r="P107" s="193" t="s">
        <v>736</v>
      </c>
      <c r="Q107" s="193" t="s">
        <v>737</v>
      </c>
      <c r="R107" s="193" t="s">
        <v>1156</v>
      </c>
      <c r="S107" s="193">
        <v>3000</v>
      </c>
      <c r="T107" s="193"/>
      <c r="U107" s="193"/>
      <c r="V107" s="193"/>
      <c r="W107" s="193"/>
    </row>
    <row r="108" spans="1:23" s="130" customFormat="1" ht="18" customHeight="1" x14ac:dyDescent="0.3">
      <c r="B108" s="144" t="s">
        <v>1157</v>
      </c>
      <c r="C108" s="145" t="s">
        <v>78</v>
      </c>
      <c r="D108" s="145" t="s">
        <v>211</v>
      </c>
      <c r="E108" s="145" t="s">
        <v>1158</v>
      </c>
      <c r="F108" s="224"/>
      <c r="G108" s="224">
        <v>4267</v>
      </c>
      <c r="H108" s="224"/>
      <c r="I108" s="176" t="s">
        <v>174</v>
      </c>
      <c r="J108" s="182"/>
      <c r="K108" s="129"/>
      <c r="L108" s="281" t="s">
        <v>739</v>
      </c>
      <c r="M108" s="40"/>
      <c r="O108" s="193" t="s">
        <v>1157</v>
      </c>
      <c r="P108" s="193" t="s">
        <v>78</v>
      </c>
      <c r="Q108" s="193" t="s">
        <v>211</v>
      </c>
      <c r="R108" s="193" t="s">
        <v>1158</v>
      </c>
      <c r="S108" s="193"/>
      <c r="T108" s="193">
        <v>4267</v>
      </c>
      <c r="U108" s="193"/>
      <c r="V108" s="193"/>
      <c r="W108" s="193"/>
    </row>
    <row r="109" spans="1:23" s="130" customFormat="1" ht="18" customHeight="1" x14ac:dyDescent="0.3">
      <c r="B109" s="144" t="s">
        <v>1159</v>
      </c>
      <c r="C109" s="145" t="s">
        <v>300</v>
      </c>
      <c r="D109" s="145" t="s">
        <v>301</v>
      </c>
      <c r="E109" s="145" t="s">
        <v>1160</v>
      </c>
      <c r="F109" s="224">
        <v>4660</v>
      </c>
      <c r="G109" s="224"/>
      <c r="H109" s="224"/>
      <c r="I109" s="176" t="s">
        <v>134</v>
      </c>
      <c r="J109" s="182"/>
      <c r="K109" s="129"/>
      <c r="L109" s="104"/>
      <c r="M109" s="40"/>
      <c r="O109" s="193" t="s">
        <v>1159</v>
      </c>
      <c r="P109" s="193" t="s">
        <v>300</v>
      </c>
      <c r="Q109" s="193" t="s">
        <v>301</v>
      </c>
      <c r="R109" s="193" t="s">
        <v>1160</v>
      </c>
      <c r="S109" s="193">
        <v>4660</v>
      </c>
      <c r="T109" s="193"/>
      <c r="U109" s="193"/>
      <c r="V109" s="193"/>
      <c r="W109" s="193"/>
    </row>
    <row r="110" spans="1:23" s="193" customFormat="1" ht="18" customHeight="1" x14ac:dyDescent="0.3">
      <c r="B110" s="144" t="s">
        <v>1161</v>
      </c>
      <c r="C110" s="145" t="s">
        <v>78</v>
      </c>
      <c r="D110" s="145" t="s">
        <v>211</v>
      </c>
      <c r="E110" s="145" t="s">
        <v>1162</v>
      </c>
      <c r="F110" s="224"/>
      <c r="G110" s="224">
        <v>450</v>
      </c>
      <c r="H110" s="224"/>
      <c r="I110" s="176" t="s">
        <v>174</v>
      </c>
      <c r="J110" s="182"/>
      <c r="K110" s="129"/>
      <c r="L110" s="281"/>
      <c r="M110" s="40"/>
      <c r="O110" s="193" t="s">
        <v>1161</v>
      </c>
      <c r="P110" s="193" t="s">
        <v>78</v>
      </c>
      <c r="Q110" s="193" t="s">
        <v>211</v>
      </c>
      <c r="R110" s="193" t="s">
        <v>1162</v>
      </c>
      <c r="T110" s="193">
        <v>450</v>
      </c>
    </row>
    <row r="111" spans="1:23" s="193" customFormat="1" ht="18" customHeight="1" x14ac:dyDescent="0.3">
      <c r="B111" s="144" t="s">
        <v>1163</v>
      </c>
      <c r="C111" s="145" t="s">
        <v>78</v>
      </c>
      <c r="D111" s="145" t="s">
        <v>211</v>
      </c>
      <c r="E111" s="145" t="s">
        <v>1164</v>
      </c>
      <c r="F111" s="224"/>
      <c r="G111" s="224">
        <v>400</v>
      </c>
      <c r="H111" s="224"/>
      <c r="I111" s="176" t="s">
        <v>174</v>
      </c>
      <c r="J111" s="182"/>
      <c r="K111" s="129"/>
      <c r="L111" s="104"/>
      <c r="M111" s="40"/>
      <c r="O111" s="193" t="s">
        <v>1163</v>
      </c>
      <c r="P111" s="193" t="s">
        <v>78</v>
      </c>
      <c r="Q111" s="193" t="s">
        <v>211</v>
      </c>
      <c r="R111" s="193" t="s">
        <v>1164</v>
      </c>
      <c r="T111" s="193">
        <v>400</v>
      </c>
    </row>
    <row r="112" spans="1:23" s="193" customFormat="1" ht="18" customHeight="1" x14ac:dyDescent="0.3">
      <c r="B112" s="144" t="s">
        <v>1165</v>
      </c>
      <c r="C112" s="145" t="s">
        <v>78</v>
      </c>
      <c r="D112" s="145" t="s">
        <v>211</v>
      </c>
      <c r="E112" s="145" t="s">
        <v>1166</v>
      </c>
      <c r="F112" s="224"/>
      <c r="G112" s="224">
        <v>1100</v>
      </c>
      <c r="H112" s="224"/>
      <c r="I112" s="176" t="s">
        <v>174</v>
      </c>
      <c r="J112" s="182"/>
      <c r="K112" s="129"/>
      <c r="L112" s="281" t="s">
        <v>738</v>
      </c>
      <c r="M112" s="40"/>
      <c r="O112" s="193" t="s">
        <v>1165</v>
      </c>
      <c r="P112" s="193" t="s">
        <v>78</v>
      </c>
      <c r="Q112" s="193" t="s">
        <v>211</v>
      </c>
      <c r="R112" s="193" t="s">
        <v>1166</v>
      </c>
      <c r="T112" s="193">
        <v>1100</v>
      </c>
    </row>
    <row r="113" spans="1:35" s="130" customFormat="1" ht="18" customHeight="1" x14ac:dyDescent="0.3">
      <c r="B113" s="144" t="s">
        <v>1167</v>
      </c>
      <c r="C113" s="145" t="s">
        <v>78</v>
      </c>
      <c r="D113" s="145" t="s">
        <v>211</v>
      </c>
      <c r="E113" s="145" t="s">
        <v>1168</v>
      </c>
      <c r="F113" s="224"/>
      <c r="G113" s="224">
        <v>2376</v>
      </c>
      <c r="H113" s="224"/>
      <c r="I113" s="176" t="s">
        <v>174</v>
      </c>
      <c r="J113" s="182"/>
      <c r="K113" s="129"/>
      <c r="L113" s="104"/>
      <c r="M113" s="40"/>
      <c r="O113" s="193" t="s">
        <v>1167</v>
      </c>
      <c r="P113" s="193" t="s">
        <v>78</v>
      </c>
      <c r="Q113" s="193" t="s">
        <v>211</v>
      </c>
      <c r="R113" s="193" t="s">
        <v>1168</v>
      </c>
      <c r="S113" s="193"/>
      <c r="T113" s="193">
        <v>2376</v>
      </c>
      <c r="U113" s="193"/>
      <c r="V113" s="193"/>
      <c r="W113" s="193"/>
    </row>
    <row r="114" spans="1:35" s="111" customFormat="1" ht="18" customHeight="1" x14ac:dyDescent="0.3">
      <c r="A114" s="130"/>
      <c r="B114" s="144"/>
      <c r="C114" s="145"/>
      <c r="D114" s="145"/>
      <c r="E114" s="145"/>
      <c r="F114" s="224"/>
      <c r="G114" s="224"/>
      <c r="H114" s="224"/>
      <c r="I114" s="176"/>
      <c r="J114" s="182"/>
      <c r="K114" s="129"/>
      <c r="L114" s="104"/>
      <c r="M114" s="40"/>
      <c r="N114" s="143"/>
      <c r="O114" s="193"/>
      <c r="P114" s="193"/>
      <c r="Q114" s="193"/>
      <c r="R114" s="193"/>
      <c r="S114" s="193"/>
      <c r="T114" s="193"/>
      <c r="U114" s="193"/>
      <c r="V114" s="193"/>
      <c r="W114" s="193"/>
    </row>
    <row r="115" spans="1:35" s="193" customFormat="1" ht="18" customHeight="1" x14ac:dyDescent="0.3">
      <c r="B115" s="144"/>
      <c r="C115" s="145"/>
      <c r="D115" s="145"/>
      <c r="E115" s="145"/>
      <c r="F115" s="145"/>
      <c r="G115" s="145"/>
      <c r="H115" s="145"/>
      <c r="I115" s="176"/>
      <c r="J115" s="182"/>
      <c r="K115" s="129"/>
      <c r="L115" s="104"/>
      <c r="M115" s="40"/>
      <c r="N115" s="143"/>
    </row>
    <row r="116" spans="1:35" s="111" customFormat="1" ht="18" customHeight="1" x14ac:dyDescent="0.3">
      <c r="A116" s="130"/>
      <c r="B116" s="144"/>
      <c r="C116" s="145"/>
      <c r="D116" s="145"/>
      <c r="E116" s="145"/>
      <c r="F116" s="145"/>
      <c r="G116" s="145"/>
      <c r="H116" s="145"/>
      <c r="I116" s="176"/>
      <c r="J116" s="182"/>
      <c r="K116" s="129"/>
      <c r="L116" s="104"/>
      <c r="M116" s="40"/>
      <c r="N116" s="143"/>
      <c r="O116" s="193"/>
      <c r="P116" s="193"/>
      <c r="Q116" s="193"/>
      <c r="R116" s="193"/>
      <c r="S116" s="193"/>
      <c r="T116" s="193"/>
      <c r="U116" s="193"/>
      <c r="V116" s="193"/>
      <c r="W116" s="193"/>
    </row>
    <row r="117" spans="1:35" s="111" customFormat="1" ht="18" customHeight="1" x14ac:dyDescent="0.3">
      <c r="A117" s="130"/>
      <c r="B117" s="144"/>
      <c r="C117" s="145"/>
      <c r="D117" s="145"/>
      <c r="E117" s="145"/>
      <c r="F117" s="145"/>
      <c r="G117" s="145"/>
      <c r="H117" s="145"/>
      <c r="I117" s="176"/>
      <c r="J117" s="182"/>
      <c r="K117" s="129"/>
      <c r="L117" s="104"/>
      <c r="M117" s="40"/>
      <c r="N117" s="143"/>
      <c r="O117" s="193"/>
      <c r="P117" s="193"/>
      <c r="Q117" s="193"/>
      <c r="R117" s="193"/>
      <c r="S117" s="193"/>
      <c r="T117" s="193"/>
      <c r="U117" s="193"/>
      <c r="V117" s="193"/>
      <c r="W117" s="193"/>
    </row>
    <row r="118" spans="1:35" s="111" customFormat="1" ht="18" customHeight="1" x14ac:dyDescent="0.25">
      <c r="B118" s="139" t="s">
        <v>118</v>
      </c>
      <c r="C118" s="139" t="s">
        <v>5</v>
      </c>
      <c r="D118" s="139" t="s">
        <v>136</v>
      </c>
      <c r="E118" s="139"/>
      <c r="F118" s="139"/>
      <c r="G118" s="139"/>
      <c r="H118" s="139"/>
      <c r="I118" s="55"/>
      <c r="J118" s="181"/>
      <c r="K118" s="55"/>
      <c r="L118" s="14"/>
      <c r="M118" s="130"/>
      <c r="N118" s="98"/>
      <c r="O118" s="193"/>
      <c r="P118" s="193"/>
      <c r="Q118" s="193"/>
      <c r="R118" s="193"/>
      <c r="S118" s="193"/>
      <c r="T118" s="193"/>
      <c r="U118" s="193"/>
      <c r="V118" s="193"/>
      <c r="W118" s="193"/>
      <c r="X118" s="98"/>
      <c r="Y118" s="98"/>
      <c r="Z118" s="98"/>
      <c r="AA118" s="98"/>
      <c r="AB118" s="98"/>
      <c r="AC118" s="98"/>
      <c r="AD118" s="98"/>
      <c r="AE118" s="98"/>
      <c r="AF118" s="98"/>
      <c r="AG118" s="98"/>
      <c r="AH118" s="98"/>
      <c r="AI118" s="98"/>
    </row>
    <row r="119" spans="1:35" s="111" customFormat="1" ht="18" customHeight="1" x14ac:dyDescent="0.3">
      <c r="B119" s="144" t="s">
        <v>1373</v>
      </c>
      <c r="C119" s="192" t="s">
        <v>734</v>
      </c>
      <c r="D119" s="145" t="s">
        <v>298</v>
      </c>
      <c r="E119" s="145"/>
      <c r="F119" s="145">
        <v>766646</v>
      </c>
      <c r="G119" s="145"/>
      <c r="H119" s="145"/>
      <c r="I119" s="176" t="s">
        <v>171</v>
      </c>
      <c r="J119" s="180"/>
      <c r="K119" s="129"/>
      <c r="L119" s="14"/>
      <c r="M119" s="130"/>
      <c r="N119" s="98"/>
      <c r="O119" s="193"/>
      <c r="P119" s="193"/>
      <c r="Q119" s="193"/>
      <c r="R119" s="193"/>
      <c r="S119" s="193"/>
      <c r="T119" s="193"/>
      <c r="U119" s="193"/>
      <c r="V119" s="193"/>
      <c r="W119" s="193"/>
      <c r="X119" s="98"/>
      <c r="Y119" s="98"/>
      <c r="Z119" s="98"/>
      <c r="AA119" s="98"/>
      <c r="AB119" s="98"/>
      <c r="AC119" s="98"/>
      <c r="AD119" s="98"/>
      <c r="AE119" s="98"/>
      <c r="AF119" s="98"/>
      <c r="AG119" s="98"/>
      <c r="AH119" s="98"/>
      <c r="AI119" s="98"/>
    </row>
    <row r="120" spans="1:35" s="130" customFormat="1" ht="18" customHeight="1" x14ac:dyDescent="0.3">
      <c r="B120" s="144" t="s">
        <v>1374</v>
      </c>
      <c r="C120" s="192" t="s">
        <v>734</v>
      </c>
      <c r="D120" s="145" t="s">
        <v>298</v>
      </c>
      <c r="E120" s="145"/>
      <c r="F120" s="145">
        <v>284409</v>
      </c>
      <c r="G120" s="145"/>
      <c r="H120" s="145"/>
      <c r="I120" s="176" t="s">
        <v>171</v>
      </c>
      <c r="J120" s="180"/>
      <c r="K120" s="129"/>
      <c r="L120" s="14"/>
      <c r="N120" s="98"/>
      <c r="O120" s="98"/>
      <c r="P120" s="98"/>
      <c r="Q120" s="98"/>
      <c r="R120" s="98"/>
      <c r="S120" s="154"/>
      <c r="T120" s="154"/>
      <c r="U120" s="98"/>
      <c r="V120" s="98"/>
      <c r="W120" s="98"/>
      <c r="X120" s="98"/>
      <c r="Y120" s="98"/>
      <c r="Z120" s="98"/>
      <c r="AA120" s="98"/>
      <c r="AB120" s="98"/>
      <c r="AC120" s="98"/>
      <c r="AD120" s="98"/>
      <c r="AE120" s="98"/>
      <c r="AF120" s="98"/>
      <c r="AG120" s="98"/>
      <c r="AH120" s="98"/>
      <c r="AI120" s="98"/>
    </row>
    <row r="121" spans="1:35" s="130" customFormat="1" ht="18" customHeight="1" x14ac:dyDescent="0.3">
      <c r="B121" s="144" t="s">
        <v>1375</v>
      </c>
      <c r="C121" s="192" t="s">
        <v>734</v>
      </c>
      <c r="D121" s="145" t="s">
        <v>298</v>
      </c>
      <c r="E121" s="145"/>
      <c r="F121" s="145">
        <v>76024</v>
      </c>
      <c r="G121" s="145"/>
      <c r="H121" s="145"/>
      <c r="I121" s="176" t="s">
        <v>171</v>
      </c>
      <c r="J121" s="180"/>
      <c r="K121" s="129"/>
      <c r="L121" s="14"/>
      <c r="N121" s="98"/>
      <c r="O121" s="98"/>
      <c r="P121" s="98"/>
      <c r="Q121" s="98"/>
      <c r="R121" s="98"/>
      <c r="S121" s="154"/>
      <c r="T121" s="154"/>
      <c r="U121" s="98"/>
      <c r="V121" s="98"/>
      <c r="W121" s="98"/>
      <c r="X121" s="98"/>
      <c r="Y121" s="98"/>
      <c r="Z121" s="98"/>
      <c r="AA121" s="98"/>
      <c r="AB121" s="98"/>
      <c r="AC121" s="98"/>
      <c r="AD121" s="98"/>
      <c r="AE121" s="98"/>
      <c r="AF121" s="98"/>
      <c r="AG121" s="98"/>
      <c r="AH121" s="98"/>
      <c r="AI121" s="98"/>
    </row>
    <row r="122" spans="1:35" s="130" customFormat="1" ht="18" customHeight="1" x14ac:dyDescent="0.3">
      <c r="B122" s="144" t="s">
        <v>1376</v>
      </c>
      <c r="C122" s="192" t="s">
        <v>734</v>
      </c>
      <c r="D122" s="145" t="s">
        <v>298</v>
      </c>
      <c r="E122" s="145"/>
      <c r="F122" s="145">
        <v>93036</v>
      </c>
      <c r="G122" s="145"/>
      <c r="H122" s="145"/>
      <c r="I122" s="176" t="s">
        <v>171</v>
      </c>
      <c r="J122" s="180"/>
      <c r="K122" s="129"/>
      <c r="L122" s="14"/>
      <c r="N122" s="98"/>
      <c r="O122" s="98"/>
      <c r="P122" s="98"/>
      <c r="Q122" s="98"/>
      <c r="R122" s="98"/>
      <c r="S122" s="154"/>
      <c r="T122" s="154"/>
      <c r="U122" s="98"/>
      <c r="V122" s="98"/>
      <c r="W122" s="98"/>
      <c r="X122" s="98"/>
      <c r="Y122" s="98"/>
      <c r="Z122" s="98"/>
      <c r="AA122" s="98"/>
      <c r="AB122" s="98"/>
      <c r="AC122" s="98"/>
      <c r="AD122" s="98"/>
      <c r="AE122" s="98"/>
      <c r="AF122" s="98"/>
      <c r="AG122" s="98"/>
      <c r="AH122" s="98"/>
      <c r="AI122" s="98"/>
    </row>
    <row r="123" spans="1:35" s="130" customFormat="1" ht="18" customHeight="1" x14ac:dyDescent="0.3">
      <c r="B123" s="144" t="s">
        <v>1377</v>
      </c>
      <c r="C123" s="192" t="s">
        <v>1378</v>
      </c>
      <c r="D123" s="145" t="s">
        <v>298</v>
      </c>
      <c r="E123" s="145"/>
      <c r="F123" s="145">
        <v>36032</v>
      </c>
      <c r="G123" s="145"/>
      <c r="H123" s="145"/>
      <c r="I123" s="176" t="s">
        <v>171</v>
      </c>
      <c r="J123" s="180"/>
      <c r="K123" s="129"/>
      <c r="L123" s="14" t="s">
        <v>755</v>
      </c>
      <c r="N123" s="98"/>
      <c r="O123" s="98"/>
      <c r="P123" s="98"/>
      <c r="Q123" s="98"/>
      <c r="R123" s="98"/>
      <c r="S123" s="154"/>
      <c r="T123" s="154"/>
      <c r="U123" s="98"/>
      <c r="V123" s="98"/>
      <c r="W123" s="98"/>
      <c r="X123" s="98"/>
      <c r="Y123" s="98"/>
      <c r="Z123" s="98"/>
      <c r="AA123" s="98"/>
      <c r="AB123" s="98"/>
      <c r="AC123" s="98"/>
      <c r="AD123" s="98"/>
      <c r="AE123" s="98"/>
      <c r="AF123" s="98"/>
      <c r="AG123" s="98"/>
      <c r="AH123" s="98"/>
      <c r="AI123" s="98"/>
    </row>
    <row r="124" spans="1:35" s="130" customFormat="1" ht="18" customHeight="1" x14ac:dyDescent="0.3">
      <c r="B124" s="144" t="s">
        <v>1379</v>
      </c>
      <c r="C124" s="192" t="s">
        <v>735</v>
      </c>
      <c r="D124" s="145" t="s">
        <v>161</v>
      </c>
      <c r="E124" s="145"/>
      <c r="F124" s="145">
        <v>3772</v>
      </c>
      <c r="G124" s="145"/>
      <c r="H124" s="145"/>
      <c r="I124" s="176" t="s">
        <v>168</v>
      </c>
      <c r="J124" s="180"/>
      <c r="K124" s="129"/>
      <c r="L124" s="14"/>
      <c r="N124" s="98"/>
      <c r="O124" s="98"/>
      <c r="P124" s="98"/>
      <c r="Q124" s="98"/>
      <c r="R124" s="98"/>
      <c r="S124" s="154"/>
      <c r="T124" s="154"/>
      <c r="U124" s="98"/>
      <c r="V124" s="98"/>
      <c r="W124" s="98"/>
      <c r="X124" s="98"/>
      <c r="Y124" s="98"/>
      <c r="Z124" s="98"/>
      <c r="AA124" s="98"/>
      <c r="AB124" s="98"/>
      <c r="AC124" s="98"/>
      <c r="AD124" s="98"/>
      <c r="AE124" s="98"/>
      <c r="AF124" s="98"/>
      <c r="AG124" s="98"/>
      <c r="AH124" s="98"/>
      <c r="AI124" s="98"/>
    </row>
    <row r="125" spans="1:35" s="130" customFormat="1" ht="18" customHeight="1" x14ac:dyDescent="0.3">
      <c r="B125" s="144" t="s">
        <v>1380</v>
      </c>
      <c r="C125" s="192" t="s">
        <v>1381</v>
      </c>
      <c r="D125" s="145" t="s">
        <v>161</v>
      </c>
      <c r="E125" s="145"/>
      <c r="F125" s="145">
        <v>1665</v>
      </c>
      <c r="G125" s="145"/>
      <c r="H125" s="145"/>
      <c r="I125" s="176" t="s">
        <v>168</v>
      </c>
      <c r="J125" s="180"/>
      <c r="K125" s="129"/>
      <c r="L125" s="53"/>
      <c r="N125" s="98"/>
      <c r="O125" s="98"/>
      <c r="P125" s="98"/>
      <c r="Q125" s="98"/>
      <c r="R125" s="98"/>
      <c r="S125" s="154"/>
      <c r="T125" s="154"/>
      <c r="U125" s="98"/>
      <c r="V125" s="98"/>
      <c r="W125" s="98"/>
      <c r="X125" s="98"/>
      <c r="Y125" s="98"/>
      <c r="Z125" s="98"/>
      <c r="AA125" s="98"/>
      <c r="AB125" s="98"/>
      <c r="AC125" s="98"/>
      <c r="AD125" s="98"/>
      <c r="AE125" s="98"/>
      <c r="AF125" s="98"/>
      <c r="AG125" s="98"/>
      <c r="AH125" s="98"/>
      <c r="AI125" s="98"/>
    </row>
    <row r="126" spans="1:35" s="130" customFormat="1" ht="18" customHeight="1" x14ac:dyDescent="0.3">
      <c r="B126" s="144" t="s">
        <v>1382</v>
      </c>
      <c r="C126" s="192" t="s">
        <v>1169</v>
      </c>
      <c r="D126" s="145" t="s">
        <v>161</v>
      </c>
      <c r="E126" s="145"/>
      <c r="F126" s="145">
        <v>1415</v>
      </c>
      <c r="G126" s="145"/>
      <c r="H126" s="145"/>
      <c r="I126" s="176" t="s">
        <v>168</v>
      </c>
      <c r="J126" s="180"/>
      <c r="K126" s="129"/>
      <c r="L126" s="53"/>
      <c r="M126" s="97"/>
      <c r="N126" s="98"/>
      <c r="O126" s="98"/>
      <c r="P126" s="98"/>
      <c r="Q126" s="98"/>
      <c r="R126" s="98"/>
      <c r="S126" s="154"/>
      <c r="T126" s="154"/>
      <c r="U126" s="98"/>
      <c r="V126" s="98"/>
      <c r="W126" s="98"/>
      <c r="X126" s="98"/>
      <c r="Y126" s="98"/>
      <c r="Z126" s="98"/>
      <c r="AA126" s="98"/>
      <c r="AB126" s="98"/>
      <c r="AC126" s="98"/>
      <c r="AD126" s="98"/>
      <c r="AE126" s="98"/>
      <c r="AF126" s="98"/>
      <c r="AG126" s="98"/>
      <c r="AH126" s="98"/>
      <c r="AI126" s="98"/>
    </row>
    <row r="127" spans="1:35" s="130" customFormat="1" ht="18" customHeight="1" x14ac:dyDescent="0.3">
      <c r="B127" s="144" t="s">
        <v>1382</v>
      </c>
      <c r="C127" s="192" t="s">
        <v>1169</v>
      </c>
      <c r="D127" s="145" t="s">
        <v>161</v>
      </c>
      <c r="E127" s="145"/>
      <c r="F127" s="145">
        <v>37</v>
      </c>
      <c r="G127" s="145"/>
      <c r="H127" s="145"/>
      <c r="I127" s="176" t="s">
        <v>168</v>
      </c>
      <c r="J127" s="180"/>
      <c r="K127" s="129"/>
      <c r="L127" s="14"/>
      <c r="N127" s="98"/>
      <c r="O127" s="98"/>
      <c r="P127" s="98"/>
      <c r="Q127" s="98"/>
      <c r="R127" s="98"/>
      <c r="S127" s="154"/>
      <c r="T127" s="154"/>
      <c r="U127" s="98"/>
      <c r="V127" s="98"/>
      <c r="W127" s="98"/>
      <c r="X127" s="98"/>
      <c r="Y127" s="98"/>
      <c r="Z127" s="98"/>
      <c r="AA127" s="98"/>
      <c r="AB127" s="98"/>
      <c r="AC127" s="98"/>
      <c r="AD127" s="98"/>
      <c r="AE127" s="98"/>
      <c r="AF127" s="98"/>
      <c r="AG127" s="98"/>
      <c r="AH127" s="98"/>
      <c r="AI127" s="98"/>
    </row>
    <row r="128" spans="1:35" s="130" customFormat="1" ht="18" customHeight="1" x14ac:dyDescent="0.3">
      <c r="B128" s="144" t="s">
        <v>1383</v>
      </c>
      <c r="C128" s="192" t="s">
        <v>1170</v>
      </c>
      <c r="D128" s="145" t="s">
        <v>162</v>
      </c>
      <c r="E128" s="145"/>
      <c r="F128" s="145">
        <v>1684</v>
      </c>
      <c r="G128" s="145"/>
      <c r="H128" s="145"/>
      <c r="I128" s="176" t="s">
        <v>168</v>
      </c>
      <c r="J128" s="180"/>
      <c r="K128" s="129"/>
      <c r="L128" s="14"/>
      <c r="N128" s="98"/>
      <c r="O128" s="98"/>
      <c r="P128" s="98"/>
      <c r="Q128" s="98"/>
      <c r="R128" s="98"/>
      <c r="S128" s="154"/>
      <c r="T128" s="154"/>
      <c r="U128" s="98"/>
      <c r="V128" s="98"/>
      <c r="W128" s="98"/>
      <c r="X128" s="98"/>
      <c r="Y128" s="98"/>
      <c r="Z128" s="98"/>
      <c r="AA128" s="98"/>
      <c r="AB128" s="98"/>
      <c r="AC128" s="98"/>
      <c r="AD128" s="98"/>
      <c r="AE128" s="98"/>
      <c r="AF128" s="98"/>
      <c r="AG128" s="98"/>
      <c r="AH128" s="98"/>
      <c r="AI128" s="98"/>
    </row>
    <row r="129" spans="2:35" s="130" customFormat="1" ht="18" customHeight="1" x14ac:dyDescent="0.3">
      <c r="B129" s="144"/>
      <c r="C129" s="192"/>
      <c r="D129" s="145"/>
      <c r="E129" s="145"/>
      <c r="F129" s="145"/>
      <c r="G129" s="145"/>
      <c r="H129" s="145"/>
      <c r="I129" s="176"/>
      <c r="J129" s="180"/>
      <c r="K129" s="129"/>
      <c r="L129" s="14"/>
      <c r="N129" s="98"/>
      <c r="O129" s="98"/>
      <c r="P129" s="98"/>
      <c r="Q129" s="98"/>
      <c r="R129" s="98"/>
      <c r="S129" s="154"/>
      <c r="T129" s="154"/>
      <c r="U129" s="98"/>
      <c r="V129" s="98"/>
      <c r="W129" s="98"/>
      <c r="X129" s="98"/>
      <c r="Y129" s="98"/>
      <c r="Z129" s="98"/>
      <c r="AA129" s="98"/>
      <c r="AB129" s="98"/>
      <c r="AC129" s="98"/>
      <c r="AD129" s="98"/>
      <c r="AE129" s="98"/>
      <c r="AF129" s="98"/>
      <c r="AG129" s="98"/>
      <c r="AH129" s="98"/>
      <c r="AI129" s="98"/>
    </row>
    <row r="130" spans="2:35" s="130" customFormat="1" ht="18" customHeight="1" x14ac:dyDescent="0.3">
      <c r="B130" s="144"/>
      <c r="C130" s="192"/>
      <c r="D130" s="145"/>
      <c r="E130" s="145"/>
      <c r="F130" s="145"/>
      <c r="G130" s="145"/>
      <c r="H130" s="145"/>
      <c r="I130" s="176"/>
      <c r="J130" s="180"/>
      <c r="K130" s="129"/>
      <c r="L130" s="14"/>
      <c r="N130" s="98"/>
      <c r="O130" s="98"/>
      <c r="P130" s="98"/>
      <c r="Q130" s="98"/>
      <c r="R130" s="98"/>
      <c r="S130" s="154"/>
      <c r="T130" s="154"/>
      <c r="U130" s="98"/>
      <c r="V130" s="98"/>
      <c r="W130" s="98"/>
      <c r="X130" s="98"/>
      <c r="Y130" s="98"/>
      <c r="Z130" s="98"/>
      <c r="AA130" s="98"/>
      <c r="AB130" s="98"/>
      <c r="AC130" s="98"/>
      <c r="AD130" s="98"/>
      <c r="AE130" s="98"/>
      <c r="AF130" s="98"/>
      <c r="AG130" s="98"/>
      <c r="AH130" s="98"/>
      <c r="AI130" s="98"/>
    </row>
    <row r="131" spans="2:35" s="130" customFormat="1" ht="18" customHeight="1" x14ac:dyDescent="0.3">
      <c r="B131" s="144"/>
      <c r="C131" s="192"/>
      <c r="D131" s="145"/>
      <c r="E131" s="145"/>
      <c r="F131" s="145"/>
      <c r="G131" s="145"/>
      <c r="H131" s="145"/>
      <c r="I131" s="176"/>
      <c r="J131" s="180"/>
      <c r="K131" s="129"/>
      <c r="L131" s="14"/>
      <c r="N131" s="98"/>
      <c r="O131" s="98"/>
      <c r="P131" s="98"/>
      <c r="Q131" s="98"/>
      <c r="R131" s="98"/>
      <c r="S131" s="154"/>
      <c r="T131" s="154"/>
      <c r="U131" s="98"/>
      <c r="V131" s="98"/>
      <c r="W131" s="98"/>
      <c r="X131" s="98"/>
      <c r="Y131" s="98"/>
      <c r="Z131" s="98"/>
      <c r="AA131" s="98"/>
      <c r="AB131" s="98"/>
      <c r="AC131" s="98"/>
      <c r="AD131" s="98"/>
      <c r="AE131" s="98"/>
      <c r="AF131" s="98"/>
      <c r="AG131" s="98"/>
      <c r="AH131" s="98"/>
      <c r="AI131" s="98"/>
    </row>
    <row r="132" spans="2:35" s="130" customFormat="1" ht="18" customHeight="1" x14ac:dyDescent="0.3">
      <c r="B132" s="144"/>
      <c r="C132" s="192"/>
      <c r="D132" s="145"/>
      <c r="E132" s="145"/>
      <c r="F132" s="145"/>
      <c r="G132" s="145"/>
      <c r="H132" s="145"/>
      <c r="I132" s="176"/>
      <c r="J132" s="180"/>
      <c r="K132" s="129"/>
      <c r="L132" s="14"/>
      <c r="N132" s="98"/>
      <c r="O132" s="98"/>
      <c r="P132" s="98"/>
      <c r="Q132" s="98"/>
      <c r="R132" s="98"/>
      <c r="S132" s="98"/>
      <c r="T132" s="154"/>
      <c r="U132" s="98"/>
      <c r="V132" s="98"/>
      <c r="W132" s="98"/>
      <c r="X132" s="98"/>
      <c r="Y132" s="98"/>
      <c r="Z132" s="98"/>
      <c r="AA132" s="98"/>
      <c r="AB132" s="98"/>
      <c r="AC132" s="98"/>
      <c r="AD132" s="98"/>
      <c r="AE132" s="98"/>
      <c r="AF132" s="98"/>
      <c r="AG132" s="98"/>
      <c r="AH132" s="98"/>
      <c r="AI132" s="98"/>
    </row>
    <row r="133" spans="2:35" s="130" customFormat="1" ht="18" customHeight="1" x14ac:dyDescent="0.3">
      <c r="B133" s="144"/>
      <c r="C133" s="192"/>
      <c r="D133" s="145"/>
      <c r="E133" s="145"/>
      <c r="F133" s="145"/>
      <c r="G133" s="145"/>
      <c r="H133" s="145"/>
      <c r="I133" s="176"/>
      <c r="J133" s="180"/>
      <c r="K133" s="129"/>
      <c r="L133" s="14"/>
      <c r="N133" s="98"/>
      <c r="O133" s="98"/>
      <c r="P133" s="98"/>
      <c r="Q133" s="98"/>
      <c r="R133" s="98"/>
      <c r="S133" s="98"/>
      <c r="T133" s="154"/>
      <c r="U133" s="98"/>
      <c r="V133" s="98"/>
      <c r="W133" s="98"/>
      <c r="X133" s="98"/>
      <c r="Y133" s="98"/>
      <c r="Z133" s="98"/>
      <c r="AA133" s="98"/>
      <c r="AB133" s="98"/>
      <c r="AC133" s="98"/>
      <c r="AD133" s="98"/>
      <c r="AE133" s="98"/>
      <c r="AF133" s="98"/>
      <c r="AG133" s="98"/>
      <c r="AH133" s="98"/>
      <c r="AI133" s="98"/>
    </row>
    <row r="134" spans="2:35" s="130" customFormat="1" ht="18" customHeight="1" x14ac:dyDescent="0.3">
      <c r="B134" s="144"/>
      <c r="C134" s="192"/>
      <c r="D134" s="145"/>
      <c r="E134" s="145"/>
      <c r="F134" s="145"/>
      <c r="G134" s="145"/>
      <c r="H134" s="145"/>
      <c r="I134" s="176"/>
      <c r="J134" s="180"/>
      <c r="K134" s="129"/>
      <c r="L134" s="14"/>
      <c r="N134" s="98"/>
      <c r="O134" s="98"/>
      <c r="P134" s="98"/>
      <c r="Q134" s="98"/>
      <c r="R134" s="98"/>
      <c r="S134" s="98"/>
      <c r="T134" s="154"/>
      <c r="U134" s="98"/>
      <c r="V134" s="98"/>
      <c r="W134" s="98"/>
      <c r="X134" s="98"/>
      <c r="Y134" s="98"/>
      <c r="Z134" s="98"/>
      <c r="AA134" s="98"/>
      <c r="AB134" s="98"/>
      <c r="AC134" s="98"/>
      <c r="AD134" s="98"/>
      <c r="AE134" s="98"/>
      <c r="AF134" s="98"/>
      <c r="AG134" s="98"/>
      <c r="AH134" s="98"/>
      <c r="AI134" s="98"/>
    </row>
    <row r="135" spans="2:35" s="130" customFormat="1" ht="18" customHeight="1" x14ac:dyDescent="0.3">
      <c r="B135" s="144"/>
      <c r="C135" s="192"/>
      <c r="D135" s="145"/>
      <c r="E135" s="145"/>
      <c r="F135" s="145"/>
      <c r="G135" s="145"/>
      <c r="H135" s="145"/>
      <c r="I135" s="176"/>
      <c r="J135" s="180"/>
      <c r="K135" s="129"/>
      <c r="L135" s="14"/>
      <c r="N135" s="98"/>
      <c r="O135" s="98"/>
      <c r="P135" s="98"/>
      <c r="Q135" s="98"/>
      <c r="R135" s="98"/>
      <c r="S135" s="98"/>
      <c r="T135" s="154"/>
      <c r="U135" s="98"/>
      <c r="V135" s="98"/>
      <c r="W135" s="98"/>
      <c r="X135" s="98"/>
      <c r="Y135" s="98"/>
      <c r="Z135" s="98"/>
      <c r="AA135" s="98"/>
      <c r="AB135" s="98"/>
      <c r="AC135" s="98"/>
      <c r="AD135" s="98"/>
      <c r="AE135" s="98"/>
      <c r="AF135" s="98"/>
      <c r="AG135" s="98"/>
      <c r="AH135" s="98"/>
      <c r="AI135" s="98"/>
    </row>
    <row r="136" spans="2:35" s="130" customFormat="1" ht="18" customHeight="1" x14ac:dyDescent="0.3">
      <c r="B136" s="144"/>
      <c r="C136" s="192"/>
      <c r="D136" s="145"/>
      <c r="E136" s="145"/>
      <c r="F136" s="145"/>
      <c r="G136" s="145"/>
      <c r="H136" s="145"/>
      <c r="I136" s="176"/>
      <c r="J136" s="180"/>
      <c r="K136" s="129"/>
      <c r="L136" s="14"/>
      <c r="N136" s="98"/>
      <c r="O136" s="98"/>
      <c r="P136" s="98"/>
      <c r="Q136" s="98"/>
      <c r="R136" s="98"/>
      <c r="S136" s="98"/>
      <c r="T136" s="154"/>
      <c r="U136" s="98"/>
      <c r="V136" s="98"/>
      <c r="W136" s="98"/>
      <c r="X136" s="98"/>
      <c r="Y136" s="98"/>
      <c r="Z136" s="98"/>
      <c r="AA136" s="98"/>
      <c r="AB136" s="98"/>
      <c r="AC136" s="98"/>
      <c r="AD136" s="98"/>
      <c r="AE136" s="98"/>
      <c r="AF136" s="98"/>
      <c r="AG136" s="98"/>
      <c r="AH136" s="98"/>
      <c r="AI136" s="98"/>
    </row>
    <row r="137" spans="2:35" s="130" customFormat="1" ht="18" customHeight="1" x14ac:dyDescent="0.3">
      <c r="B137" s="156"/>
      <c r="C137" s="192"/>
      <c r="D137" s="157"/>
      <c r="E137" s="157"/>
      <c r="F137" s="158"/>
      <c r="G137" s="158"/>
      <c r="H137" s="157"/>
      <c r="I137" s="176"/>
      <c r="J137" s="180"/>
      <c r="K137" s="129"/>
      <c r="L137" s="14"/>
      <c r="N137" s="98"/>
      <c r="O137" s="98"/>
      <c r="P137" s="98"/>
      <c r="Q137" s="98"/>
      <c r="R137" s="98"/>
      <c r="S137" s="98"/>
      <c r="T137" s="154"/>
      <c r="U137" s="98"/>
      <c r="V137" s="98"/>
      <c r="W137" s="98"/>
      <c r="X137" s="98"/>
      <c r="Y137" s="98"/>
      <c r="Z137" s="98"/>
      <c r="AA137" s="98"/>
      <c r="AB137" s="98"/>
      <c r="AC137" s="98"/>
      <c r="AD137" s="98"/>
      <c r="AE137" s="98"/>
      <c r="AF137" s="98"/>
      <c r="AG137" s="98"/>
      <c r="AH137" s="98"/>
      <c r="AI137" s="98"/>
    </row>
    <row r="138" spans="2:35" s="130" customFormat="1" ht="18" customHeight="1" x14ac:dyDescent="0.3">
      <c r="B138" s="156"/>
      <c r="C138" s="192"/>
      <c r="D138" s="157"/>
      <c r="E138" s="157"/>
      <c r="F138" s="158"/>
      <c r="G138" s="158"/>
      <c r="H138" s="157"/>
      <c r="I138" s="176"/>
      <c r="J138" s="180"/>
      <c r="K138" s="129"/>
      <c r="L138" s="14"/>
      <c r="N138" s="98"/>
      <c r="O138" s="98"/>
      <c r="P138" s="98"/>
      <c r="Q138" s="98"/>
      <c r="R138" s="98"/>
      <c r="S138" s="98"/>
      <c r="T138" s="154"/>
      <c r="U138" s="98"/>
      <c r="V138" s="98"/>
      <c r="W138" s="98"/>
      <c r="X138" s="98"/>
      <c r="Y138" s="98"/>
      <c r="Z138" s="98"/>
      <c r="AA138" s="98"/>
      <c r="AB138" s="98"/>
      <c r="AC138" s="98"/>
      <c r="AD138" s="98"/>
      <c r="AE138" s="98"/>
      <c r="AF138" s="98"/>
      <c r="AG138" s="98"/>
      <c r="AH138" s="98"/>
      <c r="AI138" s="98"/>
    </row>
    <row r="139" spans="2:35" s="130" customFormat="1" ht="18" customHeight="1" x14ac:dyDescent="0.3">
      <c r="B139" s="186"/>
      <c r="C139" s="191"/>
      <c r="D139" s="187"/>
      <c r="E139" s="187"/>
      <c r="F139" s="188"/>
      <c r="G139" s="188"/>
      <c r="H139" s="157"/>
      <c r="I139" s="176"/>
      <c r="J139" s="180"/>
      <c r="K139" s="129"/>
      <c r="L139" s="14"/>
      <c r="N139" s="98"/>
      <c r="O139" s="98"/>
      <c r="P139" s="98"/>
      <c r="Q139" s="98"/>
      <c r="R139" s="98"/>
      <c r="S139" s="98"/>
      <c r="T139" s="154"/>
      <c r="U139" s="98"/>
      <c r="V139" s="98"/>
      <c r="W139" s="98"/>
      <c r="X139" s="98"/>
      <c r="Y139" s="98"/>
      <c r="Z139" s="98"/>
      <c r="AA139" s="98"/>
      <c r="AB139" s="98"/>
      <c r="AC139" s="98"/>
      <c r="AD139" s="98"/>
      <c r="AE139" s="98"/>
      <c r="AF139" s="98"/>
      <c r="AG139" s="98"/>
      <c r="AH139" s="98"/>
      <c r="AI139" s="98"/>
    </row>
    <row r="140" spans="2:35" s="130" customFormat="1" ht="18" customHeight="1" x14ac:dyDescent="0.3">
      <c r="B140" s="156"/>
      <c r="C140" s="192"/>
      <c r="D140" s="157"/>
      <c r="E140" s="157"/>
      <c r="F140" s="158"/>
      <c r="G140" s="158"/>
      <c r="H140" s="157"/>
      <c r="I140" s="176"/>
      <c r="J140" s="180"/>
      <c r="K140" s="129"/>
      <c r="L140" s="14"/>
      <c r="N140" s="98"/>
      <c r="O140" s="98"/>
      <c r="P140" s="98"/>
      <c r="Q140" s="98"/>
      <c r="R140" s="98"/>
      <c r="S140" s="98"/>
      <c r="T140" s="154"/>
      <c r="U140" s="98"/>
      <c r="V140" s="98"/>
      <c r="W140" s="98"/>
      <c r="X140" s="98"/>
      <c r="Y140" s="98"/>
      <c r="Z140" s="98"/>
      <c r="AA140" s="98"/>
      <c r="AB140" s="98"/>
      <c r="AC140" s="98"/>
      <c r="AD140" s="98"/>
      <c r="AE140" s="98"/>
      <c r="AF140" s="98"/>
      <c r="AG140" s="98"/>
      <c r="AH140" s="98"/>
      <c r="AI140" s="98"/>
    </row>
    <row r="141" spans="2:35" s="130" customFormat="1" ht="18" customHeight="1" x14ac:dyDescent="0.3">
      <c r="B141" s="156"/>
      <c r="C141" s="156"/>
      <c r="D141" s="157"/>
      <c r="E141" s="157"/>
      <c r="F141" s="158"/>
      <c r="G141" s="158"/>
      <c r="H141" s="157"/>
      <c r="I141" s="176"/>
      <c r="J141" s="180"/>
      <c r="K141" s="129"/>
      <c r="L141" s="14"/>
      <c r="N141" s="98"/>
      <c r="O141" s="98"/>
      <c r="P141" s="98"/>
      <c r="Q141" s="98"/>
      <c r="R141" s="98"/>
      <c r="S141" s="98"/>
      <c r="T141" s="154"/>
      <c r="U141" s="98"/>
      <c r="V141" s="98"/>
      <c r="W141" s="98"/>
      <c r="X141" s="98"/>
      <c r="Y141" s="98"/>
      <c r="Z141" s="98"/>
      <c r="AA141" s="98"/>
      <c r="AB141" s="98"/>
      <c r="AC141" s="98"/>
      <c r="AD141" s="98"/>
      <c r="AE141" s="98"/>
      <c r="AF141" s="98"/>
      <c r="AG141" s="98"/>
      <c r="AH141" s="98"/>
      <c r="AI141" s="98"/>
    </row>
    <row r="142" spans="2:35" s="130" customFormat="1" ht="18" customHeight="1" x14ac:dyDescent="0.3">
      <c r="B142" s="156"/>
      <c r="C142" s="156"/>
      <c r="D142" s="157"/>
      <c r="E142" s="157"/>
      <c r="F142" s="157"/>
      <c r="G142" s="157"/>
      <c r="H142" s="157"/>
      <c r="I142" s="176"/>
      <c r="J142" s="180"/>
      <c r="K142" s="129"/>
      <c r="L142" s="14"/>
      <c r="M142" s="98"/>
      <c r="N142" s="98"/>
      <c r="O142" s="98"/>
      <c r="P142" s="98"/>
      <c r="Q142" s="98"/>
      <c r="R142" s="98"/>
      <c r="S142" s="98"/>
      <c r="T142" s="154"/>
      <c r="U142" s="98"/>
      <c r="V142" s="98"/>
      <c r="W142" s="98"/>
      <c r="X142" s="98"/>
      <c r="Y142" s="98"/>
      <c r="Z142" s="98"/>
      <c r="AA142" s="98"/>
      <c r="AB142" s="98"/>
      <c r="AC142" s="98"/>
      <c r="AD142" s="98"/>
      <c r="AE142" s="98"/>
      <c r="AF142" s="98"/>
      <c r="AG142" s="98"/>
      <c r="AH142" s="98"/>
      <c r="AI142" s="98"/>
    </row>
    <row r="143" spans="2:35" ht="18.75" x14ac:dyDescent="0.3">
      <c r="B143" s="144"/>
      <c r="C143" s="145"/>
      <c r="D143" s="145"/>
      <c r="E143" s="145"/>
      <c r="F143" s="145"/>
      <c r="G143" s="145"/>
      <c r="H143" s="145"/>
      <c r="I143" s="176"/>
      <c r="J143" s="182"/>
      <c r="K143" s="129"/>
      <c r="L143" s="39"/>
      <c r="M143" s="98"/>
      <c r="N143" s="98"/>
      <c r="O143" s="98"/>
      <c r="P143" s="98"/>
      <c r="Q143" s="98"/>
      <c r="R143" s="98"/>
      <c r="S143" s="18"/>
      <c r="T143" s="154"/>
      <c r="U143" s="18"/>
    </row>
    <row r="144" spans="2:35" s="111" customFormat="1" ht="15.75" thickBot="1" x14ac:dyDescent="0.3">
      <c r="B144" s="127" t="s">
        <v>118</v>
      </c>
      <c r="C144" s="127" t="s">
        <v>5</v>
      </c>
      <c r="D144" s="127" t="s">
        <v>139</v>
      </c>
      <c r="E144" s="127" t="s">
        <v>138</v>
      </c>
      <c r="F144" s="127" t="s">
        <v>100</v>
      </c>
      <c r="G144" s="127" t="s">
        <v>140</v>
      </c>
      <c r="H144" s="127"/>
      <c r="I144" s="126"/>
      <c r="J144" s="183"/>
      <c r="K144" s="126"/>
      <c r="L144" s="106"/>
      <c r="M144" s="98"/>
      <c r="N144" s="98"/>
      <c r="O144" s="98"/>
      <c r="P144" s="98"/>
      <c r="Q144" s="98"/>
      <c r="R144" s="98"/>
      <c r="T144" s="154"/>
      <c r="V144" s="40"/>
      <c r="W144" s="40"/>
    </row>
    <row r="145" spans="2:23" s="130" customFormat="1" ht="18.75" x14ac:dyDescent="0.3">
      <c r="B145" s="145" t="s">
        <v>1384</v>
      </c>
      <c r="C145" s="192">
        <v>43776</v>
      </c>
      <c r="D145" s="145" t="s">
        <v>265</v>
      </c>
      <c r="E145" s="331">
        <v>206.2</v>
      </c>
      <c r="F145" s="149">
        <f>+E145*EERR!$D$2</f>
        <v>160120.48599999998</v>
      </c>
      <c r="G145" s="149"/>
      <c r="H145" s="149"/>
      <c r="I145" s="176" t="s">
        <v>167</v>
      </c>
      <c r="J145" s="179"/>
      <c r="K145" s="129"/>
      <c r="L145" s="290"/>
      <c r="M145" s="302"/>
      <c r="N145" s="303"/>
      <c r="O145" s="304"/>
      <c r="P145" s="304"/>
      <c r="Q145" s="304"/>
      <c r="R145" s="305"/>
      <c r="S145" s="306"/>
      <c r="T145" s="154"/>
      <c r="U145" s="40"/>
      <c r="V145" s="40"/>
      <c r="W145" s="40"/>
    </row>
    <row r="146" spans="2:23" s="130" customFormat="1" ht="19.5" thickBot="1" x14ac:dyDescent="0.35">
      <c r="B146" s="145" t="s">
        <v>1385</v>
      </c>
      <c r="C146" s="192">
        <v>43778</v>
      </c>
      <c r="D146" s="145" t="s">
        <v>325</v>
      </c>
      <c r="E146" s="331">
        <v>9.3800000000000008</v>
      </c>
      <c r="F146" s="149">
        <f>+E146*EERR!$D$2</f>
        <v>7283.8514000000005</v>
      </c>
      <c r="G146" s="149"/>
      <c r="H146" s="149"/>
      <c r="I146" s="176" t="s">
        <v>167</v>
      </c>
      <c r="J146" s="184"/>
      <c r="K146" s="129"/>
      <c r="L146" s="291"/>
      <c r="M146" s="307"/>
      <c r="N146" s="308"/>
      <c r="O146" s="309"/>
      <c r="P146" s="309"/>
      <c r="Q146" s="309"/>
      <c r="R146" s="310"/>
      <c r="S146" s="311"/>
      <c r="T146" s="154"/>
      <c r="U146" s="40"/>
      <c r="V146" s="40"/>
      <c r="W146" s="40"/>
    </row>
    <row r="147" spans="2:23" s="193" customFormat="1" ht="19.5" thickBot="1" x14ac:dyDescent="0.35">
      <c r="B147" s="145" t="s">
        <v>1386</v>
      </c>
      <c r="C147" s="192">
        <v>43790</v>
      </c>
      <c r="D147" s="145" t="s">
        <v>325</v>
      </c>
      <c r="E147" s="331">
        <v>5.63</v>
      </c>
      <c r="F147" s="149">
        <f>+E147*EERR!$D$2</f>
        <v>4371.8638999999994</v>
      </c>
      <c r="G147" s="149"/>
      <c r="H147" s="149"/>
      <c r="I147" s="176" t="s">
        <v>167</v>
      </c>
      <c r="J147" s="184"/>
      <c r="K147" s="129"/>
      <c r="L147" s="292"/>
      <c r="M147" s="293"/>
      <c r="N147" s="294"/>
      <c r="O147" s="294"/>
      <c r="P147" s="294"/>
      <c r="Q147" s="295"/>
      <c r="R147" s="280"/>
      <c r="S147" s="279"/>
      <c r="T147" s="154"/>
      <c r="U147" s="40"/>
      <c r="V147" s="40"/>
      <c r="W147" s="40"/>
    </row>
    <row r="148" spans="2:23" s="193" customFormat="1" ht="19.5" thickBot="1" x14ac:dyDescent="0.35">
      <c r="B148" s="145" t="s">
        <v>1387</v>
      </c>
      <c r="C148" s="192">
        <v>43795</v>
      </c>
      <c r="D148" s="145" t="s">
        <v>266</v>
      </c>
      <c r="E148" s="331">
        <v>90</v>
      </c>
      <c r="F148" s="149">
        <f>+E148*EERR!$D$2</f>
        <v>69887.7</v>
      </c>
      <c r="G148" s="149"/>
      <c r="H148" s="149"/>
      <c r="I148" s="176" t="s">
        <v>167</v>
      </c>
      <c r="J148" s="184"/>
      <c r="K148" s="129"/>
      <c r="L148" s="106"/>
      <c r="M148" s="98"/>
      <c r="N148" s="98"/>
      <c r="O148" s="98"/>
      <c r="P148" s="98"/>
      <c r="Q148" s="98"/>
      <c r="R148" s="98"/>
      <c r="S148" s="280"/>
      <c r="T148" s="154"/>
      <c r="U148" s="40"/>
      <c r="V148" s="40"/>
      <c r="W148" s="40"/>
    </row>
    <row r="149" spans="2:23" s="111" customFormat="1" ht="18.75" x14ac:dyDescent="0.3">
      <c r="B149" s="145" t="s">
        <v>1388</v>
      </c>
      <c r="C149" s="192">
        <v>43796</v>
      </c>
      <c r="D149" s="145" t="s">
        <v>1389</v>
      </c>
      <c r="E149" s="331">
        <v>171.74</v>
      </c>
      <c r="F149" s="149">
        <f>+E149*EERR!$D$2</f>
        <v>133361.2622</v>
      </c>
      <c r="G149" s="149"/>
      <c r="H149" s="149"/>
      <c r="I149" s="176" t="s">
        <v>167</v>
      </c>
      <c r="J149" s="184"/>
      <c r="K149" s="102"/>
      <c r="L149" s="106"/>
      <c r="M149" s="106"/>
      <c r="N149" s="98"/>
      <c r="O149" s="106"/>
      <c r="P149" s="98"/>
      <c r="Q149" s="98"/>
      <c r="R149" s="99"/>
      <c r="S149" s="99"/>
      <c r="T149" s="154"/>
      <c r="U149" s="40"/>
      <c r="V149" s="40"/>
      <c r="W149" s="40"/>
    </row>
    <row r="150" spans="2:23" s="111" customFormat="1" ht="18.75" x14ac:dyDescent="0.3">
      <c r="B150" s="145" t="s">
        <v>1390</v>
      </c>
      <c r="C150" s="192">
        <v>43800</v>
      </c>
      <c r="D150" s="145" t="s">
        <v>365</v>
      </c>
      <c r="E150" s="331">
        <v>64.8</v>
      </c>
      <c r="F150" s="149">
        <f>+E150*EERR!$D$2</f>
        <v>50319.143999999993</v>
      </c>
      <c r="G150" s="149"/>
      <c r="H150" s="148"/>
      <c r="I150" s="176" t="s">
        <v>167</v>
      </c>
      <c r="J150" s="185"/>
      <c r="K150" s="102"/>
      <c r="L150" s="106"/>
      <c r="M150" s="106"/>
      <c r="N150" s="98"/>
      <c r="O150" s="106"/>
      <c r="P150" s="98"/>
      <c r="Q150" s="98"/>
      <c r="R150" s="99"/>
      <c r="S150" s="99"/>
      <c r="T150" s="154"/>
      <c r="U150" s="40"/>
      <c r="V150" s="40"/>
      <c r="W150" s="40"/>
    </row>
    <row r="151" spans="2:23" s="111" customFormat="1" ht="18.75" x14ac:dyDescent="0.3">
      <c r="B151" s="100"/>
      <c r="C151" s="144"/>
      <c r="D151" s="101"/>
      <c r="E151" s="131"/>
      <c r="F151" s="149"/>
      <c r="G151" s="149"/>
      <c r="H151" s="148"/>
      <c r="I151" s="176"/>
      <c r="J151" s="185"/>
      <c r="K151" s="102"/>
      <c r="L151" s="106"/>
      <c r="M151" s="106"/>
      <c r="N151" s="98"/>
      <c r="O151" s="106"/>
      <c r="P151" s="98"/>
      <c r="Q151" s="98"/>
      <c r="R151" s="99"/>
      <c r="S151" s="99"/>
      <c r="T151" s="154"/>
      <c r="U151" s="40"/>
      <c r="V151" s="40"/>
      <c r="W151" s="40"/>
    </row>
    <row r="152" spans="2:23" s="111" customFormat="1" ht="18.75" x14ac:dyDescent="0.3">
      <c r="B152" s="144"/>
      <c r="C152" s="144"/>
      <c r="D152" s="145"/>
      <c r="E152" s="131"/>
      <c r="F152" s="149"/>
      <c r="G152" s="145"/>
      <c r="H152" s="148"/>
      <c r="I152" s="176"/>
      <c r="J152" s="180"/>
      <c r="K152" s="102"/>
      <c r="N152" s="98"/>
      <c r="O152" s="106"/>
      <c r="P152" s="98"/>
      <c r="Q152" s="98"/>
      <c r="R152" s="99"/>
      <c r="S152" s="99"/>
      <c r="T152" s="154"/>
      <c r="U152" s="40"/>
      <c r="V152" s="40"/>
      <c r="W152" s="40"/>
    </row>
    <row r="153" spans="2:23" s="111" customFormat="1" x14ac:dyDescent="0.2">
      <c r="B153" s="112"/>
      <c r="C153" s="113"/>
      <c r="D153" s="113"/>
      <c r="E153" s="113"/>
      <c r="F153" s="26"/>
      <c r="G153" s="106"/>
      <c r="H153" s="106"/>
      <c r="I153" s="106"/>
      <c r="J153" s="106"/>
      <c r="K153" s="106"/>
      <c r="N153" s="98"/>
      <c r="O153" s="106"/>
      <c r="P153" s="98"/>
      <c r="Q153" s="98"/>
      <c r="R153" s="99"/>
      <c r="S153" s="99"/>
      <c r="T153" s="154"/>
      <c r="U153" s="40"/>
      <c r="V153" s="40"/>
      <c r="W153" s="40"/>
    </row>
    <row r="154" spans="2:23" s="111" customFormat="1" x14ac:dyDescent="0.2">
      <c r="B154" s="112"/>
      <c r="C154" s="113"/>
      <c r="D154" s="113"/>
      <c r="E154" s="113"/>
      <c r="F154" s="26"/>
      <c r="G154" s="106"/>
      <c r="H154" s="106"/>
      <c r="I154" s="106"/>
      <c r="J154" s="106"/>
      <c r="K154" s="106"/>
      <c r="N154" s="98"/>
      <c r="O154" s="106"/>
      <c r="P154" s="98"/>
      <c r="Q154" s="98"/>
      <c r="R154" s="99"/>
      <c r="S154" s="99"/>
      <c r="T154" s="154"/>
      <c r="U154" s="40"/>
      <c r="V154" s="40"/>
      <c r="W154" s="40"/>
    </row>
    <row r="155" spans="2:23" s="111" customFormat="1" x14ac:dyDescent="0.2">
      <c r="B155" s="112"/>
      <c r="C155" s="113"/>
      <c r="D155" s="113"/>
      <c r="E155" s="113"/>
      <c r="F155" s="154">
        <f>SUBTOTAL(9,F3:F152)</f>
        <v>25524675.407500003</v>
      </c>
      <c r="G155" s="154">
        <f>SUBTOTAL(9,G3:G152)</f>
        <v>21965303</v>
      </c>
      <c r="H155" s="154"/>
      <c r="I155" s="106"/>
      <c r="J155" s="130"/>
      <c r="K155" s="106"/>
      <c r="L155" s="40"/>
      <c r="M155" s="40"/>
      <c r="N155" s="40"/>
      <c r="O155" s="40"/>
      <c r="P155" s="98"/>
      <c r="Q155" s="98"/>
      <c r="R155" s="99"/>
      <c r="S155" s="99"/>
      <c r="T155" s="154"/>
      <c r="U155" s="40"/>
      <c r="V155" s="40"/>
      <c r="W155" s="40"/>
    </row>
    <row r="156" spans="2:23" x14ac:dyDescent="0.2">
      <c r="B156" s="28"/>
      <c r="E156" s="27"/>
      <c r="F156" s="28"/>
      <c r="G156" s="41"/>
      <c r="H156" s="56"/>
      <c r="I156" s="56" t="s">
        <v>4</v>
      </c>
      <c r="J156" s="130"/>
      <c r="L156" s="40"/>
      <c r="M156" s="40"/>
      <c r="N156" s="40"/>
      <c r="O156" s="40"/>
      <c r="P156" s="98"/>
      <c r="Q156" s="98"/>
      <c r="R156" s="99"/>
      <c r="S156" s="99"/>
      <c r="T156" s="154"/>
    </row>
    <row r="157" spans="2:23" ht="18.75" x14ac:dyDescent="0.3">
      <c r="B157" s="28"/>
      <c r="E157" s="27"/>
      <c r="F157" s="28"/>
      <c r="G157" s="41"/>
      <c r="H157" s="57">
        <f t="shared" ref="H157:H173" si="6">SUMIF($I$3:$I$152,I157,$F$3:$F$152)-SUMIF($I$3:$I$152,I157,$G$3:$G$152)</f>
        <v>20373</v>
      </c>
      <c r="I157" s="176" t="s">
        <v>168</v>
      </c>
      <c r="J157" s="130"/>
      <c r="L157" s="40"/>
      <c r="M157" s="40"/>
      <c r="N157" s="40"/>
      <c r="O157" s="40"/>
      <c r="P157" s="92"/>
      <c r="T157" s="154"/>
    </row>
    <row r="158" spans="2:23" ht="18.75" x14ac:dyDescent="0.3">
      <c r="B158" s="28"/>
      <c r="E158" s="27"/>
      <c r="F158" s="28"/>
      <c r="G158" s="41"/>
      <c r="H158" s="57">
        <f t="shared" si="6"/>
        <v>3749964</v>
      </c>
      <c r="I158" s="176" t="s">
        <v>31</v>
      </c>
      <c r="J158" s="130"/>
      <c r="L158" s="40"/>
      <c r="M158" s="40"/>
      <c r="N158" s="40"/>
      <c r="O158" s="40"/>
      <c r="P158" s="143"/>
      <c r="Q158" s="98"/>
      <c r="R158" s="99"/>
      <c r="S158" s="99"/>
      <c r="T158" s="154"/>
    </row>
    <row r="159" spans="2:23" ht="18.75" x14ac:dyDescent="0.3">
      <c r="B159" s="28"/>
      <c r="E159" s="27"/>
      <c r="F159" s="28"/>
      <c r="G159" s="41"/>
      <c r="H159" s="57">
        <f t="shared" si="6"/>
        <v>1089685</v>
      </c>
      <c r="I159" s="176" t="s">
        <v>101</v>
      </c>
      <c r="J159" s="130"/>
      <c r="L159" s="40"/>
      <c r="M159" s="40"/>
      <c r="N159" s="40"/>
      <c r="O159" s="40"/>
      <c r="P159" s="143"/>
      <c r="Q159" s="98"/>
      <c r="R159" s="99"/>
      <c r="S159" s="99"/>
      <c r="T159" s="154"/>
    </row>
    <row r="160" spans="2:23" ht="18.75" x14ac:dyDescent="0.3">
      <c r="B160" s="28"/>
      <c r="E160" s="27"/>
      <c r="F160" s="28"/>
      <c r="G160" s="41"/>
      <c r="H160" s="57">
        <f t="shared" si="6"/>
        <v>425344.30749999994</v>
      </c>
      <c r="I160" s="177" t="s">
        <v>167</v>
      </c>
      <c r="J160" s="130"/>
      <c r="L160" s="40"/>
      <c r="M160" s="40"/>
      <c r="N160" s="40"/>
      <c r="O160" s="40"/>
      <c r="P160" s="143"/>
      <c r="Q160" s="98"/>
      <c r="R160" s="99"/>
      <c r="S160" s="99"/>
      <c r="T160" s="154"/>
    </row>
    <row r="161" spans="2:23" ht="18.75" x14ac:dyDescent="0.3">
      <c r="F161" s="28"/>
      <c r="G161" s="41"/>
      <c r="H161" s="57">
        <f t="shared" si="6"/>
        <v>653132</v>
      </c>
      <c r="I161" s="177" t="s">
        <v>8</v>
      </c>
      <c r="J161" s="130"/>
      <c r="L161" s="40"/>
      <c r="M161" s="40"/>
      <c r="N161" s="40"/>
      <c r="O161" s="40"/>
      <c r="P161" s="143"/>
      <c r="Q161" s="98"/>
      <c r="R161" s="99"/>
      <c r="S161" s="99"/>
      <c r="T161" s="154"/>
    </row>
    <row r="162" spans="2:23" ht="18.75" x14ac:dyDescent="0.3">
      <c r="F162" s="28"/>
      <c r="G162" s="41"/>
      <c r="H162" s="57">
        <f t="shared" si="6"/>
        <v>2800000</v>
      </c>
      <c r="I162" s="178" t="s">
        <v>169</v>
      </c>
      <c r="J162" s="130"/>
      <c r="L162" s="40"/>
      <c r="M162" s="40"/>
      <c r="N162" s="40"/>
      <c r="O162" s="40"/>
      <c r="P162" s="143"/>
      <c r="Q162" s="98"/>
      <c r="R162" s="99"/>
      <c r="S162" s="99"/>
      <c r="T162" s="154"/>
    </row>
    <row r="163" spans="2:23" ht="18.75" x14ac:dyDescent="0.3">
      <c r="F163" s="28"/>
      <c r="G163" s="41"/>
      <c r="H163" s="57">
        <f t="shared" si="6"/>
        <v>1489738</v>
      </c>
      <c r="I163" s="176" t="s">
        <v>171</v>
      </c>
      <c r="J163" s="130"/>
      <c r="L163" s="40"/>
      <c r="M163" s="40"/>
      <c r="N163" s="40"/>
      <c r="O163" s="40"/>
      <c r="P163" s="18"/>
      <c r="Q163" s="18"/>
      <c r="R163" s="18"/>
      <c r="S163" s="18"/>
      <c r="T163" s="154"/>
    </row>
    <row r="164" spans="2:23" ht="18.75" x14ac:dyDescent="0.3">
      <c r="F164" s="28"/>
      <c r="G164" s="41"/>
      <c r="H164" s="57">
        <f t="shared" si="6"/>
        <v>481666</v>
      </c>
      <c r="I164" s="176" t="s">
        <v>170</v>
      </c>
      <c r="J164" s="130"/>
      <c r="L164" s="40"/>
      <c r="M164" s="40"/>
      <c r="N164" s="40"/>
      <c r="O164" s="40"/>
      <c r="P164" s="18"/>
      <c r="Q164" s="18"/>
      <c r="R164" s="18"/>
      <c r="S164" s="18"/>
      <c r="T164" s="154"/>
    </row>
    <row r="165" spans="2:23" ht="18.75" x14ac:dyDescent="0.3">
      <c r="F165" s="28"/>
      <c r="G165" s="41"/>
      <c r="H165" s="57">
        <f t="shared" si="6"/>
        <v>0</v>
      </c>
      <c r="I165" s="178" t="s">
        <v>24</v>
      </c>
      <c r="J165" s="130"/>
      <c r="L165" s="40"/>
      <c r="M165" s="40"/>
      <c r="N165" s="40"/>
      <c r="O165" s="40"/>
      <c r="P165" s="18"/>
      <c r="Q165" s="18"/>
      <c r="R165" s="18"/>
      <c r="S165" s="18"/>
      <c r="T165" s="154"/>
    </row>
    <row r="166" spans="2:23" ht="18.75" x14ac:dyDescent="0.3">
      <c r="F166" s="28"/>
      <c r="G166" s="41"/>
      <c r="H166" s="57">
        <f t="shared" si="6"/>
        <v>0</v>
      </c>
      <c r="I166" s="176" t="s">
        <v>11</v>
      </c>
      <c r="J166" s="130"/>
      <c r="L166" s="40"/>
      <c r="M166" s="40"/>
      <c r="N166" s="40"/>
      <c r="O166" s="40"/>
      <c r="P166" s="48"/>
      <c r="Q166" s="18"/>
      <c r="R166" s="18"/>
      <c r="S166" s="18"/>
      <c r="T166" s="154"/>
    </row>
    <row r="167" spans="2:23" ht="18.75" x14ac:dyDescent="0.3">
      <c r="F167" s="28"/>
      <c r="G167" s="41"/>
      <c r="H167" s="57">
        <f t="shared" si="6"/>
        <v>4366842</v>
      </c>
      <c r="I167" s="176" t="s">
        <v>19</v>
      </c>
      <c r="J167" s="130"/>
      <c r="L167" s="40"/>
      <c r="M167" s="40"/>
      <c r="N167" s="40"/>
      <c r="O167" s="40"/>
      <c r="P167" s="18"/>
      <c r="Q167" s="18"/>
      <c r="R167" s="18"/>
      <c r="S167" s="18"/>
      <c r="T167" s="154"/>
    </row>
    <row r="168" spans="2:23" ht="18.75" x14ac:dyDescent="0.3">
      <c r="F168" s="28"/>
      <c r="G168" s="41"/>
      <c r="H168" s="57">
        <f t="shared" si="6"/>
        <v>1441017</v>
      </c>
      <c r="I168" s="177" t="s">
        <v>172</v>
      </c>
      <c r="J168" s="130"/>
      <c r="L168" s="40"/>
      <c r="M168" s="40"/>
      <c r="N168" s="40"/>
      <c r="O168" s="40"/>
      <c r="P168" s="18"/>
      <c r="Q168" s="18"/>
      <c r="R168" s="18"/>
      <c r="S168" s="18"/>
      <c r="T168" s="154"/>
    </row>
    <row r="169" spans="2:23" ht="18.75" x14ac:dyDescent="0.3">
      <c r="F169" s="28"/>
      <c r="G169" s="41"/>
      <c r="H169" s="57">
        <f t="shared" si="6"/>
        <v>7734534.0999999996</v>
      </c>
      <c r="I169" s="176" t="s">
        <v>30</v>
      </c>
      <c r="J169" s="130"/>
      <c r="L169" s="40"/>
      <c r="M169" s="40"/>
      <c r="N169" s="40"/>
      <c r="O169" s="40"/>
      <c r="P169" s="18"/>
      <c r="Q169" s="18"/>
      <c r="R169" s="18"/>
      <c r="S169" s="18"/>
      <c r="T169" s="154"/>
    </row>
    <row r="170" spans="2:23" ht="18.75" x14ac:dyDescent="0.3">
      <c r="F170" s="28"/>
      <c r="G170" s="41"/>
      <c r="H170" s="57">
        <f t="shared" si="6"/>
        <v>7660</v>
      </c>
      <c r="I170" s="177" t="s">
        <v>134</v>
      </c>
      <c r="J170" s="130"/>
      <c r="L170" s="40"/>
      <c r="M170" s="40"/>
      <c r="N170" s="40"/>
      <c r="O170" s="40"/>
      <c r="P170" s="48"/>
      <c r="Q170" s="18"/>
      <c r="R170" s="18"/>
      <c r="S170" s="18"/>
      <c r="T170" s="154"/>
    </row>
    <row r="171" spans="2:23" ht="18.75" x14ac:dyDescent="0.3">
      <c r="F171" s="28"/>
      <c r="G171" s="41"/>
      <c r="H171" s="57">
        <f t="shared" si="6"/>
        <v>-21341020</v>
      </c>
      <c r="I171" s="176" t="s">
        <v>135</v>
      </c>
      <c r="J171" s="193"/>
      <c r="L171" s="40"/>
      <c r="M171" s="40"/>
      <c r="N171" s="40"/>
      <c r="O171" s="40"/>
    </row>
    <row r="172" spans="2:23" ht="18.75" x14ac:dyDescent="0.3">
      <c r="F172" s="28"/>
      <c r="G172" s="41"/>
      <c r="H172" s="57">
        <f t="shared" si="6"/>
        <v>-615690</v>
      </c>
      <c r="I172" s="176" t="s">
        <v>173</v>
      </c>
      <c r="J172" s="130"/>
      <c r="L172" s="40"/>
      <c r="M172" s="40"/>
      <c r="N172" s="40"/>
      <c r="O172" s="40"/>
    </row>
    <row r="173" spans="2:23" ht="18.75" x14ac:dyDescent="0.3">
      <c r="F173" s="28"/>
      <c r="G173" s="41"/>
      <c r="H173" s="57">
        <f t="shared" si="6"/>
        <v>-8593</v>
      </c>
      <c r="I173" s="176" t="s">
        <v>174</v>
      </c>
      <c r="J173" s="130"/>
      <c r="L173" s="40"/>
      <c r="M173" s="40"/>
      <c r="N173" s="40"/>
      <c r="O173" s="40"/>
      <c r="P173" s="91"/>
    </row>
    <row r="174" spans="2:23" s="52" customFormat="1" x14ac:dyDescent="0.2">
      <c r="G174" s="42"/>
      <c r="H174" s="58">
        <f>SUM(H157:H172)</f>
        <v>2303245.4074999988</v>
      </c>
      <c r="I174" s="56" t="s">
        <v>22</v>
      </c>
      <c r="J174" s="130"/>
      <c r="L174" s="40"/>
      <c r="M174" s="40"/>
      <c r="N174" s="40"/>
      <c r="O174" s="40"/>
      <c r="P174" s="40"/>
      <c r="Q174" s="40"/>
      <c r="R174" s="40"/>
      <c r="S174" s="92"/>
      <c r="T174" s="92"/>
      <c r="U174" s="40"/>
      <c r="V174" s="40"/>
      <c r="W174" s="40"/>
    </row>
    <row r="175" spans="2:23" x14ac:dyDescent="0.2">
      <c r="B175" s="48"/>
      <c r="F175" s="70"/>
      <c r="G175" s="70"/>
      <c r="H175" s="70"/>
      <c r="J175" s="130"/>
      <c r="L175" s="40"/>
      <c r="M175" s="40"/>
      <c r="N175" s="40"/>
      <c r="O175" s="40"/>
    </row>
    <row r="176" spans="2:23" x14ac:dyDescent="0.2">
      <c r="B176" s="48"/>
      <c r="F176" s="70"/>
      <c r="G176" s="70"/>
      <c r="H176" s="70"/>
    </row>
    <row r="177" spans="1:16" x14ac:dyDescent="0.2">
      <c r="B177" s="48"/>
      <c r="F177" s="70"/>
      <c r="G177" s="70"/>
      <c r="H177" s="70"/>
      <c r="P177" s="91"/>
    </row>
    <row r="178" spans="1:16" x14ac:dyDescent="0.2">
      <c r="B178" s="48"/>
      <c r="F178" s="70"/>
      <c r="G178" s="70"/>
      <c r="H178" s="70"/>
    </row>
    <row r="179" spans="1:16" x14ac:dyDescent="0.2">
      <c r="B179" s="48"/>
      <c r="F179" s="70"/>
      <c r="G179" s="70"/>
      <c r="H179" s="70"/>
      <c r="O179" s="107"/>
    </row>
    <row r="180" spans="1:16" x14ac:dyDescent="0.2">
      <c r="B180" s="130"/>
      <c r="C180" s="130"/>
      <c r="D180" s="130"/>
      <c r="E180" s="130"/>
      <c r="F180" s="130"/>
      <c r="G180" s="130"/>
      <c r="H180" s="130"/>
    </row>
    <row r="181" spans="1:16" x14ac:dyDescent="0.2">
      <c r="B181" s="130"/>
      <c r="C181" s="130"/>
      <c r="D181" s="130"/>
      <c r="E181" s="130"/>
      <c r="F181" s="130"/>
      <c r="G181" s="130"/>
      <c r="H181" s="130"/>
      <c r="I181" s="91"/>
      <c r="J181" s="91"/>
      <c r="K181" s="91"/>
      <c r="L181" s="91"/>
      <c r="M181" s="91"/>
      <c r="P181" s="91"/>
    </row>
    <row r="182" spans="1:16" x14ac:dyDescent="0.2">
      <c r="A182" s="130"/>
      <c r="B182" s="130"/>
      <c r="C182" s="130"/>
      <c r="D182" s="130"/>
      <c r="E182" s="130"/>
      <c r="F182" s="130"/>
      <c r="G182" s="130"/>
      <c r="H182" s="130"/>
      <c r="I182" s="130"/>
      <c r="J182" s="130"/>
      <c r="K182" s="130"/>
      <c r="L182" s="130"/>
      <c r="M182" s="130"/>
    </row>
    <row r="183" spans="1:16" x14ac:dyDescent="0.2">
      <c r="A183" s="130"/>
      <c r="B183" s="130"/>
      <c r="C183" s="130"/>
      <c r="D183" s="130"/>
      <c r="E183" s="130"/>
      <c r="F183" s="130"/>
      <c r="G183" s="130"/>
      <c r="H183" s="130"/>
      <c r="I183" s="130"/>
      <c r="J183" s="130"/>
      <c r="K183" s="130"/>
      <c r="L183" s="130"/>
      <c r="M183" s="130"/>
      <c r="O183" s="107"/>
    </row>
    <row r="184" spans="1:16" x14ac:dyDescent="0.2">
      <c r="A184" s="130"/>
      <c r="B184" s="130"/>
      <c r="C184" s="130"/>
      <c r="D184" s="130"/>
      <c r="E184" s="130"/>
      <c r="F184" s="130"/>
      <c r="G184" s="130"/>
      <c r="H184" s="130"/>
      <c r="I184" s="130"/>
      <c r="J184" s="130"/>
      <c r="K184" s="130"/>
      <c r="L184" s="130"/>
      <c r="M184" s="130"/>
    </row>
    <row r="185" spans="1:16" x14ac:dyDescent="0.2">
      <c r="A185" s="130"/>
      <c r="B185" s="130"/>
      <c r="C185" s="130"/>
      <c r="D185" s="130"/>
      <c r="E185" s="130"/>
      <c r="F185" s="130"/>
      <c r="G185" s="130"/>
      <c r="H185" s="130"/>
      <c r="I185" s="130"/>
      <c r="J185" s="130"/>
      <c r="K185" s="130"/>
      <c r="L185" s="130"/>
      <c r="M185" s="130"/>
      <c r="P185" s="91"/>
    </row>
    <row r="186" spans="1:16" x14ac:dyDescent="0.2">
      <c r="A186" s="130"/>
      <c r="B186" s="130"/>
      <c r="C186" s="130"/>
      <c r="D186" s="130"/>
      <c r="E186" s="130"/>
      <c r="F186" s="130"/>
      <c r="G186" s="130"/>
      <c r="H186" s="130"/>
      <c r="I186" s="130"/>
      <c r="J186" s="130"/>
      <c r="K186" s="130"/>
      <c r="L186" s="130"/>
      <c r="M186" s="130"/>
    </row>
    <row r="187" spans="1:16" x14ac:dyDescent="0.2">
      <c r="A187" s="130"/>
      <c r="B187" s="130"/>
      <c r="C187" s="130"/>
      <c r="D187" s="130"/>
      <c r="E187" s="130"/>
      <c r="F187" s="130"/>
      <c r="G187" s="130"/>
      <c r="H187" s="130"/>
      <c r="I187" s="130"/>
      <c r="J187" s="130"/>
      <c r="K187" s="130"/>
      <c r="L187" s="130"/>
      <c r="M187" s="130"/>
      <c r="O187" s="107"/>
    </row>
    <row r="188" spans="1:16" x14ac:dyDescent="0.2">
      <c r="A188" s="130"/>
      <c r="B188" s="130"/>
      <c r="C188" s="130"/>
      <c r="D188" s="130"/>
      <c r="E188" s="130"/>
      <c r="F188" s="130"/>
      <c r="G188" s="130"/>
      <c r="H188" s="130"/>
      <c r="I188" s="130"/>
      <c r="J188" s="130"/>
      <c r="K188" s="130"/>
      <c r="L188" s="130"/>
      <c r="M188" s="130"/>
    </row>
    <row r="189" spans="1:16" x14ac:dyDescent="0.2">
      <c r="A189" s="130"/>
      <c r="B189" s="130"/>
      <c r="C189" s="130"/>
      <c r="D189" s="130"/>
      <c r="E189" s="130"/>
      <c r="F189" s="130"/>
      <c r="G189" s="130"/>
      <c r="H189" s="130"/>
      <c r="I189" s="130"/>
      <c r="J189" s="130"/>
      <c r="K189" s="130"/>
      <c r="L189" s="130"/>
      <c r="M189" s="130"/>
      <c r="P189" s="91"/>
    </row>
    <row r="190" spans="1:16" x14ac:dyDescent="0.2">
      <c r="A190" s="130"/>
      <c r="B190" s="130"/>
      <c r="C190" s="130"/>
      <c r="D190" s="130"/>
      <c r="E190" s="130"/>
      <c r="F190" s="130"/>
      <c r="G190" s="130"/>
      <c r="H190" s="130"/>
      <c r="I190" s="130"/>
      <c r="J190" s="130"/>
      <c r="K190" s="130"/>
      <c r="L190" s="130"/>
      <c r="M190" s="130"/>
    </row>
    <row r="191" spans="1:16" x14ac:dyDescent="0.2">
      <c r="A191" s="130"/>
      <c r="B191" s="130"/>
      <c r="C191" s="130"/>
      <c r="D191" s="130"/>
      <c r="E191" s="130"/>
      <c r="F191" s="130"/>
      <c r="G191" s="130"/>
      <c r="H191" s="130"/>
      <c r="I191" s="130"/>
      <c r="J191" s="130"/>
      <c r="K191" s="130"/>
      <c r="L191" s="130"/>
      <c r="M191" s="130"/>
      <c r="O191" s="107"/>
    </row>
    <row r="192" spans="1:16" x14ac:dyDescent="0.2">
      <c r="A192" s="130"/>
      <c r="B192" s="130"/>
      <c r="C192" s="130"/>
      <c r="D192" s="130"/>
      <c r="E192" s="130"/>
      <c r="F192" s="130"/>
      <c r="G192" s="130"/>
      <c r="H192" s="130"/>
      <c r="I192" s="130"/>
      <c r="J192" s="130"/>
      <c r="K192" s="130"/>
      <c r="L192" s="130"/>
      <c r="M192" s="130"/>
    </row>
    <row r="193" spans="9:16" x14ac:dyDescent="0.2">
      <c r="I193" s="91"/>
      <c r="J193" s="91"/>
      <c r="K193" s="91"/>
      <c r="L193" s="91"/>
      <c r="M193" s="91"/>
      <c r="P193" s="91"/>
    </row>
    <row r="195" spans="9:16" x14ac:dyDescent="0.2">
      <c r="O195" s="107"/>
    </row>
    <row r="197" spans="9:16" x14ac:dyDescent="0.2">
      <c r="P197" s="91"/>
    </row>
    <row r="199" spans="9:16" x14ac:dyDescent="0.2">
      <c r="O199" s="107"/>
    </row>
    <row r="201" spans="9:16" x14ac:dyDescent="0.2">
      <c r="P201" s="91"/>
    </row>
    <row r="203" spans="9:16" x14ac:dyDescent="0.2">
      <c r="O203" s="107"/>
    </row>
    <row r="206" spans="9:16" x14ac:dyDescent="0.2">
      <c r="O206" s="107"/>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promptTitle="Clases de Costos">
          <x14:formula1>
            <xm:f>'1'!$A$2:$A$18</xm:f>
          </x14:formula1>
          <xm:sqref>I80:I105 I145:I152 I119:I143</xm:sqref>
        </x14:dataValidation>
        <x14:dataValidation type="list" allowBlank="1" showInputMessage="1" showErrorMessage="1" promptTitle="Clases de Costos">
          <x14:formula1>
            <xm:f>'1'!$A$2:$A$20</xm:f>
          </x14:formula1>
          <xm:sqref>I107:I117 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Q85"/>
  <sheetViews>
    <sheetView topLeftCell="A61" workbookViewId="0">
      <selection activeCell="I58" sqref="I58:J58"/>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3" t="s">
        <v>62</v>
      </c>
      <c r="B1" s="64" t="s">
        <v>63</v>
      </c>
      <c r="C1" s="64" t="s">
        <v>64</v>
      </c>
      <c r="D1" s="65" t="s">
        <v>65</v>
      </c>
      <c r="E1" s="64" t="s">
        <v>66</v>
      </c>
      <c r="F1" s="64" t="s">
        <v>74</v>
      </c>
      <c r="G1" s="66" t="s">
        <v>37</v>
      </c>
      <c r="H1" s="67">
        <f>F2</f>
        <v>64443367</v>
      </c>
      <c r="J1" t="s">
        <v>38</v>
      </c>
    </row>
    <row r="2" spans="1:17" ht="18.75" x14ac:dyDescent="0.3">
      <c r="A2" s="60">
        <v>44141</v>
      </c>
      <c r="B2" s="61" t="s">
        <v>189</v>
      </c>
      <c r="C2" s="207">
        <v>0</v>
      </c>
      <c r="D2" s="62">
        <v>0</v>
      </c>
      <c r="E2" s="62">
        <v>2091144</v>
      </c>
      <c r="F2" s="208">
        <v>64443367</v>
      </c>
      <c r="G2" s="176" t="s">
        <v>135</v>
      </c>
      <c r="J2" s="2" t="s">
        <v>5</v>
      </c>
      <c r="K2" s="2" t="s">
        <v>104</v>
      </c>
      <c r="L2" s="2" t="s">
        <v>105</v>
      </c>
      <c r="M2" s="2" t="s">
        <v>106</v>
      </c>
      <c r="N2" s="2" t="s">
        <v>107</v>
      </c>
      <c r="O2" s="2" t="s">
        <v>108</v>
      </c>
      <c r="P2" s="2" t="s">
        <v>109</v>
      </c>
    </row>
    <row r="3" spans="1:17" ht="18.75" x14ac:dyDescent="0.3">
      <c r="A3" s="60">
        <v>44141</v>
      </c>
      <c r="B3" s="61" t="s">
        <v>190</v>
      </c>
      <c r="C3" s="207">
        <v>0</v>
      </c>
      <c r="D3" s="62">
        <v>2475</v>
      </c>
      <c r="E3" s="62">
        <v>0</v>
      </c>
      <c r="F3" s="208">
        <v>64440892</v>
      </c>
      <c r="G3" s="176" t="s">
        <v>168</v>
      </c>
      <c r="J3" s="119"/>
      <c r="K3" s="117"/>
      <c r="L3" s="117"/>
      <c r="M3" s="117"/>
      <c r="N3" s="117"/>
      <c r="O3" s="117"/>
      <c r="P3" s="118"/>
    </row>
    <row r="4" spans="1:17" ht="18.75" x14ac:dyDescent="0.3">
      <c r="A4" s="60">
        <v>44141</v>
      </c>
      <c r="B4" s="61" t="s">
        <v>191</v>
      </c>
      <c r="C4" s="207">
        <v>0</v>
      </c>
      <c r="D4" s="62">
        <v>470</v>
      </c>
      <c r="E4" s="62">
        <v>0</v>
      </c>
      <c r="F4" s="208">
        <v>64440422</v>
      </c>
      <c r="G4" s="176" t="s">
        <v>168</v>
      </c>
      <c r="J4" s="119"/>
      <c r="K4" s="117"/>
      <c r="L4" s="117"/>
      <c r="M4" s="117"/>
      <c r="N4" s="117"/>
      <c r="O4" s="117"/>
      <c r="P4" s="118"/>
    </row>
    <row r="5" spans="1:17" ht="18.75" x14ac:dyDescent="0.3">
      <c r="A5" s="60">
        <v>44142</v>
      </c>
      <c r="B5" s="61" t="s">
        <v>189</v>
      </c>
      <c r="C5" s="207">
        <v>0</v>
      </c>
      <c r="D5" s="62">
        <v>0</v>
      </c>
      <c r="E5" s="62">
        <v>304539</v>
      </c>
      <c r="F5" s="208">
        <v>64744961</v>
      </c>
      <c r="G5" s="176" t="s">
        <v>135</v>
      </c>
      <c r="J5" s="119"/>
      <c r="K5" s="117"/>
      <c r="L5" s="117"/>
      <c r="M5" s="117"/>
      <c r="N5" s="117"/>
      <c r="O5" s="117"/>
      <c r="P5" s="118"/>
    </row>
    <row r="6" spans="1:17" ht="18.75" x14ac:dyDescent="0.3">
      <c r="A6" s="60">
        <v>44143</v>
      </c>
      <c r="B6" s="61" t="s">
        <v>189</v>
      </c>
      <c r="C6" s="207">
        <v>0</v>
      </c>
      <c r="D6" s="62">
        <v>0</v>
      </c>
      <c r="E6" s="62">
        <v>1949</v>
      </c>
      <c r="F6" s="208">
        <v>64746910</v>
      </c>
      <c r="G6" s="176" t="s">
        <v>135</v>
      </c>
      <c r="J6" s="119"/>
      <c r="K6" s="117"/>
      <c r="L6" s="117"/>
      <c r="M6" s="117"/>
      <c r="N6" s="117"/>
      <c r="O6" s="117"/>
      <c r="P6" s="118"/>
    </row>
    <row r="7" spans="1:17" ht="18.75" x14ac:dyDescent="0.3">
      <c r="A7" s="60">
        <v>44146</v>
      </c>
      <c r="B7" s="61" t="s">
        <v>189</v>
      </c>
      <c r="C7" s="207">
        <v>0</v>
      </c>
      <c r="D7" s="62">
        <v>0</v>
      </c>
      <c r="E7" s="62">
        <v>341590</v>
      </c>
      <c r="F7" s="208">
        <v>65088500</v>
      </c>
      <c r="G7" s="176" t="s">
        <v>135</v>
      </c>
      <c r="J7" s="119"/>
      <c r="K7" s="117"/>
      <c r="L7" s="117"/>
      <c r="M7" s="117"/>
      <c r="N7" s="117"/>
      <c r="O7" s="117"/>
      <c r="P7" s="118"/>
      <c r="Q7" s="122"/>
    </row>
    <row r="8" spans="1:17" ht="18.75" x14ac:dyDescent="0.3">
      <c r="A8" s="60">
        <v>44146</v>
      </c>
      <c r="B8" s="61" t="s">
        <v>1397</v>
      </c>
      <c r="C8" s="207">
        <v>101664750</v>
      </c>
      <c r="D8" s="62">
        <v>0</v>
      </c>
      <c r="E8" s="62">
        <v>21226800</v>
      </c>
      <c r="F8" s="208">
        <v>86315300</v>
      </c>
      <c r="G8" s="176" t="s">
        <v>135</v>
      </c>
      <c r="H8" t="s">
        <v>1398</v>
      </c>
      <c r="J8" s="119"/>
      <c r="K8" s="117"/>
      <c r="L8" s="117"/>
      <c r="M8" s="117"/>
      <c r="N8" s="117"/>
      <c r="O8" s="117"/>
      <c r="P8" s="118"/>
    </row>
    <row r="9" spans="1:17" ht="18.75" x14ac:dyDescent="0.3">
      <c r="A9" s="60">
        <v>44147</v>
      </c>
      <c r="B9" s="61" t="s">
        <v>189</v>
      </c>
      <c r="C9" s="207">
        <v>0</v>
      </c>
      <c r="D9" s="62">
        <v>0</v>
      </c>
      <c r="E9" s="62">
        <v>30299</v>
      </c>
      <c r="F9" s="208">
        <v>86345599</v>
      </c>
      <c r="G9" s="176" t="s">
        <v>135</v>
      </c>
      <c r="J9" s="119"/>
      <c r="K9" s="117"/>
      <c r="L9" s="117"/>
      <c r="M9" s="117"/>
      <c r="N9" s="117"/>
      <c r="O9" s="117"/>
      <c r="P9" s="118"/>
      <c r="Q9" s="122"/>
    </row>
    <row r="10" spans="1:17" ht="18.75" x14ac:dyDescent="0.3">
      <c r="A10" s="60">
        <v>44148</v>
      </c>
      <c r="B10" s="61" t="s">
        <v>189</v>
      </c>
      <c r="C10" s="207">
        <v>0</v>
      </c>
      <c r="D10" s="62">
        <v>0</v>
      </c>
      <c r="E10" s="62">
        <v>170794</v>
      </c>
      <c r="F10" s="208">
        <v>86516393</v>
      </c>
      <c r="G10" s="176" t="s">
        <v>135</v>
      </c>
      <c r="J10" s="119"/>
      <c r="K10" s="117"/>
      <c r="L10" s="117"/>
      <c r="M10" s="117"/>
      <c r="N10" s="117"/>
      <c r="O10" s="117"/>
      <c r="P10" s="118"/>
    </row>
    <row r="11" spans="1:17" ht="18.75" x14ac:dyDescent="0.3">
      <c r="A11" s="77">
        <v>44149</v>
      </c>
      <c r="B11" s="78" t="s">
        <v>189</v>
      </c>
      <c r="C11" s="320">
        <v>0</v>
      </c>
      <c r="D11" s="79">
        <v>0</v>
      </c>
      <c r="E11" s="79">
        <v>378654</v>
      </c>
      <c r="F11" s="321">
        <v>86895047</v>
      </c>
      <c r="G11" s="176" t="s">
        <v>135</v>
      </c>
      <c r="J11" s="119"/>
      <c r="K11" s="117"/>
      <c r="L11" s="117"/>
      <c r="M11" s="117"/>
      <c r="N11" s="117"/>
      <c r="O11" s="117"/>
      <c r="P11" s="118"/>
    </row>
    <row r="12" spans="1:17" ht="18.75" x14ac:dyDescent="0.3">
      <c r="A12" s="77">
        <v>44153</v>
      </c>
      <c r="B12" s="78" t="s">
        <v>201</v>
      </c>
      <c r="C12" s="320">
        <v>102280923</v>
      </c>
      <c r="D12" s="79">
        <v>1912103</v>
      </c>
      <c r="E12" s="79">
        <v>0</v>
      </c>
      <c r="F12" s="321">
        <v>84982944</v>
      </c>
      <c r="G12" s="176" t="s">
        <v>24</v>
      </c>
      <c r="H12" s="194"/>
      <c r="J12" s="119"/>
      <c r="K12" s="117"/>
      <c r="L12" s="117"/>
      <c r="M12" s="117"/>
      <c r="N12" s="117"/>
      <c r="O12" s="117"/>
      <c r="P12" s="118"/>
    </row>
    <row r="13" spans="1:17" ht="18.75" x14ac:dyDescent="0.3">
      <c r="A13" s="77">
        <v>44153</v>
      </c>
      <c r="B13" s="78" t="s">
        <v>153</v>
      </c>
      <c r="C13" s="320">
        <v>102284886</v>
      </c>
      <c r="D13" s="79">
        <v>1529205</v>
      </c>
      <c r="E13" s="79">
        <v>0</v>
      </c>
      <c r="F13" s="321">
        <v>83453739</v>
      </c>
      <c r="G13" s="176" t="s">
        <v>30</v>
      </c>
      <c r="H13" s="194"/>
      <c r="J13" s="119"/>
      <c r="K13" s="117"/>
      <c r="L13" s="117"/>
      <c r="M13" s="117"/>
      <c r="N13" s="117"/>
      <c r="O13" s="117"/>
      <c r="P13" s="118"/>
    </row>
    <row r="14" spans="1:17" ht="18.75" x14ac:dyDescent="0.3">
      <c r="A14" s="60">
        <v>44154</v>
      </c>
      <c r="B14" s="61" t="s">
        <v>189</v>
      </c>
      <c r="C14" s="207">
        <v>0</v>
      </c>
      <c r="D14" s="62">
        <v>0</v>
      </c>
      <c r="E14" s="62">
        <v>352166</v>
      </c>
      <c r="F14" s="208">
        <v>83805905</v>
      </c>
      <c r="G14" s="176" t="s">
        <v>135</v>
      </c>
      <c r="H14" s="128"/>
      <c r="J14" s="119"/>
      <c r="K14" s="117"/>
      <c r="L14" s="117"/>
      <c r="M14" s="117"/>
      <c r="N14" s="117"/>
      <c r="O14" s="117"/>
      <c r="P14" s="118"/>
    </row>
    <row r="15" spans="1:17" ht="18.75" x14ac:dyDescent="0.3">
      <c r="A15" s="60">
        <v>44155</v>
      </c>
      <c r="B15" s="61" t="s">
        <v>189</v>
      </c>
      <c r="C15" s="207">
        <v>0</v>
      </c>
      <c r="D15" s="62">
        <v>0</v>
      </c>
      <c r="E15" s="62">
        <v>211631</v>
      </c>
      <c r="F15" s="208">
        <v>84017536</v>
      </c>
      <c r="G15" s="176" t="s">
        <v>135</v>
      </c>
      <c r="H15" s="150"/>
      <c r="J15" s="119"/>
      <c r="K15" s="117"/>
      <c r="L15" s="117"/>
      <c r="M15" s="117"/>
      <c r="N15" s="117"/>
      <c r="O15" s="117"/>
      <c r="P15" s="118"/>
    </row>
    <row r="16" spans="1:17" ht="18.75" x14ac:dyDescent="0.3">
      <c r="A16" s="60">
        <v>44157</v>
      </c>
      <c r="B16" s="61" t="s">
        <v>192</v>
      </c>
      <c r="C16" s="207">
        <v>102962620</v>
      </c>
      <c r="D16" s="62">
        <v>5000000</v>
      </c>
      <c r="E16" s="62">
        <v>0</v>
      </c>
      <c r="F16" s="208">
        <v>79017536</v>
      </c>
      <c r="G16" s="176" t="s">
        <v>134</v>
      </c>
      <c r="I16" s="194"/>
      <c r="J16" s="119"/>
      <c r="K16" s="117"/>
      <c r="L16" s="117"/>
      <c r="M16" s="117"/>
      <c r="N16" s="117"/>
      <c r="O16" s="117"/>
      <c r="P16" s="118"/>
    </row>
    <row r="17" spans="1:16" ht="18.75" x14ac:dyDescent="0.3">
      <c r="A17" s="60">
        <v>44161</v>
      </c>
      <c r="B17" s="61" t="s">
        <v>189</v>
      </c>
      <c r="C17" s="207">
        <v>0</v>
      </c>
      <c r="D17" s="62">
        <v>0</v>
      </c>
      <c r="E17" s="62">
        <v>15588</v>
      </c>
      <c r="F17" s="208">
        <v>79033124</v>
      </c>
      <c r="G17" s="176" t="s">
        <v>135</v>
      </c>
      <c r="H17" s="194"/>
      <c r="J17" s="119"/>
      <c r="K17" s="117"/>
      <c r="L17" s="117"/>
      <c r="M17" s="117"/>
      <c r="N17" s="117"/>
      <c r="O17" s="117"/>
      <c r="P17" s="118"/>
    </row>
    <row r="18" spans="1:16" ht="18.75" x14ac:dyDescent="0.3">
      <c r="A18" s="60">
        <v>44162</v>
      </c>
      <c r="B18" s="61" t="s">
        <v>189</v>
      </c>
      <c r="C18" s="207">
        <v>0</v>
      </c>
      <c r="D18" s="62">
        <v>0</v>
      </c>
      <c r="E18" s="62">
        <v>182733</v>
      </c>
      <c r="F18" s="208">
        <v>79215857</v>
      </c>
      <c r="G18" s="176" t="s">
        <v>135</v>
      </c>
      <c r="H18" s="150"/>
      <c r="J18" s="119"/>
      <c r="K18" s="117"/>
      <c r="L18" s="117"/>
      <c r="M18" s="117"/>
      <c r="N18" s="117"/>
      <c r="O18" s="117"/>
      <c r="P18" s="118"/>
    </row>
    <row r="19" spans="1:16" ht="18.75" x14ac:dyDescent="0.3">
      <c r="A19" s="60">
        <v>44163</v>
      </c>
      <c r="B19" s="61" t="s">
        <v>192</v>
      </c>
      <c r="C19" s="207">
        <v>103576093</v>
      </c>
      <c r="D19" s="62">
        <v>5000000</v>
      </c>
      <c r="E19" s="62">
        <v>0</v>
      </c>
      <c r="F19" s="208">
        <v>74215857</v>
      </c>
      <c r="G19" s="176" t="s">
        <v>134</v>
      </c>
      <c r="H19" s="194"/>
      <c r="J19" s="119"/>
      <c r="K19" s="117"/>
      <c r="L19" s="117"/>
      <c r="M19" s="117"/>
      <c r="N19" s="117"/>
      <c r="O19" s="117"/>
      <c r="P19" s="118"/>
    </row>
    <row r="20" spans="1:16" ht="18.75" x14ac:dyDescent="0.3">
      <c r="A20" s="60">
        <v>44163</v>
      </c>
      <c r="B20" s="61" t="s">
        <v>192</v>
      </c>
      <c r="C20" s="207">
        <v>103576124</v>
      </c>
      <c r="D20" s="62">
        <v>5000000</v>
      </c>
      <c r="E20" s="62">
        <v>0</v>
      </c>
      <c r="F20" s="208">
        <v>69215857</v>
      </c>
      <c r="G20" s="176" t="s">
        <v>134</v>
      </c>
      <c r="H20" s="253"/>
      <c r="J20" s="119"/>
      <c r="K20" s="117"/>
      <c r="L20" s="117"/>
      <c r="M20" s="117"/>
      <c r="N20" s="117"/>
      <c r="O20" s="117"/>
      <c r="P20" s="118"/>
    </row>
    <row r="21" spans="1:16" ht="18.75" x14ac:dyDescent="0.3">
      <c r="A21" s="60">
        <v>44164</v>
      </c>
      <c r="B21" s="61" t="s">
        <v>189</v>
      </c>
      <c r="C21" s="207">
        <v>0</v>
      </c>
      <c r="D21" s="62">
        <v>0</v>
      </c>
      <c r="E21" s="62">
        <v>5845</v>
      </c>
      <c r="F21" s="208">
        <v>69221702</v>
      </c>
      <c r="G21" s="176" t="s">
        <v>135</v>
      </c>
      <c r="H21" s="253"/>
      <c r="J21" s="119"/>
      <c r="K21" s="117"/>
      <c r="L21" s="117"/>
      <c r="M21" s="117"/>
      <c r="N21" s="117"/>
      <c r="O21" s="117"/>
      <c r="P21" s="118"/>
    </row>
    <row r="22" spans="1:16" ht="18.75" x14ac:dyDescent="0.3">
      <c r="A22" s="60"/>
      <c r="B22" s="61"/>
      <c r="C22" s="207"/>
      <c r="D22" s="62"/>
      <c r="E22" s="62"/>
      <c r="F22" s="208"/>
      <c r="G22" s="176"/>
    </row>
    <row r="23" spans="1:16" ht="18.75" x14ac:dyDescent="0.3">
      <c r="A23" s="60"/>
      <c r="B23" s="61"/>
      <c r="C23" s="207"/>
      <c r="D23" s="62"/>
      <c r="E23" s="62"/>
      <c r="F23" s="208"/>
      <c r="G23" s="176"/>
      <c r="H23" s="150"/>
    </row>
    <row r="24" spans="1:16" ht="18.75" x14ac:dyDescent="0.3">
      <c r="A24" s="60"/>
      <c r="B24" s="61"/>
      <c r="C24" s="207"/>
      <c r="D24" s="62"/>
      <c r="E24" s="62"/>
      <c r="F24" s="208"/>
      <c r="G24" s="176"/>
      <c r="H24" s="194"/>
    </row>
    <row r="25" spans="1:16" ht="18.75" x14ac:dyDescent="0.3">
      <c r="A25" s="60"/>
      <c r="B25" s="61"/>
      <c r="C25" s="207"/>
      <c r="D25" s="62"/>
      <c r="E25" s="62"/>
      <c r="F25" s="208"/>
      <c r="G25" s="176"/>
      <c r="H25" s="194"/>
    </row>
    <row r="26" spans="1:16" ht="18.75" x14ac:dyDescent="0.3">
      <c r="A26" s="60"/>
      <c r="B26" s="61"/>
      <c r="C26" s="207"/>
      <c r="D26" s="62"/>
      <c r="E26" s="62"/>
      <c r="F26" s="208"/>
      <c r="G26" s="176"/>
      <c r="H26" s="194"/>
    </row>
    <row r="27" spans="1:16" ht="18.75" x14ac:dyDescent="0.3">
      <c r="A27" s="60"/>
      <c r="B27" s="61"/>
      <c r="C27" s="207"/>
      <c r="D27" s="62"/>
      <c r="E27" s="62"/>
      <c r="F27" s="208"/>
      <c r="G27" s="176"/>
      <c r="H27" s="194"/>
    </row>
    <row r="28" spans="1:16" ht="18.75" x14ac:dyDescent="0.3">
      <c r="A28" s="60"/>
      <c r="B28" s="61"/>
      <c r="C28" s="207"/>
      <c r="D28" s="62"/>
      <c r="E28" s="62"/>
      <c r="F28" s="208"/>
      <c r="G28" s="176"/>
      <c r="H28" s="194"/>
    </row>
    <row r="29" spans="1:16" s="150" customFormat="1" ht="18.75" x14ac:dyDescent="0.3">
      <c r="A29" s="60"/>
      <c r="B29" s="61"/>
      <c r="C29" s="61"/>
      <c r="D29" s="62"/>
      <c r="E29" s="62"/>
      <c r="F29" s="135"/>
      <c r="G29" s="176"/>
      <c r="H29" s="190"/>
    </row>
    <row r="30" spans="1:16" s="150" customFormat="1" ht="18.75" x14ac:dyDescent="0.3">
      <c r="A30" s="60"/>
      <c r="B30" s="61"/>
      <c r="C30" s="61"/>
      <c r="D30" s="62"/>
      <c r="E30" s="62"/>
      <c r="F30" s="135"/>
      <c r="G30" s="176"/>
    </row>
    <row r="31" spans="1:16" s="150" customFormat="1" ht="18.75" x14ac:dyDescent="0.3">
      <c r="A31" s="60"/>
      <c r="B31" s="61"/>
      <c r="C31" s="61"/>
      <c r="D31" s="62"/>
      <c r="E31" s="62"/>
      <c r="F31" s="135"/>
      <c r="G31" s="176"/>
    </row>
    <row r="32" spans="1:16" s="150" customFormat="1" ht="18.75" x14ac:dyDescent="0.3">
      <c r="A32" s="60"/>
      <c r="B32" s="61"/>
      <c r="C32" s="61"/>
      <c r="D32" s="62"/>
      <c r="E32" s="62"/>
      <c r="F32" s="135"/>
      <c r="G32" s="176"/>
    </row>
    <row r="33" spans="1:8" s="150" customFormat="1" ht="18.75" x14ac:dyDescent="0.3">
      <c r="A33" s="60"/>
      <c r="B33" s="61"/>
      <c r="C33" s="61"/>
      <c r="D33" s="62"/>
      <c r="E33" s="62"/>
      <c r="F33" s="135"/>
      <c r="G33" s="176"/>
    </row>
    <row r="34" spans="1:8" s="150" customFormat="1" ht="18.75" x14ac:dyDescent="0.3">
      <c r="A34" s="60"/>
      <c r="B34" s="61"/>
      <c r="C34" s="61"/>
      <c r="D34" s="62"/>
      <c r="E34" s="62"/>
      <c r="F34" s="135"/>
      <c r="G34" s="176"/>
    </row>
    <row r="35" spans="1:8" s="150" customFormat="1" ht="18.75" x14ac:dyDescent="0.3">
      <c r="A35" s="60"/>
      <c r="B35" s="61"/>
      <c r="C35" s="61"/>
      <c r="D35" s="62"/>
      <c r="E35" s="62"/>
      <c r="F35" s="135"/>
      <c r="G35" s="176"/>
    </row>
    <row r="36" spans="1:8" s="150" customFormat="1" ht="18.75" x14ac:dyDescent="0.3">
      <c r="A36" s="60"/>
      <c r="B36" s="61"/>
      <c r="C36" s="61"/>
      <c r="D36" s="62"/>
      <c r="E36" s="62"/>
      <c r="F36" s="135"/>
      <c r="G36" s="176"/>
    </row>
    <row r="37" spans="1:8" s="150" customFormat="1" ht="18.75" x14ac:dyDescent="0.3">
      <c r="A37" s="60"/>
      <c r="B37" s="61"/>
      <c r="C37" s="61"/>
      <c r="D37" s="62"/>
      <c r="E37" s="62"/>
      <c r="F37" s="135"/>
      <c r="G37" s="176"/>
    </row>
    <row r="38" spans="1:8" s="150" customFormat="1" x14ac:dyDescent="0.25">
      <c r="A38" s="60"/>
      <c r="B38" s="61"/>
      <c r="C38" s="61"/>
      <c r="D38" s="62"/>
      <c r="E38" s="62"/>
      <c r="F38" s="135"/>
      <c r="G38" s="140"/>
    </row>
    <row r="39" spans="1:8" s="150" customFormat="1" x14ac:dyDescent="0.25">
      <c r="A39" s="60"/>
      <c r="B39" s="61"/>
      <c r="C39" s="61"/>
      <c r="D39" s="62"/>
      <c r="E39" s="62"/>
      <c r="F39" s="135"/>
      <c r="G39" s="140"/>
    </row>
    <row r="40" spans="1:8" s="150" customFormat="1" x14ac:dyDescent="0.25">
      <c r="A40" s="60"/>
      <c r="B40" s="61"/>
      <c r="C40" s="61"/>
      <c r="D40" s="62"/>
      <c r="E40" s="62"/>
      <c r="F40" s="135"/>
      <c r="G40" s="140"/>
    </row>
    <row r="41" spans="1:8" s="150" customFormat="1" x14ac:dyDescent="0.25">
      <c r="A41" s="60"/>
      <c r="B41" s="61"/>
      <c r="C41" s="61"/>
      <c r="D41" s="62"/>
      <c r="E41" s="62"/>
      <c r="F41" s="135"/>
      <c r="G41" s="140"/>
    </row>
    <row r="42" spans="1:8" s="150" customFormat="1" x14ac:dyDescent="0.25">
      <c r="A42" s="60"/>
      <c r="B42" s="61"/>
      <c r="C42" s="61"/>
      <c r="D42" s="62"/>
      <c r="E42" s="62"/>
      <c r="F42" s="135"/>
      <c r="G42" s="140"/>
    </row>
    <row r="43" spans="1:8" x14ac:dyDescent="0.25">
      <c r="A43" s="60"/>
      <c r="B43" s="61"/>
      <c r="C43" s="61"/>
      <c r="D43" s="62"/>
      <c r="E43" s="62"/>
      <c r="F43" s="57"/>
      <c r="G43" s="138"/>
    </row>
    <row r="44" spans="1:8" x14ac:dyDescent="0.25">
      <c r="A44" s="60"/>
      <c r="B44" s="61"/>
      <c r="C44" s="61"/>
      <c r="D44" s="62"/>
      <c r="E44" s="62"/>
      <c r="F44" s="135"/>
      <c r="G44" s="140"/>
      <c r="H44" s="109"/>
    </row>
    <row r="45" spans="1:8" s="109" customFormat="1" x14ac:dyDescent="0.25">
      <c r="A45" s="60"/>
      <c r="B45" s="61"/>
      <c r="C45" s="61"/>
      <c r="D45" s="62"/>
      <c r="E45" s="62"/>
      <c r="F45" s="57"/>
      <c r="G45" s="140"/>
      <c r="H45" s="150"/>
    </row>
    <row r="46" spans="1:8" s="109" customFormat="1" x14ac:dyDescent="0.25">
      <c r="A46" s="60"/>
      <c r="B46" s="61"/>
      <c r="C46" s="61"/>
      <c r="D46" s="62"/>
      <c r="E46" s="62"/>
      <c r="F46" s="135"/>
      <c r="G46" s="140"/>
    </row>
    <row r="47" spans="1:8" s="109" customFormat="1" x14ac:dyDescent="0.25">
      <c r="A47" s="60"/>
      <c r="B47" s="61"/>
      <c r="C47" s="61"/>
      <c r="D47" s="62"/>
      <c r="E47" s="62"/>
      <c r="F47" s="57"/>
      <c r="G47" s="59"/>
    </row>
    <row r="48" spans="1:8" s="109" customFormat="1" x14ac:dyDescent="0.25">
      <c r="A48" s="60"/>
      <c r="B48" s="61"/>
      <c r="C48" s="61"/>
      <c r="D48" s="62"/>
      <c r="E48" s="62"/>
      <c r="F48" s="57"/>
      <c r="G48" s="59"/>
    </row>
    <row r="49" spans="1:8" s="109" customFormat="1" x14ac:dyDescent="0.25">
      <c r="A49" s="60"/>
      <c r="B49" s="61"/>
      <c r="C49" s="61"/>
      <c r="D49" s="62"/>
      <c r="E49" s="62"/>
      <c r="F49" s="57"/>
      <c r="G49" s="45"/>
    </row>
    <row r="50" spans="1:8" s="109" customFormat="1" x14ac:dyDescent="0.25">
      <c r="A50" s="60"/>
      <c r="B50" s="61"/>
      <c r="C50" s="61"/>
      <c r="D50" s="62"/>
      <c r="E50" s="62"/>
      <c r="F50" s="57"/>
      <c r="G50" s="45"/>
    </row>
    <row r="51" spans="1:8" x14ac:dyDescent="0.25">
      <c r="A51" s="60"/>
      <c r="B51" s="61"/>
      <c r="C51" s="61"/>
      <c r="D51" s="62"/>
      <c r="E51" s="62"/>
      <c r="F51" s="57"/>
      <c r="G51" s="59"/>
    </row>
    <row r="52" spans="1:8" ht="15" customHeight="1" x14ac:dyDescent="0.25">
      <c r="A52" s="63" t="s">
        <v>62</v>
      </c>
      <c r="B52" s="64" t="s">
        <v>63</v>
      </c>
      <c r="C52" s="64" t="s">
        <v>64</v>
      </c>
      <c r="D52" s="65" t="s">
        <v>65</v>
      </c>
      <c r="E52" s="64" t="s">
        <v>66</v>
      </c>
      <c r="F52" s="64" t="s">
        <v>74</v>
      </c>
      <c r="G52" s="66" t="s">
        <v>37</v>
      </c>
    </row>
    <row r="53" spans="1:8" ht="15" customHeight="1" x14ac:dyDescent="0.3">
      <c r="A53" s="60">
        <v>44139</v>
      </c>
      <c r="B53" s="61" t="s">
        <v>1399</v>
      </c>
      <c r="C53" s="61">
        <v>100678567</v>
      </c>
      <c r="D53" s="62">
        <v>0</v>
      </c>
      <c r="E53" s="62">
        <v>6037.74</v>
      </c>
      <c r="F53" s="135">
        <v>20747.25</v>
      </c>
      <c r="G53" s="176" t="s">
        <v>135</v>
      </c>
    </row>
    <row r="54" spans="1:8" ht="15" customHeight="1" x14ac:dyDescent="0.3">
      <c r="A54" s="60">
        <v>44146</v>
      </c>
      <c r="B54" s="61" t="s">
        <v>1400</v>
      </c>
      <c r="C54" s="61">
        <v>101644456</v>
      </c>
      <c r="D54" s="62">
        <v>0</v>
      </c>
      <c r="E54" s="62">
        <v>7349.12</v>
      </c>
      <c r="F54" s="135">
        <v>28096.37</v>
      </c>
      <c r="G54" s="176" t="s">
        <v>135</v>
      </c>
    </row>
    <row r="55" spans="1:8" ht="15" customHeight="1" x14ac:dyDescent="0.3">
      <c r="A55" s="60">
        <v>44146</v>
      </c>
      <c r="B55" s="61" t="s">
        <v>1401</v>
      </c>
      <c r="C55" s="61">
        <v>101664723</v>
      </c>
      <c r="D55" s="62">
        <v>28000</v>
      </c>
      <c r="E55" s="62">
        <v>0</v>
      </c>
      <c r="F55" s="135">
        <v>96.37</v>
      </c>
      <c r="G55" s="176" t="s">
        <v>134</v>
      </c>
      <c r="H55" t="s">
        <v>1392</v>
      </c>
    </row>
    <row r="56" spans="1:8" ht="15" customHeight="1" x14ac:dyDescent="0.3">
      <c r="A56" s="60">
        <v>44149</v>
      </c>
      <c r="B56" s="61" t="s">
        <v>1402</v>
      </c>
      <c r="C56" s="61">
        <v>102118749</v>
      </c>
      <c r="D56" s="62">
        <v>0</v>
      </c>
      <c r="E56" s="62">
        <v>4252.83</v>
      </c>
      <c r="F56" s="135">
        <v>4349.2</v>
      </c>
      <c r="G56" s="176" t="s">
        <v>135</v>
      </c>
    </row>
    <row r="57" spans="1:8" ht="15" customHeight="1" x14ac:dyDescent="0.3">
      <c r="A57" s="60">
        <v>44154</v>
      </c>
      <c r="B57" s="61" t="s">
        <v>1403</v>
      </c>
      <c r="C57" s="61">
        <v>102621398</v>
      </c>
      <c r="D57" s="62">
        <v>0</v>
      </c>
      <c r="E57" s="62">
        <v>3604.14</v>
      </c>
      <c r="F57" s="135">
        <v>7953.34</v>
      </c>
      <c r="G57" s="176" t="s">
        <v>135</v>
      </c>
    </row>
    <row r="58" spans="1:8" ht="15" customHeight="1" x14ac:dyDescent="0.3">
      <c r="A58" s="60">
        <v>44160</v>
      </c>
      <c r="B58" s="61" t="s">
        <v>1404</v>
      </c>
      <c r="C58" s="61">
        <v>103203066</v>
      </c>
      <c r="D58" s="62">
        <v>0</v>
      </c>
      <c r="E58" s="62">
        <v>9466.8700000000008</v>
      </c>
      <c r="F58" s="135">
        <v>17420.21</v>
      </c>
      <c r="G58" s="176" t="s">
        <v>135</v>
      </c>
    </row>
    <row r="59" spans="1:8" ht="15" customHeight="1" x14ac:dyDescent="0.3">
      <c r="A59" s="60">
        <v>44164</v>
      </c>
      <c r="B59" s="61" t="s">
        <v>1405</v>
      </c>
      <c r="C59" s="61">
        <v>103925339</v>
      </c>
      <c r="D59" s="62">
        <v>0</v>
      </c>
      <c r="E59" s="62">
        <v>8844.67</v>
      </c>
      <c r="F59" s="135">
        <v>26264.880000000001</v>
      </c>
      <c r="G59" s="176" t="s">
        <v>135</v>
      </c>
    </row>
    <row r="60" spans="1:8" ht="15" customHeight="1" x14ac:dyDescent="0.3">
      <c r="A60" s="60"/>
      <c r="B60" s="61"/>
      <c r="C60" s="61"/>
      <c r="D60" s="62"/>
      <c r="E60" s="62"/>
      <c r="F60" s="57"/>
      <c r="G60" s="176"/>
    </row>
    <row r="61" spans="1:8" ht="15" customHeight="1" x14ac:dyDescent="0.3">
      <c r="A61" s="77"/>
      <c r="B61" s="78"/>
      <c r="C61" s="78"/>
      <c r="D61" s="79"/>
      <c r="E61" s="79"/>
      <c r="F61" s="79"/>
      <c r="G61" s="176"/>
    </row>
    <row r="64" spans="1:8" x14ac:dyDescent="0.25">
      <c r="D64" s="1">
        <f>SUBTOTAL(9,D2:D61)</f>
        <v>18472253</v>
      </c>
      <c r="E64" s="1">
        <f>SUBTOTAL(9,E2:E61)</f>
        <v>25353287.370000001</v>
      </c>
    </row>
    <row r="66" spans="1:10" x14ac:dyDescent="0.25">
      <c r="F66" s="56"/>
      <c r="G66" s="56" t="s">
        <v>4</v>
      </c>
    </row>
    <row r="67" spans="1:10" ht="18.75" x14ac:dyDescent="0.3">
      <c r="A67" s="63" t="s">
        <v>62</v>
      </c>
      <c r="B67" s="64" t="s">
        <v>63</v>
      </c>
      <c r="C67" s="64" t="s">
        <v>64</v>
      </c>
      <c r="D67" s="65" t="s">
        <v>65</v>
      </c>
      <c r="F67" s="57">
        <f>SUMIF($G$2:$G$61,G67,$D$2:$D$61)-SUMIF($G$2:$G$61,G67,$E$2:$E$61)</f>
        <v>2945</v>
      </c>
      <c r="G67" s="176" t="s">
        <v>168</v>
      </c>
    </row>
    <row r="68" spans="1:10" ht="18.75" x14ac:dyDescent="0.3">
      <c r="A68" s="60"/>
      <c r="B68" s="61"/>
      <c r="C68" s="61"/>
      <c r="D68" s="62"/>
      <c r="F68" s="57">
        <f t="shared" ref="F68:F83" si="0">SUMIF($G$2:$G$61,G68,$D$2:$D$61)-SUMIF($G$2:$G$61,G68,$E$2:$E$61)</f>
        <v>0</v>
      </c>
      <c r="G68" s="176" t="s">
        <v>31</v>
      </c>
    </row>
    <row r="69" spans="1:10" ht="18.75" x14ac:dyDescent="0.3">
      <c r="A69" s="60"/>
      <c r="B69" s="61"/>
      <c r="C69" s="61"/>
      <c r="D69" s="62"/>
      <c r="F69" s="57">
        <f t="shared" si="0"/>
        <v>0</v>
      </c>
      <c r="G69" s="176" t="s">
        <v>101</v>
      </c>
    </row>
    <row r="70" spans="1:10" ht="18.75" x14ac:dyDescent="0.3">
      <c r="A70" s="60"/>
      <c r="B70" s="61"/>
      <c r="C70" s="61"/>
      <c r="D70" s="62"/>
      <c r="F70" s="57">
        <f t="shared" si="0"/>
        <v>0</v>
      </c>
      <c r="G70" s="177" t="s">
        <v>167</v>
      </c>
    </row>
    <row r="71" spans="1:10" ht="18.75" x14ac:dyDescent="0.3">
      <c r="F71" s="57">
        <f t="shared" si="0"/>
        <v>0</v>
      </c>
      <c r="G71" s="177" t="s">
        <v>8</v>
      </c>
    </row>
    <row r="72" spans="1:10" ht="18.75" x14ac:dyDescent="0.3">
      <c r="F72" s="57">
        <f t="shared" si="0"/>
        <v>0</v>
      </c>
      <c r="G72" s="178" t="s">
        <v>169</v>
      </c>
      <c r="H72" s="83"/>
    </row>
    <row r="73" spans="1:10" ht="18.75" x14ac:dyDescent="0.3">
      <c r="F73" s="57">
        <f t="shared" si="0"/>
        <v>0</v>
      </c>
      <c r="G73" s="176" t="s">
        <v>171</v>
      </c>
    </row>
    <row r="74" spans="1:10" ht="18.75" x14ac:dyDescent="0.3">
      <c r="F74" s="57">
        <f t="shared" si="0"/>
        <v>0</v>
      </c>
      <c r="G74" s="176" t="s">
        <v>170</v>
      </c>
    </row>
    <row r="75" spans="1:10" ht="18.75" x14ac:dyDescent="0.3">
      <c r="F75" s="57">
        <f t="shared" si="0"/>
        <v>1912103</v>
      </c>
      <c r="G75" s="178" t="s">
        <v>24</v>
      </c>
    </row>
    <row r="76" spans="1:10" ht="18.75" x14ac:dyDescent="0.3">
      <c r="F76" s="57">
        <f t="shared" si="0"/>
        <v>0</v>
      </c>
      <c r="G76" s="176" t="s">
        <v>11</v>
      </c>
      <c r="H76" s="84"/>
      <c r="I76" s="109"/>
      <c r="J76" s="109"/>
    </row>
    <row r="77" spans="1:10" ht="18.75" x14ac:dyDescent="0.3">
      <c r="F77" s="57">
        <f t="shared" si="0"/>
        <v>0</v>
      </c>
      <c r="G77" s="176" t="s">
        <v>19</v>
      </c>
      <c r="I77" s="109"/>
      <c r="J77" s="109"/>
    </row>
    <row r="78" spans="1:10" ht="18.75" x14ac:dyDescent="0.3">
      <c r="F78" s="57">
        <f t="shared" si="0"/>
        <v>0</v>
      </c>
      <c r="G78" s="177" t="s">
        <v>172</v>
      </c>
      <c r="I78" s="109"/>
    </row>
    <row r="79" spans="1:10" ht="18.75" x14ac:dyDescent="0.3">
      <c r="F79" s="57">
        <f t="shared" si="0"/>
        <v>1529205</v>
      </c>
      <c r="G79" s="176" t="s">
        <v>30</v>
      </c>
      <c r="I79" s="109"/>
      <c r="J79" s="109"/>
    </row>
    <row r="80" spans="1:10" ht="18.75" x14ac:dyDescent="0.3">
      <c r="F80" s="57">
        <f t="shared" si="0"/>
        <v>15028000</v>
      </c>
      <c r="G80" s="177" t="s">
        <v>134</v>
      </c>
      <c r="I80" s="109"/>
      <c r="J80" s="109"/>
    </row>
    <row r="81" spans="4:10" ht="18.75" x14ac:dyDescent="0.3">
      <c r="F81" s="57">
        <f t="shared" si="0"/>
        <v>-25353287.370000001</v>
      </c>
      <c r="G81" s="176" t="s">
        <v>135</v>
      </c>
      <c r="I81" s="109"/>
      <c r="J81" s="109"/>
    </row>
    <row r="82" spans="4:10" ht="18.75" x14ac:dyDescent="0.3">
      <c r="F82" s="57">
        <f t="shared" si="0"/>
        <v>0</v>
      </c>
      <c r="G82" s="176" t="s">
        <v>173</v>
      </c>
      <c r="I82" s="109"/>
      <c r="J82" s="109"/>
    </row>
    <row r="83" spans="4:10" ht="18.75" x14ac:dyDescent="0.3">
      <c r="F83" s="57">
        <f t="shared" si="0"/>
        <v>0</v>
      </c>
      <c r="G83" s="176" t="s">
        <v>174</v>
      </c>
      <c r="I83" s="109"/>
      <c r="J83" s="109"/>
    </row>
    <row r="84" spans="4:10" s="194" customFormat="1" ht="18.75" x14ac:dyDescent="0.3">
      <c r="D84" s="1"/>
      <c r="F84" s="57">
        <f>SUMIF($G$2:$G$61,G84,$D$2:$D$61)-SUMIF($G$2:$G$61,G84,$E$2:$E$61)</f>
        <v>0</v>
      </c>
      <c r="G84" s="176" t="s">
        <v>196</v>
      </c>
    </row>
    <row r="85" spans="4:10" x14ac:dyDescent="0.25">
      <c r="F85" s="58"/>
      <c r="G85" s="56" t="s">
        <v>22</v>
      </c>
    </row>
  </sheetData>
  <autoFilter ref="A1:G61"/>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39" workbookViewId="0">
      <selection activeCell="H142" sqref="H142:H158"/>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3" t="s">
        <v>5</v>
      </c>
      <c r="B1" s="43" t="s">
        <v>25</v>
      </c>
      <c r="C1" s="43" t="s">
        <v>155</v>
      </c>
      <c r="D1" s="43" t="s">
        <v>156</v>
      </c>
      <c r="E1" s="43" t="s">
        <v>157</v>
      </c>
      <c r="F1" s="43" t="s">
        <v>158</v>
      </c>
      <c r="G1" s="73" t="s">
        <v>76</v>
      </c>
      <c r="H1" s="43" t="s">
        <v>159</v>
      </c>
      <c r="I1" s="43" t="s">
        <v>160</v>
      </c>
      <c r="J1" s="74"/>
      <c r="K1" s="19"/>
      <c r="L1" s="19"/>
      <c r="M1" s="19"/>
      <c r="N1" s="19"/>
      <c r="O1" s="19"/>
      <c r="P1" s="19"/>
      <c r="Q1" s="19"/>
      <c r="R1" s="19"/>
      <c r="S1" s="53"/>
      <c r="T1" s="19"/>
      <c r="U1" s="19"/>
      <c r="V1" s="19"/>
    </row>
    <row r="2" spans="1:53" x14ac:dyDescent="0.25">
      <c r="A2" s="195" t="s">
        <v>1169</v>
      </c>
      <c r="B2" s="159" t="s">
        <v>131</v>
      </c>
      <c r="C2" s="159" t="s">
        <v>132</v>
      </c>
      <c r="D2" s="159" t="s">
        <v>149</v>
      </c>
      <c r="E2" s="160">
        <v>106370</v>
      </c>
      <c r="F2" s="159">
        <v>0</v>
      </c>
      <c r="G2" s="204" t="s">
        <v>1406</v>
      </c>
      <c r="H2" s="204" t="s">
        <v>1407</v>
      </c>
      <c r="I2" s="204" t="s">
        <v>183</v>
      </c>
      <c r="J2" s="138"/>
      <c r="K2" s="153"/>
      <c r="L2" s="19"/>
      <c r="M2" s="19"/>
      <c r="N2" s="19"/>
      <c r="O2" s="19"/>
      <c r="P2" s="19"/>
      <c r="Q2" s="19"/>
      <c r="R2" s="19"/>
      <c r="S2" s="53"/>
      <c r="T2" s="19"/>
      <c r="U2" s="19"/>
      <c r="V2" s="19"/>
      <c r="AF2" s="110"/>
    </row>
    <row r="3" spans="1:53" x14ac:dyDescent="0.25">
      <c r="A3" s="195" t="s">
        <v>1169</v>
      </c>
      <c r="B3" s="159" t="s">
        <v>131</v>
      </c>
      <c r="C3" s="159" t="s">
        <v>132</v>
      </c>
      <c r="D3" s="160" t="s">
        <v>149</v>
      </c>
      <c r="E3" s="160">
        <v>45649</v>
      </c>
      <c r="F3" s="159">
        <v>0</v>
      </c>
      <c r="G3" s="204" t="s">
        <v>185</v>
      </c>
      <c r="H3" s="204">
        <v>12274450</v>
      </c>
      <c r="I3" s="204" t="s">
        <v>148</v>
      </c>
      <c r="J3" s="133"/>
      <c r="K3" s="153"/>
      <c r="L3" s="19"/>
      <c r="M3" s="75">
        <v>41791</v>
      </c>
      <c r="N3" s="75">
        <v>41821</v>
      </c>
      <c r="O3" s="75">
        <v>41852</v>
      </c>
      <c r="P3" s="75">
        <v>41883</v>
      </c>
      <c r="Q3" s="75">
        <v>41913</v>
      </c>
      <c r="R3" s="75">
        <v>41944</v>
      </c>
      <c r="S3" s="75">
        <v>41974</v>
      </c>
      <c r="T3" s="75">
        <v>42005</v>
      </c>
      <c r="U3" s="75">
        <v>42036</v>
      </c>
      <c r="V3" s="75">
        <v>42064</v>
      </c>
      <c r="W3" s="75">
        <v>42095</v>
      </c>
      <c r="X3" s="75"/>
      <c r="Y3" s="75">
        <v>42156</v>
      </c>
      <c r="Z3" s="75">
        <v>42186</v>
      </c>
      <c r="AA3" s="75">
        <v>42217</v>
      </c>
      <c r="AB3" s="75">
        <v>42248</v>
      </c>
      <c r="AC3" s="75">
        <v>42278</v>
      </c>
      <c r="AD3" s="75">
        <v>42309</v>
      </c>
      <c r="AE3" s="75">
        <v>42339</v>
      </c>
      <c r="AF3" s="75">
        <v>42370</v>
      </c>
      <c r="AG3" s="75">
        <v>42401</v>
      </c>
      <c r="AH3" s="75">
        <v>42430</v>
      </c>
      <c r="AI3" s="75">
        <v>42461</v>
      </c>
      <c r="AJ3" s="75">
        <v>42491</v>
      </c>
      <c r="AK3" s="75">
        <v>42522</v>
      </c>
      <c r="AL3" s="75">
        <v>42552</v>
      </c>
      <c r="AM3" s="75">
        <v>42583</v>
      </c>
      <c r="AN3" s="75">
        <v>42614</v>
      </c>
      <c r="AO3" s="75">
        <v>42644</v>
      </c>
      <c r="AP3" s="75">
        <v>42675</v>
      </c>
      <c r="AQ3" s="75">
        <v>42705</v>
      </c>
      <c r="AR3" s="75">
        <v>42736</v>
      </c>
      <c r="AS3" s="75">
        <v>42767</v>
      </c>
      <c r="AT3" s="75">
        <v>42795</v>
      </c>
      <c r="AU3" s="75">
        <v>42826</v>
      </c>
      <c r="AV3" s="75">
        <v>42856</v>
      </c>
      <c r="AW3" s="75">
        <v>42887</v>
      </c>
      <c r="AX3" s="75">
        <v>42917</v>
      </c>
      <c r="AY3" s="75">
        <v>42948</v>
      </c>
      <c r="AZ3" s="75">
        <v>42979</v>
      </c>
      <c r="BA3" s="75">
        <v>43009</v>
      </c>
    </row>
    <row r="4" spans="1:53" x14ac:dyDescent="0.25">
      <c r="A4" s="195" t="s">
        <v>1169</v>
      </c>
      <c r="B4" s="159" t="s">
        <v>131</v>
      </c>
      <c r="C4" s="159" t="s">
        <v>132</v>
      </c>
      <c r="D4" s="160" t="s">
        <v>149</v>
      </c>
      <c r="E4" s="160">
        <v>2290</v>
      </c>
      <c r="F4" s="159">
        <v>0</v>
      </c>
      <c r="G4" s="204" t="s">
        <v>313</v>
      </c>
      <c r="H4" s="204">
        <v>21087929</v>
      </c>
      <c r="I4" s="204" t="s">
        <v>56</v>
      </c>
      <c r="J4" s="133"/>
      <c r="K4" s="153"/>
      <c r="L4" s="50" t="s">
        <v>49</v>
      </c>
      <c r="M4" s="51" t="s">
        <v>50</v>
      </c>
      <c r="N4" s="51" t="s">
        <v>50</v>
      </c>
      <c r="O4" s="51" t="s">
        <v>50</v>
      </c>
      <c r="P4" s="51" t="s">
        <v>50</v>
      </c>
      <c r="Q4" s="51" t="s">
        <v>50</v>
      </c>
      <c r="R4" s="51" t="s">
        <v>50</v>
      </c>
      <c r="S4" s="51" t="s">
        <v>50</v>
      </c>
      <c r="T4" s="51" t="s">
        <v>50</v>
      </c>
      <c r="U4" s="51" t="s">
        <v>50</v>
      </c>
      <c r="V4" s="51" t="s">
        <v>50</v>
      </c>
      <c r="W4" s="51" t="s">
        <v>50</v>
      </c>
      <c r="X4" s="51"/>
      <c r="Y4" s="51" t="s">
        <v>50</v>
      </c>
      <c r="Z4" s="51" t="s">
        <v>50</v>
      </c>
      <c r="AA4" s="51" t="s">
        <v>50</v>
      </c>
      <c r="AB4" s="51" t="s">
        <v>50</v>
      </c>
      <c r="AC4" s="51" t="s">
        <v>50</v>
      </c>
      <c r="AD4" s="51" t="s">
        <v>50</v>
      </c>
      <c r="AE4" s="51" t="s">
        <v>50</v>
      </c>
      <c r="AF4" s="51" t="s">
        <v>50</v>
      </c>
      <c r="AG4" s="51" t="s">
        <v>50</v>
      </c>
      <c r="AH4" s="51" t="s">
        <v>50</v>
      </c>
      <c r="AI4" s="51" t="s">
        <v>50</v>
      </c>
      <c r="AJ4" s="51" t="s">
        <v>50</v>
      </c>
      <c r="AK4" s="51" t="s">
        <v>50</v>
      </c>
      <c r="AL4" s="51" t="s">
        <v>50</v>
      </c>
      <c r="AM4" s="51" t="s">
        <v>50</v>
      </c>
      <c r="AN4" s="51" t="s">
        <v>50</v>
      </c>
      <c r="AO4" s="51" t="s">
        <v>50</v>
      </c>
      <c r="AP4" s="51" t="s">
        <v>202</v>
      </c>
      <c r="AQ4" s="51" t="s">
        <v>202</v>
      </c>
      <c r="AR4" s="51" t="s">
        <v>202</v>
      </c>
      <c r="AS4" s="51" t="s">
        <v>202</v>
      </c>
      <c r="AT4" s="51" t="s">
        <v>202</v>
      </c>
      <c r="AU4" s="51" t="s">
        <v>50</v>
      </c>
      <c r="AV4" s="51" t="s">
        <v>50</v>
      </c>
      <c r="AW4" s="51"/>
      <c r="AX4" s="51" t="s">
        <v>50</v>
      </c>
      <c r="AY4" s="51" t="s">
        <v>50</v>
      </c>
      <c r="AZ4" s="51" t="s">
        <v>50</v>
      </c>
      <c r="BA4" s="51" t="s">
        <v>50</v>
      </c>
    </row>
    <row r="5" spans="1:53" x14ac:dyDescent="0.25">
      <c r="A5" s="195" t="s">
        <v>1169</v>
      </c>
      <c r="B5" s="159" t="s">
        <v>131</v>
      </c>
      <c r="C5" s="159" t="s">
        <v>132</v>
      </c>
      <c r="D5" s="160" t="s">
        <v>149</v>
      </c>
      <c r="E5" s="160">
        <v>37722</v>
      </c>
      <c r="F5" s="159">
        <v>0</v>
      </c>
      <c r="G5" s="204" t="s">
        <v>141</v>
      </c>
      <c r="H5" s="204">
        <v>128808</v>
      </c>
      <c r="I5" s="204" t="s">
        <v>181</v>
      </c>
      <c r="J5" s="133"/>
      <c r="K5" s="153"/>
      <c r="L5" s="49" t="s">
        <v>51</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195" t="s">
        <v>1169</v>
      </c>
      <c r="B6" s="159" t="s">
        <v>131</v>
      </c>
      <c r="C6" s="159" t="s">
        <v>132</v>
      </c>
      <c r="D6" s="159" t="s">
        <v>149</v>
      </c>
      <c r="E6" s="160">
        <v>77849</v>
      </c>
      <c r="F6" s="159">
        <v>0</v>
      </c>
      <c r="G6" s="204" t="s">
        <v>262</v>
      </c>
      <c r="H6" s="204">
        <v>101357047</v>
      </c>
      <c r="I6" s="204" t="s">
        <v>56</v>
      </c>
      <c r="J6" s="133"/>
      <c r="K6" s="153"/>
      <c r="L6" s="49" t="s">
        <v>52</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195" t="s">
        <v>1169</v>
      </c>
      <c r="B7" s="159" t="s">
        <v>131</v>
      </c>
      <c r="C7" s="159" t="s">
        <v>132</v>
      </c>
      <c r="D7" s="159" t="s">
        <v>149</v>
      </c>
      <c r="E7" s="160">
        <v>22880</v>
      </c>
      <c r="F7" s="159">
        <v>0</v>
      </c>
      <c r="G7" s="204" t="s">
        <v>239</v>
      </c>
      <c r="H7" s="204">
        <v>69786493</v>
      </c>
      <c r="I7" s="204" t="s">
        <v>148</v>
      </c>
      <c r="J7" s="133"/>
      <c r="K7" s="153"/>
      <c r="L7" s="49" t="s">
        <v>53</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203</v>
      </c>
      <c r="AQ7" s="22" t="s">
        <v>203</v>
      </c>
      <c r="AR7" s="22" t="s">
        <v>203</v>
      </c>
      <c r="AS7" s="22" t="s">
        <v>203</v>
      </c>
      <c r="AT7" s="22" t="s">
        <v>203</v>
      </c>
      <c r="AU7" s="22">
        <v>0</v>
      </c>
      <c r="AV7" s="22">
        <v>356012</v>
      </c>
      <c r="AW7" s="22"/>
      <c r="AX7" s="22">
        <v>416262</v>
      </c>
      <c r="AY7" s="22">
        <v>409806</v>
      </c>
      <c r="AZ7" s="22">
        <v>227742</v>
      </c>
      <c r="BA7" s="22">
        <v>0</v>
      </c>
    </row>
    <row r="8" spans="1:53" x14ac:dyDescent="0.25">
      <c r="A8" s="195" t="s">
        <v>1169</v>
      </c>
      <c r="B8" s="159" t="s">
        <v>131</v>
      </c>
      <c r="C8" s="159" t="s">
        <v>132</v>
      </c>
      <c r="D8" s="160" t="s">
        <v>149</v>
      </c>
      <c r="E8" s="160">
        <v>69508</v>
      </c>
      <c r="F8" s="159">
        <v>0</v>
      </c>
      <c r="G8" s="204" t="s">
        <v>239</v>
      </c>
      <c r="H8" s="204">
        <v>69786492</v>
      </c>
      <c r="I8" s="204" t="s">
        <v>184</v>
      </c>
      <c r="J8" s="133"/>
      <c r="K8" s="153"/>
      <c r="L8" s="49" t="s">
        <v>54</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195" t="s">
        <v>1169</v>
      </c>
      <c r="B9" s="159" t="s">
        <v>131</v>
      </c>
      <c r="C9" s="159" t="s">
        <v>132</v>
      </c>
      <c r="D9" s="160" t="s">
        <v>149</v>
      </c>
      <c r="E9" s="160">
        <v>30500</v>
      </c>
      <c r="F9" s="159">
        <v>0</v>
      </c>
      <c r="G9" s="204" t="s">
        <v>239</v>
      </c>
      <c r="H9" s="204">
        <v>69786491</v>
      </c>
      <c r="I9" s="204" t="s">
        <v>182</v>
      </c>
      <c r="J9" s="133"/>
      <c r="K9" s="153"/>
      <c r="L9" s="49" t="s">
        <v>55</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195" t="s">
        <v>1169</v>
      </c>
      <c r="B10" s="159" t="s">
        <v>131</v>
      </c>
      <c r="C10" s="159" t="s">
        <v>132</v>
      </c>
      <c r="D10" s="160" t="s">
        <v>149</v>
      </c>
      <c r="E10" s="160">
        <v>174756</v>
      </c>
      <c r="F10" s="159">
        <v>0</v>
      </c>
      <c r="G10" s="204" t="s">
        <v>239</v>
      </c>
      <c r="H10" s="204">
        <v>69786490</v>
      </c>
      <c r="I10" s="204" t="s">
        <v>183</v>
      </c>
      <c r="J10" s="133"/>
      <c r="K10" s="153"/>
      <c r="L10" s="49" t="s">
        <v>56</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195" t="s">
        <v>1171</v>
      </c>
      <c r="B11" s="159" t="s">
        <v>131</v>
      </c>
      <c r="C11" s="159" t="s">
        <v>132</v>
      </c>
      <c r="D11" s="160" t="s">
        <v>149</v>
      </c>
      <c r="E11" s="160">
        <v>2000</v>
      </c>
      <c r="F11" s="159">
        <v>0</v>
      </c>
      <c r="G11" s="204" t="s">
        <v>757</v>
      </c>
      <c r="H11" s="204">
        <v>7705</v>
      </c>
      <c r="I11" s="204" t="s">
        <v>183</v>
      </c>
      <c r="J11" s="133"/>
      <c r="K11" s="153"/>
      <c r="L11" s="49" t="s">
        <v>57</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195" t="s">
        <v>1172</v>
      </c>
      <c r="B12" s="159" t="s">
        <v>131</v>
      </c>
      <c r="C12" s="159" t="s">
        <v>132</v>
      </c>
      <c r="D12" s="160" t="s">
        <v>149</v>
      </c>
      <c r="E12" s="160">
        <v>76850</v>
      </c>
      <c r="F12" s="159">
        <v>0</v>
      </c>
      <c r="G12" s="204" t="s">
        <v>1406</v>
      </c>
      <c r="H12" s="204">
        <v>44199</v>
      </c>
      <c r="I12" s="204" t="s">
        <v>183</v>
      </c>
      <c r="J12" s="133"/>
      <c r="K12" s="153"/>
      <c r="L12" s="49" t="s">
        <v>68</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203</v>
      </c>
      <c r="AQ12" s="22">
        <v>30000</v>
      </c>
      <c r="AR12" s="22">
        <v>90000</v>
      </c>
      <c r="AS12" s="22">
        <v>90000</v>
      </c>
      <c r="AT12" s="22" t="s">
        <v>203</v>
      </c>
      <c r="AU12" s="22">
        <v>0</v>
      </c>
      <c r="AV12" s="22">
        <v>0</v>
      </c>
      <c r="AW12" s="22"/>
      <c r="AX12" s="22">
        <v>45000</v>
      </c>
      <c r="AY12" s="22">
        <v>0</v>
      </c>
      <c r="AZ12" s="22">
        <v>30000</v>
      </c>
      <c r="BA12" s="22">
        <v>240000</v>
      </c>
    </row>
    <row r="13" spans="1:53" x14ac:dyDescent="0.25">
      <c r="A13" s="195" t="s">
        <v>1172</v>
      </c>
      <c r="B13" s="159" t="s">
        <v>131</v>
      </c>
      <c r="C13" s="159" t="s">
        <v>132</v>
      </c>
      <c r="D13" s="160" t="s">
        <v>149</v>
      </c>
      <c r="E13" s="160">
        <v>13510</v>
      </c>
      <c r="F13" s="159">
        <v>0</v>
      </c>
      <c r="G13" s="204" t="s">
        <v>1406</v>
      </c>
      <c r="H13" s="204">
        <v>44200</v>
      </c>
      <c r="I13" s="204" t="s">
        <v>184</v>
      </c>
      <c r="J13" s="133"/>
      <c r="K13" s="153"/>
      <c r="L13" s="49" t="s">
        <v>148</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195" t="s">
        <v>1172</v>
      </c>
      <c r="B14" s="159" t="s">
        <v>131</v>
      </c>
      <c r="C14" s="159" t="s">
        <v>132</v>
      </c>
      <c r="D14" s="160" t="s">
        <v>149</v>
      </c>
      <c r="E14" s="160">
        <v>51577</v>
      </c>
      <c r="F14" s="159">
        <v>0</v>
      </c>
      <c r="G14" s="204" t="s">
        <v>185</v>
      </c>
      <c r="H14" s="204">
        <v>12299585</v>
      </c>
      <c r="I14" s="204" t="s">
        <v>148</v>
      </c>
      <c r="J14" s="133"/>
      <c r="K14" s="153"/>
      <c r="L14" s="68" t="s">
        <v>58</v>
      </c>
      <c r="M14" s="69">
        <v>1737064</v>
      </c>
      <c r="N14" s="69">
        <v>1815495</v>
      </c>
      <c r="O14" s="69">
        <v>1815495</v>
      </c>
      <c r="P14" s="69">
        <v>1934628</v>
      </c>
      <c r="Q14" s="69">
        <v>2245050</v>
      </c>
      <c r="R14" s="69">
        <v>2078993</v>
      </c>
      <c r="S14" s="69">
        <v>2475588</v>
      </c>
      <c r="T14" s="69">
        <v>2000000</v>
      </c>
      <c r="U14" s="69">
        <v>2541076</v>
      </c>
      <c r="V14" s="69">
        <v>1980555</v>
      </c>
      <c r="W14" s="69">
        <v>2591377</v>
      </c>
      <c r="X14" s="69"/>
      <c r="Y14" s="69"/>
      <c r="Z14" s="69">
        <v>3379548</v>
      </c>
      <c r="AA14" s="69">
        <f>SUM(AA5:AA12)</f>
        <v>2586439</v>
      </c>
      <c r="AB14" s="69">
        <v>2807728</v>
      </c>
      <c r="AC14" s="69">
        <v>2012767</v>
      </c>
      <c r="AD14" s="69">
        <v>2066525</v>
      </c>
      <c r="AE14" s="69">
        <v>2559398</v>
      </c>
      <c r="AF14" s="69">
        <v>2536145</v>
      </c>
      <c r="AG14" s="69"/>
      <c r="AH14" s="69"/>
      <c r="AI14" s="69">
        <f>SUM(AI5:AI13)</f>
        <v>2760596</v>
      </c>
      <c r="AJ14" s="69">
        <f t="shared" ref="AJ14:AM14" si="0">SUM(AJ5:AJ13)</f>
        <v>1510370</v>
      </c>
      <c r="AK14" s="69">
        <f t="shared" si="0"/>
        <v>431441</v>
      </c>
      <c r="AL14" s="69">
        <f t="shared" si="0"/>
        <v>2392906</v>
      </c>
      <c r="AM14" s="69">
        <f t="shared" si="0"/>
        <v>2781371</v>
      </c>
      <c r="AN14" s="69">
        <f t="shared" ref="AN14" si="1">SUM(AN5:AN13)</f>
        <v>2607790</v>
      </c>
      <c r="AO14" s="69">
        <v>2480261</v>
      </c>
      <c r="AP14" s="69">
        <v>2564608</v>
      </c>
      <c r="AQ14" s="69">
        <v>2390184</v>
      </c>
      <c r="AR14" s="69">
        <v>2732497</v>
      </c>
      <c r="AS14" s="69">
        <v>2732497</v>
      </c>
      <c r="AT14" s="69">
        <v>2692799</v>
      </c>
      <c r="AU14" s="69">
        <v>2755072</v>
      </c>
      <c r="AV14" s="69">
        <f>SUM(AV5:AV13)</f>
        <v>2342742</v>
      </c>
      <c r="AW14" s="69"/>
      <c r="AX14" s="69">
        <v>2089468</v>
      </c>
      <c r="AY14" s="69">
        <v>2926825</v>
      </c>
      <c r="AZ14" s="69">
        <v>2371029</v>
      </c>
      <c r="BA14" s="69">
        <v>3232513</v>
      </c>
    </row>
    <row r="15" spans="1:53" x14ac:dyDescent="0.25">
      <c r="A15" s="195" t="s">
        <v>1172</v>
      </c>
      <c r="B15" s="159" t="s">
        <v>131</v>
      </c>
      <c r="C15" s="159" t="s">
        <v>132</v>
      </c>
      <c r="D15" s="160" t="s">
        <v>149</v>
      </c>
      <c r="E15" s="160">
        <v>17099</v>
      </c>
      <c r="F15" s="159">
        <v>0</v>
      </c>
      <c r="G15" s="204" t="s">
        <v>262</v>
      </c>
      <c r="H15" s="204">
        <v>101357163</v>
      </c>
      <c r="I15" s="204" t="s">
        <v>56</v>
      </c>
      <c r="J15" s="133"/>
      <c r="K15" s="153"/>
      <c r="L15" s="19"/>
      <c r="M15" s="19"/>
      <c r="N15" s="19"/>
      <c r="O15" s="19"/>
      <c r="P15" s="19"/>
      <c r="Q15" s="19"/>
      <c r="R15" s="19"/>
      <c r="S15" s="53"/>
      <c r="T15" s="53"/>
      <c r="U15" s="53"/>
      <c r="V15" s="53"/>
    </row>
    <row r="16" spans="1:53" x14ac:dyDescent="0.25">
      <c r="A16" s="195" t="s">
        <v>1172</v>
      </c>
      <c r="B16" s="159" t="s">
        <v>131</v>
      </c>
      <c r="C16" s="159" t="s">
        <v>132</v>
      </c>
      <c r="D16" s="160" t="s">
        <v>149</v>
      </c>
      <c r="E16" s="160">
        <v>43211</v>
      </c>
      <c r="F16" s="159">
        <v>0</v>
      </c>
      <c r="G16" s="204" t="s">
        <v>239</v>
      </c>
      <c r="H16" s="204">
        <v>69821308</v>
      </c>
      <c r="I16" s="204" t="s">
        <v>184</v>
      </c>
      <c r="J16" s="133"/>
      <c r="K16" s="153"/>
      <c r="L16" s="3"/>
      <c r="M16"/>
      <c r="N16"/>
      <c r="O16"/>
      <c r="P16"/>
      <c r="Q16"/>
      <c r="R16"/>
      <c r="S16" s="53"/>
      <c r="T16" s="53"/>
      <c r="U16" s="53"/>
      <c r="V16" s="53"/>
    </row>
    <row r="17" spans="1:22" x14ac:dyDescent="0.25">
      <c r="A17" s="195" t="s">
        <v>1172</v>
      </c>
      <c r="B17" s="159" t="s">
        <v>131</v>
      </c>
      <c r="C17" s="159" t="s">
        <v>132</v>
      </c>
      <c r="D17" s="160" t="s">
        <v>149</v>
      </c>
      <c r="E17" s="160">
        <v>28400</v>
      </c>
      <c r="F17" s="159">
        <v>0</v>
      </c>
      <c r="G17" s="204" t="s">
        <v>239</v>
      </c>
      <c r="H17" s="204">
        <v>69821309</v>
      </c>
      <c r="I17" s="204" t="s">
        <v>148</v>
      </c>
      <c r="J17" s="133"/>
      <c r="K17" s="153"/>
      <c r="L17" s="3"/>
      <c r="M17" s="5"/>
      <c r="N17"/>
      <c r="O17"/>
      <c r="P17"/>
      <c r="Q17"/>
      <c r="R17"/>
      <c r="S17" s="53"/>
      <c r="T17" s="53"/>
      <c r="U17" s="53"/>
      <c r="V17" s="53"/>
    </row>
    <row r="18" spans="1:22" x14ac:dyDescent="0.25">
      <c r="A18" s="195" t="s">
        <v>1172</v>
      </c>
      <c r="B18" s="159" t="s">
        <v>131</v>
      </c>
      <c r="C18" s="159" t="s">
        <v>132</v>
      </c>
      <c r="D18" s="159" t="s">
        <v>149</v>
      </c>
      <c r="E18" s="160">
        <v>26100</v>
      </c>
      <c r="F18" s="159">
        <v>0</v>
      </c>
      <c r="G18" s="204" t="s">
        <v>239</v>
      </c>
      <c r="H18" s="204">
        <v>69821307</v>
      </c>
      <c r="I18" s="204" t="s">
        <v>182</v>
      </c>
      <c r="J18" s="133"/>
      <c r="K18" s="153"/>
      <c r="L18" s="3"/>
      <c r="M18" s="5"/>
      <c r="N18"/>
      <c r="O18"/>
      <c r="P18"/>
      <c r="Q18"/>
      <c r="R18"/>
      <c r="S18" s="53"/>
      <c r="T18" s="53"/>
      <c r="U18" s="53"/>
      <c r="V18" s="53"/>
    </row>
    <row r="19" spans="1:22" x14ac:dyDescent="0.25">
      <c r="A19" s="195" t="s">
        <v>1172</v>
      </c>
      <c r="B19" s="159" t="s">
        <v>131</v>
      </c>
      <c r="C19" s="159" t="s">
        <v>132</v>
      </c>
      <c r="D19" s="159" t="s">
        <v>149</v>
      </c>
      <c r="E19" s="160">
        <v>138543</v>
      </c>
      <c r="F19" s="159">
        <v>0</v>
      </c>
      <c r="G19" s="204" t="s">
        <v>239</v>
      </c>
      <c r="H19" s="204">
        <v>69821306</v>
      </c>
      <c r="I19" s="204" t="s">
        <v>183</v>
      </c>
      <c r="J19" s="133"/>
      <c r="K19" s="49" t="s">
        <v>184</v>
      </c>
      <c r="L19" s="3"/>
      <c r="M19" s="5"/>
      <c r="N19"/>
      <c r="O19"/>
      <c r="P19"/>
      <c r="Q19"/>
      <c r="R19"/>
      <c r="S19" s="53"/>
      <c r="T19" s="53"/>
      <c r="U19" s="53"/>
      <c r="V19" s="53"/>
    </row>
    <row r="20" spans="1:22" x14ac:dyDescent="0.25">
      <c r="A20" s="195" t="s">
        <v>1408</v>
      </c>
      <c r="B20" s="159" t="s">
        <v>131</v>
      </c>
      <c r="C20" s="159" t="s">
        <v>132</v>
      </c>
      <c r="D20" s="159" t="s">
        <v>149</v>
      </c>
      <c r="E20" s="160">
        <v>57770</v>
      </c>
      <c r="F20" s="159">
        <v>0</v>
      </c>
      <c r="G20" s="204" t="s">
        <v>1406</v>
      </c>
      <c r="H20" s="204">
        <v>44364</v>
      </c>
      <c r="I20" s="204" t="s">
        <v>183</v>
      </c>
      <c r="J20" s="133"/>
      <c r="K20" s="49" t="s">
        <v>182</v>
      </c>
      <c r="L20" s="3"/>
      <c r="M20" s="5"/>
      <c r="N20"/>
      <c r="O20"/>
      <c r="P20"/>
      <c r="Q20"/>
      <c r="R20"/>
      <c r="S20" s="53"/>
      <c r="T20" s="53"/>
      <c r="U20" s="53"/>
      <c r="V20" s="53"/>
    </row>
    <row r="21" spans="1:22" x14ac:dyDescent="0.25">
      <c r="A21" s="195" t="s">
        <v>1408</v>
      </c>
      <c r="B21" s="159" t="s">
        <v>131</v>
      </c>
      <c r="C21" s="159" t="s">
        <v>132</v>
      </c>
      <c r="D21" s="160" t="s">
        <v>149</v>
      </c>
      <c r="E21" s="160">
        <v>16240</v>
      </c>
      <c r="F21" s="159">
        <v>0</v>
      </c>
      <c r="G21" s="204" t="s">
        <v>1406</v>
      </c>
      <c r="H21" s="204">
        <v>44365</v>
      </c>
      <c r="I21" s="204" t="s">
        <v>184</v>
      </c>
      <c r="J21" s="133"/>
      <c r="K21" s="49" t="s">
        <v>193</v>
      </c>
      <c r="L21" s="3"/>
      <c r="M21" s="5"/>
      <c r="N21"/>
      <c r="O21"/>
      <c r="P21"/>
      <c r="Q21"/>
      <c r="R21"/>
      <c r="S21" s="53"/>
      <c r="T21" s="53"/>
      <c r="U21" s="53"/>
      <c r="V21" s="53"/>
    </row>
    <row r="22" spans="1:22" x14ac:dyDescent="0.25">
      <c r="A22" s="195" t="s">
        <v>1408</v>
      </c>
      <c r="B22" s="159" t="s">
        <v>131</v>
      </c>
      <c r="C22" s="159" t="s">
        <v>132</v>
      </c>
      <c r="D22" s="160" t="s">
        <v>149</v>
      </c>
      <c r="E22" s="160">
        <v>44129</v>
      </c>
      <c r="F22" s="159">
        <v>0</v>
      </c>
      <c r="G22" s="204" t="s">
        <v>185</v>
      </c>
      <c r="H22" s="204">
        <v>12342234</v>
      </c>
      <c r="I22" s="204" t="s">
        <v>148</v>
      </c>
      <c r="J22" s="133"/>
      <c r="K22" s="49" t="s">
        <v>181</v>
      </c>
      <c r="L22" s="3"/>
      <c r="M22" s="5"/>
      <c r="N22"/>
      <c r="O22"/>
      <c r="P22"/>
      <c r="Q22"/>
      <c r="R22"/>
      <c r="S22" s="53"/>
      <c r="T22" s="53"/>
      <c r="U22" s="53"/>
      <c r="V22" s="53"/>
    </row>
    <row r="23" spans="1:22" x14ac:dyDescent="0.25">
      <c r="A23" s="195" t="s">
        <v>1408</v>
      </c>
      <c r="B23" s="159" t="s">
        <v>131</v>
      </c>
      <c r="C23" s="159" t="s">
        <v>132</v>
      </c>
      <c r="D23" s="160" t="s">
        <v>149</v>
      </c>
      <c r="E23" s="160">
        <v>44510</v>
      </c>
      <c r="F23" s="159">
        <v>0</v>
      </c>
      <c r="G23" s="204" t="s">
        <v>239</v>
      </c>
      <c r="H23" s="204">
        <v>69845241</v>
      </c>
      <c r="I23" s="204" t="s">
        <v>182</v>
      </c>
      <c r="J23" s="133"/>
      <c r="K23" s="49" t="s">
        <v>183</v>
      </c>
      <c r="L23" s="3"/>
      <c r="M23" s="5"/>
      <c r="N23"/>
      <c r="O23"/>
      <c r="P23"/>
      <c r="Q23"/>
      <c r="R23"/>
      <c r="S23" s="53"/>
      <c r="T23" s="53"/>
      <c r="U23" s="53"/>
      <c r="V23" s="53"/>
    </row>
    <row r="24" spans="1:22" x14ac:dyDescent="0.25">
      <c r="A24" s="195" t="s">
        <v>1408</v>
      </c>
      <c r="B24" s="159" t="s">
        <v>131</v>
      </c>
      <c r="C24" s="159" t="s">
        <v>132</v>
      </c>
      <c r="D24" s="160" t="s">
        <v>149</v>
      </c>
      <c r="E24" s="160">
        <v>58759</v>
      </c>
      <c r="F24" s="159">
        <v>0</v>
      </c>
      <c r="G24" s="204" t="s">
        <v>239</v>
      </c>
      <c r="H24" s="204">
        <v>69845240</v>
      </c>
      <c r="I24" s="204" t="s">
        <v>184</v>
      </c>
      <c r="J24" s="133"/>
      <c r="K24" s="49" t="s">
        <v>56</v>
      </c>
      <c r="L24" s="19"/>
      <c r="M24" s="5"/>
      <c r="N24" s="19"/>
      <c r="O24" s="19"/>
      <c r="P24" s="19"/>
      <c r="Q24" s="19"/>
      <c r="R24" s="19"/>
      <c r="S24" s="53"/>
      <c r="T24" s="53"/>
      <c r="U24" s="53"/>
      <c r="V24" s="53"/>
    </row>
    <row r="25" spans="1:22" x14ac:dyDescent="0.25">
      <c r="A25" s="195" t="s">
        <v>1408</v>
      </c>
      <c r="B25" s="159" t="s">
        <v>131</v>
      </c>
      <c r="C25" s="159" t="s">
        <v>132</v>
      </c>
      <c r="D25" s="160" t="s">
        <v>149</v>
      </c>
      <c r="E25" s="160">
        <v>152155</v>
      </c>
      <c r="F25" s="159">
        <v>0</v>
      </c>
      <c r="G25" s="204" t="s">
        <v>239</v>
      </c>
      <c r="H25" s="204">
        <v>69845239</v>
      </c>
      <c r="I25" s="204" t="s">
        <v>183</v>
      </c>
      <c r="J25" s="133"/>
      <c r="K25" s="49" t="s">
        <v>186</v>
      </c>
      <c r="L25" s="19"/>
      <c r="M25" s="5"/>
      <c r="N25" s="19"/>
      <c r="O25" s="19"/>
      <c r="P25" s="19"/>
      <c r="Q25" s="19"/>
      <c r="R25" s="19"/>
      <c r="S25" s="53"/>
      <c r="T25" s="53"/>
      <c r="U25" s="53"/>
      <c r="V25" s="53"/>
    </row>
    <row r="26" spans="1:22" x14ac:dyDescent="0.25">
      <c r="A26" s="195" t="s">
        <v>1214</v>
      </c>
      <c r="B26" s="159" t="s">
        <v>131</v>
      </c>
      <c r="C26" s="159" t="s">
        <v>132</v>
      </c>
      <c r="D26" s="160" t="s">
        <v>149</v>
      </c>
      <c r="E26" s="160">
        <v>16080</v>
      </c>
      <c r="F26" s="159">
        <v>0</v>
      </c>
      <c r="G26" s="204" t="s">
        <v>263</v>
      </c>
      <c r="H26" s="204">
        <v>9886</v>
      </c>
      <c r="I26" s="204" t="s">
        <v>182</v>
      </c>
      <c r="J26" s="133"/>
      <c r="K26" s="49" t="s">
        <v>68</v>
      </c>
      <c r="L26" s="19"/>
      <c r="M26" s="5"/>
      <c r="N26" s="19"/>
      <c r="O26" s="19"/>
      <c r="P26" s="19"/>
      <c r="Q26" s="19"/>
      <c r="R26" s="19"/>
      <c r="S26" s="53"/>
      <c r="T26" s="53"/>
      <c r="U26" s="53"/>
      <c r="V26" s="53"/>
    </row>
    <row r="27" spans="1:22" x14ac:dyDescent="0.25">
      <c r="A27" s="195" t="s">
        <v>1176</v>
      </c>
      <c r="B27" s="159" t="s">
        <v>131</v>
      </c>
      <c r="C27" s="159" t="s">
        <v>132</v>
      </c>
      <c r="D27" s="160" t="s">
        <v>149</v>
      </c>
      <c r="E27" s="160">
        <v>7400</v>
      </c>
      <c r="F27" s="159">
        <v>0</v>
      </c>
      <c r="G27" s="204" t="s">
        <v>757</v>
      </c>
      <c r="H27" s="204">
        <v>8171</v>
      </c>
      <c r="I27" s="204" t="s">
        <v>183</v>
      </c>
      <c r="J27" s="133"/>
      <c r="K27" s="49" t="s">
        <v>148</v>
      </c>
      <c r="L27" s="19"/>
      <c r="M27" s="5"/>
      <c r="N27" s="19"/>
      <c r="O27" s="19"/>
      <c r="P27" s="19"/>
      <c r="Q27" s="19"/>
      <c r="R27" s="19"/>
      <c r="S27" s="53"/>
      <c r="T27" s="53"/>
      <c r="U27" s="53"/>
      <c r="V27" s="53"/>
    </row>
    <row r="28" spans="1:22" x14ac:dyDescent="0.25">
      <c r="A28" s="195" t="s">
        <v>1177</v>
      </c>
      <c r="B28" s="159" t="s">
        <v>131</v>
      </c>
      <c r="C28" s="159" t="s">
        <v>132</v>
      </c>
      <c r="D28" s="160" t="s">
        <v>149</v>
      </c>
      <c r="E28" s="160">
        <v>40406</v>
      </c>
      <c r="F28" s="159">
        <v>0</v>
      </c>
      <c r="G28" s="204" t="s">
        <v>141</v>
      </c>
      <c r="H28" s="204">
        <v>210298</v>
      </c>
      <c r="I28" s="204" t="s">
        <v>181</v>
      </c>
      <c r="J28" s="133"/>
      <c r="K28" s="153"/>
      <c r="L28" s="19"/>
      <c r="M28" s="5"/>
      <c r="N28" s="19"/>
      <c r="O28" s="19"/>
      <c r="P28" s="19"/>
      <c r="Q28" s="19"/>
      <c r="R28" s="19"/>
      <c r="S28" s="53"/>
      <c r="T28" s="53"/>
      <c r="U28" s="53"/>
      <c r="V28" s="53"/>
    </row>
    <row r="29" spans="1:22" x14ac:dyDescent="0.25">
      <c r="A29" s="195" t="s">
        <v>1178</v>
      </c>
      <c r="B29" s="159" t="s">
        <v>131</v>
      </c>
      <c r="C29" s="159" t="s">
        <v>132</v>
      </c>
      <c r="D29" s="160" t="s">
        <v>149</v>
      </c>
      <c r="E29" s="160">
        <v>65690</v>
      </c>
      <c r="F29" s="159">
        <v>0</v>
      </c>
      <c r="G29" s="204" t="s">
        <v>1406</v>
      </c>
      <c r="H29" s="204">
        <v>45844</v>
      </c>
      <c r="I29" s="204" t="s">
        <v>183</v>
      </c>
      <c r="J29" s="133"/>
      <c r="K29" s="153"/>
      <c r="L29" s="19"/>
      <c r="M29" s="5"/>
      <c r="N29" s="19"/>
      <c r="O29" s="19"/>
      <c r="P29" s="19"/>
      <c r="Q29" s="19"/>
      <c r="R29" s="19"/>
      <c r="S29" s="53"/>
      <c r="T29" s="53"/>
      <c r="U29" s="53"/>
      <c r="V29" s="53"/>
    </row>
    <row r="30" spans="1:22" x14ac:dyDescent="0.25">
      <c r="A30" s="195" t="s">
        <v>1178</v>
      </c>
      <c r="B30" s="159" t="s">
        <v>131</v>
      </c>
      <c r="C30" s="159" t="s">
        <v>132</v>
      </c>
      <c r="D30" s="159" t="s">
        <v>149</v>
      </c>
      <c r="E30" s="160">
        <v>40140</v>
      </c>
      <c r="F30" s="159">
        <v>0</v>
      </c>
      <c r="G30" s="204" t="s">
        <v>1406</v>
      </c>
      <c r="H30" s="204">
        <v>45845</v>
      </c>
      <c r="I30" s="204" t="s">
        <v>183</v>
      </c>
      <c r="J30" s="133"/>
      <c r="K30" s="153"/>
      <c r="L30" s="19"/>
      <c r="M30" s="5"/>
      <c r="N30" s="19"/>
      <c r="O30" s="19"/>
      <c r="P30" s="19"/>
      <c r="Q30" s="19"/>
      <c r="R30" s="19"/>
      <c r="S30" s="53"/>
      <c r="T30" s="53"/>
      <c r="U30" s="53"/>
      <c r="V30" s="53"/>
    </row>
    <row r="31" spans="1:22" x14ac:dyDescent="0.25">
      <c r="A31" s="195" t="s">
        <v>1178</v>
      </c>
      <c r="B31" s="159" t="s">
        <v>131</v>
      </c>
      <c r="C31" s="159" t="s">
        <v>132</v>
      </c>
      <c r="D31" s="159" t="s">
        <v>149</v>
      </c>
      <c r="E31" s="160">
        <v>42640</v>
      </c>
      <c r="F31" s="159">
        <v>0</v>
      </c>
      <c r="G31" s="204" t="s">
        <v>185</v>
      </c>
      <c r="H31" s="204">
        <v>12379089</v>
      </c>
      <c r="I31" s="204" t="s">
        <v>148</v>
      </c>
      <c r="J31" s="133"/>
      <c r="K31" s="153"/>
      <c r="L31" s="19"/>
      <c r="M31" s="5"/>
      <c r="N31" s="19"/>
      <c r="O31" s="19"/>
      <c r="P31" s="19"/>
      <c r="Q31" s="19"/>
      <c r="R31" s="19"/>
      <c r="S31" s="53"/>
      <c r="T31" s="53"/>
      <c r="U31" s="53"/>
      <c r="V31" s="53"/>
    </row>
    <row r="32" spans="1:22" s="110" customFormat="1" x14ac:dyDescent="0.25">
      <c r="A32" s="195" t="s">
        <v>1178</v>
      </c>
      <c r="B32" s="159" t="s">
        <v>131</v>
      </c>
      <c r="C32" s="159" t="s">
        <v>132</v>
      </c>
      <c r="D32" s="159" t="s">
        <v>149</v>
      </c>
      <c r="E32" s="160">
        <v>33550</v>
      </c>
      <c r="F32" s="159">
        <v>0</v>
      </c>
      <c r="G32" s="204" t="s">
        <v>262</v>
      </c>
      <c r="H32" s="204">
        <v>547751524</v>
      </c>
      <c r="I32" s="204" t="s">
        <v>56</v>
      </c>
      <c r="J32" s="133"/>
      <c r="K32" s="153"/>
      <c r="M32" s="5"/>
      <c r="S32" s="53"/>
      <c r="T32" s="53"/>
      <c r="U32" s="53"/>
      <c r="V32" s="53"/>
    </row>
    <row r="33" spans="1:22" s="110" customFormat="1" x14ac:dyDescent="0.25">
      <c r="A33" s="195" t="s">
        <v>1178</v>
      </c>
      <c r="B33" s="136" t="s">
        <v>131</v>
      </c>
      <c r="C33" s="162" t="s">
        <v>132</v>
      </c>
      <c r="D33" s="163" t="s">
        <v>149</v>
      </c>
      <c r="E33" s="160">
        <v>60980</v>
      </c>
      <c r="F33" s="159">
        <v>0</v>
      </c>
      <c r="G33" s="204" t="s">
        <v>239</v>
      </c>
      <c r="H33" s="204">
        <v>69889161</v>
      </c>
      <c r="I33" s="204" t="s">
        <v>183</v>
      </c>
      <c r="J33" s="133"/>
      <c r="K33" s="153"/>
      <c r="M33" s="5"/>
      <c r="S33" s="53"/>
      <c r="T33" s="53"/>
      <c r="U33" s="53"/>
      <c r="V33" s="53"/>
    </row>
    <row r="34" spans="1:22" s="110" customFormat="1" x14ac:dyDescent="0.25">
      <c r="A34" s="195" t="s">
        <v>1178</v>
      </c>
      <c r="B34" s="136" t="s">
        <v>131</v>
      </c>
      <c r="C34" s="162" t="s">
        <v>132</v>
      </c>
      <c r="D34" s="163" t="s">
        <v>149</v>
      </c>
      <c r="E34" s="160">
        <v>39520</v>
      </c>
      <c r="F34" s="159">
        <v>0</v>
      </c>
      <c r="G34" s="204" t="s">
        <v>239</v>
      </c>
      <c r="H34" s="204">
        <v>69889160</v>
      </c>
      <c r="I34" s="204" t="s">
        <v>148</v>
      </c>
      <c r="J34" s="133"/>
      <c r="K34" s="153"/>
      <c r="M34" s="5"/>
      <c r="S34" s="53"/>
      <c r="T34" s="53"/>
      <c r="U34" s="53"/>
      <c r="V34" s="53"/>
    </row>
    <row r="35" spans="1:22" s="110" customFormat="1" x14ac:dyDescent="0.25">
      <c r="A35" s="195" t="s">
        <v>1178</v>
      </c>
      <c r="B35" s="136" t="s">
        <v>131</v>
      </c>
      <c r="C35" s="162" t="s">
        <v>132</v>
      </c>
      <c r="D35" s="151" t="s">
        <v>149</v>
      </c>
      <c r="E35" s="160">
        <v>152062</v>
      </c>
      <c r="F35" s="159">
        <v>0</v>
      </c>
      <c r="G35" s="204" t="s">
        <v>239</v>
      </c>
      <c r="H35" s="204">
        <v>69889159</v>
      </c>
      <c r="I35" s="204" t="s">
        <v>183</v>
      </c>
      <c r="J35" s="133"/>
      <c r="K35" s="153"/>
      <c r="M35" s="5"/>
      <c r="S35" s="53"/>
      <c r="T35" s="53"/>
      <c r="U35" s="53"/>
      <c r="V35" s="53"/>
    </row>
    <row r="36" spans="1:22" s="110" customFormat="1" x14ac:dyDescent="0.25">
      <c r="A36" s="195" t="s">
        <v>1178</v>
      </c>
      <c r="B36" s="136" t="s">
        <v>131</v>
      </c>
      <c r="C36" s="162" t="s">
        <v>132</v>
      </c>
      <c r="D36" s="151" t="s">
        <v>149</v>
      </c>
      <c r="E36" s="160">
        <v>73853</v>
      </c>
      <c r="F36" s="159">
        <v>0</v>
      </c>
      <c r="G36" s="204" t="s">
        <v>239</v>
      </c>
      <c r="H36" s="204">
        <v>69889158</v>
      </c>
      <c r="I36" s="204" t="s">
        <v>184</v>
      </c>
      <c r="J36" s="133"/>
      <c r="K36" s="153"/>
      <c r="M36" s="5"/>
      <c r="S36" s="53"/>
      <c r="T36" s="53"/>
      <c r="U36" s="53"/>
      <c r="V36" s="53"/>
    </row>
    <row r="37" spans="1:22" s="110" customFormat="1" x14ac:dyDescent="0.25">
      <c r="A37" s="195" t="s">
        <v>1178</v>
      </c>
      <c r="B37" s="136" t="s">
        <v>131</v>
      </c>
      <c r="C37" s="162" t="s">
        <v>132</v>
      </c>
      <c r="D37" s="151" t="s">
        <v>149</v>
      </c>
      <c r="E37" s="160">
        <v>42220</v>
      </c>
      <c r="F37" s="159">
        <v>0</v>
      </c>
      <c r="G37" s="204" t="s">
        <v>239</v>
      </c>
      <c r="H37" s="204">
        <v>69889157</v>
      </c>
      <c r="I37" s="204" t="s">
        <v>182</v>
      </c>
      <c r="J37" s="133"/>
      <c r="K37" s="153"/>
      <c r="M37" s="5"/>
      <c r="S37" s="53"/>
      <c r="T37" s="53"/>
      <c r="U37" s="53"/>
      <c r="V37" s="53"/>
    </row>
    <row r="38" spans="1:22" s="110" customFormat="1" x14ac:dyDescent="0.25">
      <c r="A38" s="195" t="s">
        <v>1236</v>
      </c>
      <c r="B38" s="136" t="s">
        <v>131</v>
      </c>
      <c r="C38" s="162" t="s">
        <v>132</v>
      </c>
      <c r="D38" s="151" t="s">
        <v>149</v>
      </c>
      <c r="E38" s="160">
        <v>12000</v>
      </c>
      <c r="F38" s="159">
        <v>0</v>
      </c>
      <c r="G38" s="204" t="s">
        <v>366</v>
      </c>
      <c r="H38" s="204">
        <v>735</v>
      </c>
      <c r="I38" s="204" t="s">
        <v>148</v>
      </c>
      <c r="J38" s="133"/>
      <c r="K38" s="153"/>
      <c r="M38" s="5"/>
      <c r="S38" s="53"/>
      <c r="T38" s="53"/>
      <c r="U38" s="53"/>
      <c r="V38" s="53"/>
    </row>
    <row r="39" spans="1:22" s="110" customFormat="1" x14ac:dyDescent="0.25">
      <c r="A39" s="195" t="s">
        <v>1236</v>
      </c>
      <c r="B39" s="136" t="s">
        <v>131</v>
      </c>
      <c r="C39" s="162" t="s">
        <v>132</v>
      </c>
      <c r="D39" s="151" t="s">
        <v>149</v>
      </c>
      <c r="E39" s="160">
        <v>7400</v>
      </c>
      <c r="F39" s="159">
        <v>0</v>
      </c>
      <c r="G39" s="204" t="s">
        <v>757</v>
      </c>
      <c r="H39" s="204">
        <v>9795</v>
      </c>
      <c r="I39" s="204" t="s">
        <v>183</v>
      </c>
      <c r="J39" s="133"/>
      <c r="K39" s="153"/>
      <c r="M39" s="5"/>
      <c r="S39" s="53"/>
      <c r="T39" s="53"/>
      <c r="U39" s="53"/>
      <c r="V39" s="53"/>
    </row>
    <row r="40" spans="1:22" s="110" customFormat="1" x14ac:dyDescent="0.25">
      <c r="A40" s="195" t="s">
        <v>1188</v>
      </c>
      <c r="B40" s="136" t="s">
        <v>131</v>
      </c>
      <c r="C40" s="162" t="s">
        <v>132</v>
      </c>
      <c r="D40" s="151" t="s">
        <v>149</v>
      </c>
      <c r="E40" s="160">
        <v>3100</v>
      </c>
      <c r="F40" s="159">
        <v>0</v>
      </c>
      <c r="G40" s="204" t="s">
        <v>366</v>
      </c>
      <c r="H40" s="204">
        <v>797</v>
      </c>
      <c r="I40" s="204" t="s">
        <v>183</v>
      </c>
      <c r="J40" s="133"/>
      <c r="K40" s="153"/>
      <c r="M40" s="5"/>
      <c r="S40" s="53"/>
      <c r="T40" s="53"/>
      <c r="U40" s="53"/>
      <c r="V40" s="53"/>
    </row>
    <row r="41" spans="1:22" s="110" customFormat="1" x14ac:dyDescent="0.25">
      <c r="A41" s="195" t="s">
        <v>1189</v>
      </c>
      <c r="B41" s="136" t="s">
        <v>131</v>
      </c>
      <c r="C41" s="162" t="s">
        <v>132</v>
      </c>
      <c r="D41" s="151" t="s">
        <v>149</v>
      </c>
      <c r="E41" s="160">
        <v>69240</v>
      </c>
      <c r="F41" s="159">
        <v>0</v>
      </c>
      <c r="G41" s="204" t="s">
        <v>1406</v>
      </c>
      <c r="H41" s="204">
        <v>46125</v>
      </c>
      <c r="I41" s="204" t="s">
        <v>183</v>
      </c>
      <c r="J41" s="133"/>
      <c r="K41" s="153"/>
      <c r="M41" s="5"/>
      <c r="S41" s="53"/>
      <c r="T41" s="53"/>
      <c r="U41" s="53"/>
      <c r="V41" s="53"/>
    </row>
    <row r="42" spans="1:22" s="110" customFormat="1" x14ac:dyDescent="0.25">
      <c r="A42" s="195" t="s">
        <v>1189</v>
      </c>
      <c r="B42" s="136" t="s">
        <v>131</v>
      </c>
      <c r="C42" s="162" t="s">
        <v>132</v>
      </c>
      <c r="D42" s="151" t="s">
        <v>149</v>
      </c>
      <c r="E42" s="160">
        <v>34440</v>
      </c>
      <c r="F42" s="136">
        <v>0</v>
      </c>
      <c r="G42" s="204" t="s">
        <v>1406</v>
      </c>
      <c r="H42" s="204">
        <v>46126</v>
      </c>
      <c r="I42" s="204" t="s">
        <v>184</v>
      </c>
      <c r="J42" s="133"/>
      <c r="K42" s="153"/>
      <c r="M42" s="5"/>
      <c r="S42" s="53"/>
      <c r="T42" s="53"/>
      <c r="U42" s="53"/>
      <c r="V42" s="53"/>
    </row>
    <row r="43" spans="1:22" s="110" customFormat="1" x14ac:dyDescent="0.25">
      <c r="A43" s="195" t="s">
        <v>1189</v>
      </c>
      <c r="B43" s="136" t="s">
        <v>131</v>
      </c>
      <c r="C43" s="162" t="s">
        <v>132</v>
      </c>
      <c r="D43" s="151" t="s">
        <v>149</v>
      </c>
      <c r="E43" s="160">
        <v>36799</v>
      </c>
      <c r="F43" s="136">
        <v>0</v>
      </c>
      <c r="G43" s="204" t="s">
        <v>185</v>
      </c>
      <c r="H43" s="204">
        <v>12410737</v>
      </c>
      <c r="I43" s="204" t="s">
        <v>148</v>
      </c>
      <c r="J43" s="133"/>
      <c r="K43" s="153"/>
      <c r="M43" s="5"/>
      <c r="S43" s="53"/>
      <c r="T43" s="53"/>
      <c r="U43" s="53"/>
      <c r="V43" s="53"/>
    </row>
    <row r="44" spans="1:22" s="110" customFormat="1" x14ac:dyDescent="0.25">
      <c r="A44" s="195" t="s">
        <v>1189</v>
      </c>
      <c r="B44" s="136" t="s">
        <v>131</v>
      </c>
      <c r="C44" s="162" t="s">
        <v>132</v>
      </c>
      <c r="D44" s="151" t="s">
        <v>149</v>
      </c>
      <c r="E44" s="163">
        <v>17220</v>
      </c>
      <c r="F44" s="136">
        <v>0</v>
      </c>
      <c r="G44" s="204" t="s">
        <v>262</v>
      </c>
      <c r="H44" s="204">
        <v>101878754</v>
      </c>
      <c r="I44" s="204" t="s">
        <v>56</v>
      </c>
      <c r="J44" s="133"/>
      <c r="K44" s="153"/>
      <c r="M44" s="5"/>
      <c r="S44" s="53"/>
      <c r="T44" s="53"/>
      <c r="U44" s="53"/>
      <c r="V44" s="53"/>
    </row>
    <row r="45" spans="1:22" s="110" customFormat="1" x14ac:dyDescent="0.25">
      <c r="A45" s="195" t="s">
        <v>1189</v>
      </c>
      <c r="B45" s="136" t="s">
        <v>131</v>
      </c>
      <c r="C45" s="162" t="s">
        <v>132</v>
      </c>
      <c r="D45" s="151" t="s">
        <v>149</v>
      </c>
      <c r="E45" s="163">
        <v>44510</v>
      </c>
      <c r="F45" s="136">
        <v>0</v>
      </c>
      <c r="G45" s="204" t="s">
        <v>239</v>
      </c>
      <c r="H45" s="204">
        <v>69925404</v>
      </c>
      <c r="I45" s="204" t="s">
        <v>182</v>
      </c>
      <c r="J45" s="133"/>
      <c r="K45" s="153"/>
      <c r="M45" s="5"/>
      <c r="S45" s="53"/>
      <c r="T45" s="53"/>
      <c r="U45" s="53"/>
      <c r="V45" s="53"/>
    </row>
    <row r="46" spans="1:22" s="110" customFormat="1" x14ac:dyDescent="0.25">
      <c r="A46" s="195" t="s">
        <v>1189</v>
      </c>
      <c r="B46" s="136" t="s">
        <v>131</v>
      </c>
      <c r="C46" s="162" t="s">
        <v>132</v>
      </c>
      <c r="D46" s="151" t="s">
        <v>149</v>
      </c>
      <c r="E46" s="163">
        <v>19000</v>
      </c>
      <c r="F46" s="136">
        <v>0</v>
      </c>
      <c r="G46" s="204" t="s">
        <v>239</v>
      </c>
      <c r="H46" s="204">
        <v>69925685</v>
      </c>
      <c r="I46" s="204" t="s">
        <v>148</v>
      </c>
      <c r="J46" s="133"/>
      <c r="K46" s="153"/>
      <c r="M46" s="5"/>
      <c r="S46" s="53"/>
      <c r="T46" s="53"/>
      <c r="U46" s="53"/>
      <c r="V46" s="53"/>
    </row>
    <row r="47" spans="1:22" s="110" customFormat="1" x14ac:dyDescent="0.25">
      <c r="A47" s="195" t="s">
        <v>1189</v>
      </c>
      <c r="B47" s="159" t="s">
        <v>131</v>
      </c>
      <c r="C47" s="159" t="s">
        <v>132</v>
      </c>
      <c r="D47" s="160" t="s">
        <v>149</v>
      </c>
      <c r="E47" s="160">
        <v>35331</v>
      </c>
      <c r="F47" s="159">
        <v>0</v>
      </c>
      <c r="G47" s="204" t="s">
        <v>239</v>
      </c>
      <c r="H47" s="204">
        <v>69925403</v>
      </c>
      <c r="I47" s="204" t="s">
        <v>184</v>
      </c>
      <c r="J47" s="133"/>
      <c r="M47" s="5"/>
      <c r="S47" s="53"/>
      <c r="T47" s="53"/>
      <c r="U47" s="53"/>
      <c r="V47" s="53"/>
    </row>
    <row r="48" spans="1:22" s="110" customFormat="1" x14ac:dyDescent="0.25">
      <c r="A48" s="195" t="s">
        <v>1189</v>
      </c>
      <c r="B48" s="159" t="s">
        <v>131</v>
      </c>
      <c r="C48" s="159" t="s">
        <v>132</v>
      </c>
      <c r="D48" s="160" t="s">
        <v>149</v>
      </c>
      <c r="E48" s="160">
        <v>211507</v>
      </c>
      <c r="F48" s="159">
        <v>0</v>
      </c>
      <c r="G48" s="204" t="s">
        <v>239</v>
      </c>
      <c r="H48" s="204">
        <v>69925402</v>
      </c>
      <c r="I48" s="204" t="s">
        <v>183</v>
      </c>
      <c r="J48" s="133"/>
      <c r="M48" s="5"/>
      <c r="S48" s="53"/>
      <c r="T48" s="53"/>
      <c r="U48" s="53"/>
      <c r="V48" s="53"/>
    </row>
    <row r="49" spans="1:22" s="110" customFormat="1" x14ac:dyDescent="0.25">
      <c r="A49" s="195"/>
      <c r="B49" s="159"/>
      <c r="C49" s="159"/>
      <c r="D49" s="160"/>
      <c r="E49" s="160"/>
      <c r="F49" s="159"/>
      <c r="G49" s="204"/>
      <c r="H49" s="204"/>
      <c r="I49" s="204"/>
      <c r="J49" s="133"/>
      <c r="M49" s="5"/>
      <c r="S49" s="53"/>
      <c r="T49" s="53"/>
      <c r="U49" s="53"/>
      <c r="V49" s="53"/>
    </row>
    <row r="50" spans="1:22" s="110" customFormat="1" x14ac:dyDescent="0.25">
      <c r="A50" s="195"/>
      <c r="B50" s="159"/>
      <c r="C50" s="159"/>
      <c r="D50" s="160"/>
      <c r="E50" s="160"/>
      <c r="F50" s="159"/>
      <c r="G50" s="204"/>
      <c r="H50" s="204"/>
      <c r="I50" s="204"/>
      <c r="J50" s="133"/>
      <c r="M50" s="5"/>
      <c r="S50" s="53"/>
      <c r="T50" s="53"/>
      <c r="U50" s="53"/>
      <c r="V50" s="53"/>
    </row>
    <row r="51" spans="1:22" s="110" customFormat="1" x14ac:dyDescent="0.25">
      <c r="A51" s="195"/>
      <c r="B51" s="136"/>
      <c r="C51" s="162"/>
      <c r="D51" s="163"/>
      <c r="E51" s="163"/>
      <c r="F51" s="136"/>
      <c r="G51" s="204"/>
      <c r="H51" s="204"/>
      <c r="I51" s="204"/>
      <c r="J51" s="133"/>
      <c r="M51" s="5"/>
      <c r="S51" s="53"/>
      <c r="T51" s="53"/>
      <c r="U51" s="53"/>
      <c r="V51" s="53"/>
    </row>
    <row r="52" spans="1:22" s="110" customFormat="1" x14ac:dyDescent="0.25">
      <c r="A52" s="195"/>
      <c r="B52" s="136"/>
      <c r="C52" s="162"/>
      <c r="D52" s="163"/>
      <c r="E52" s="163"/>
      <c r="F52" s="136"/>
      <c r="G52" s="204"/>
      <c r="H52" s="204"/>
      <c r="I52" s="204"/>
      <c r="J52" s="133"/>
      <c r="M52" s="5"/>
      <c r="S52" s="53"/>
      <c r="T52" s="53"/>
      <c r="U52" s="53"/>
      <c r="V52" s="53"/>
    </row>
    <row r="53" spans="1:22" s="110" customFormat="1" x14ac:dyDescent="0.25">
      <c r="A53" s="195"/>
      <c r="B53" s="136"/>
      <c r="C53" s="162"/>
      <c r="D53" s="62"/>
      <c r="E53" s="163"/>
      <c r="F53" s="136"/>
      <c r="G53" s="204"/>
      <c r="H53" s="204"/>
      <c r="I53" s="204"/>
      <c r="J53" s="133"/>
      <c r="M53" s="5"/>
      <c r="S53" s="53"/>
      <c r="T53" s="53"/>
      <c r="U53" s="53"/>
      <c r="V53" s="53"/>
    </row>
    <row r="54" spans="1:22" s="110" customFormat="1" x14ac:dyDescent="0.25">
      <c r="A54" s="195"/>
      <c r="B54" s="136"/>
      <c r="C54" s="162"/>
      <c r="D54" s="62"/>
      <c r="E54" s="163"/>
      <c r="F54" s="136"/>
      <c r="G54" s="204"/>
      <c r="H54" s="204"/>
      <c r="I54" s="204"/>
      <c r="J54" s="133"/>
      <c r="M54" s="5"/>
      <c r="S54" s="53"/>
      <c r="T54" s="53"/>
      <c r="U54" s="53"/>
      <c r="V54" s="53"/>
    </row>
    <row r="55" spans="1:22" s="110" customFormat="1" x14ac:dyDescent="0.25">
      <c r="A55" s="195"/>
      <c r="B55" s="136"/>
      <c r="C55" s="162"/>
      <c r="D55" s="62"/>
      <c r="E55" s="163"/>
      <c r="F55" s="136"/>
      <c r="G55" s="204"/>
      <c r="H55" s="204"/>
      <c r="I55" s="204"/>
      <c r="J55" s="133"/>
      <c r="M55" s="5"/>
      <c r="S55" s="53"/>
      <c r="T55" s="53"/>
      <c r="U55" s="53"/>
      <c r="V55" s="53"/>
    </row>
    <row r="56" spans="1:22" s="110" customFormat="1" x14ac:dyDescent="0.25">
      <c r="A56" s="195"/>
      <c r="B56" s="136"/>
      <c r="C56" s="162"/>
      <c r="D56" s="62"/>
      <c r="E56" s="163"/>
      <c r="F56" s="136"/>
      <c r="G56" s="204"/>
      <c r="H56" s="204"/>
      <c r="I56" s="204"/>
      <c r="J56" s="133"/>
      <c r="M56" s="5"/>
      <c r="S56" s="53"/>
      <c r="T56" s="53"/>
      <c r="U56" s="53"/>
      <c r="V56" s="53"/>
    </row>
    <row r="57" spans="1:22" s="110" customFormat="1" x14ac:dyDescent="0.25">
      <c r="A57" s="282" t="s">
        <v>1169</v>
      </c>
      <c r="B57" s="204" t="s">
        <v>123</v>
      </c>
      <c r="C57" s="204" t="s">
        <v>267</v>
      </c>
      <c r="D57" s="204" t="s">
        <v>149</v>
      </c>
      <c r="E57" s="283">
        <v>0</v>
      </c>
      <c r="F57" s="284">
        <v>2200000</v>
      </c>
      <c r="G57" s="204"/>
      <c r="H57" s="204"/>
      <c r="I57" s="204"/>
      <c r="J57" s="133"/>
      <c r="M57" s="5"/>
      <c r="S57" s="53"/>
      <c r="T57" s="53"/>
      <c r="U57" s="53"/>
      <c r="V57" s="53"/>
    </row>
    <row r="58" spans="1:22" s="110" customFormat="1" x14ac:dyDescent="0.25">
      <c r="A58" s="282" t="s">
        <v>1169</v>
      </c>
      <c r="B58" s="204" t="s">
        <v>123</v>
      </c>
      <c r="C58" s="204" t="s">
        <v>267</v>
      </c>
      <c r="D58" s="204" t="s">
        <v>149</v>
      </c>
      <c r="E58" s="283">
        <v>0</v>
      </c>
      <c r="F58" s="284">
        <v>600000</v>
      </c>
      <c r="G58" s="204"/>
      <c r="H58" s="204"/>
      <c r="I58" s="204"/>
      <c r="J58" s="133"/>
      <c r="M58" s="5"/>
      <c r="S58" s="53"/>
      <c r="T58" s="53"/>
      <c r="U58" s="53"/>
      <c r="V58" s="53"/>
    </row>
    <row r="59" spans="1:22" s="110" customFormat="1" x14ac:dyDescent="0.25">
      <c r="A59" s="282" t="s">
        <v>1189</v>
      </c>
      <c r="B59" s="204" t="s">
        <v>123</v>
      </c>
      <c r="C59" s="204" t="s">
        <v>267</v>
      </c>
      <c r="D59" s="204" t="s">
        <v>149</v>
      </c>
      <c r="E59" s="283">
        <v>0</v>
      </c>
      <c r="F59" s="284">
        <v>150000</v>
      </c>
      <c r="G59" s="204"/>
      <c r="H59" s="204"/>
      <c r="I59" s="204"/>
      <c r="J59" s="133"/>
      <c r="M59" s="5"/>
      <c r="S59" s="53"/>
      <c r="T59" s="53"/>
      <c r="U59" s="53"/>
      <c r="V59" s="53"/>
    </row>
    <row r="60" spans="1:22" s="110" customFormat="1" x14ac:dyDescent="0.25">
      <c r="A60" s="195"/>
      <c r="B60" s="136"/>
      <c r="C60" s="162"/>
      <c r="D60" s="62"/>
      <c r="E60" s="163"/>
      <c r="F60" s="136"/>
      <c r="G60" s="204"/>
      <c r="H60" s="204"/>
      <c r="I60" s="204"/>
      <c r="J60" s="133"/>
      <c r="M60" s="5"/>
      <c r="S60" s="53"/>
      <c r="T60" s="53"/>
      <c r="U60" s="53"/>
      <c r="V60" s="53"/>
    </row>
    <row r="61" spans="1:22" s="110" customFormat="1" x14ac:dyDescent="0.25">
      <c r="A61" s="136"/>
      <c r="B61" s="136"/>
      <c r="C61" s="162"/>
      <c r="D61" s="62"/>
      <c r="E61" s="163"/>
      <c r="F61" s="136"/>
      <c r="G61" s="204"/>
      <c r="H61" s="204"/>
      <c r="I61" s="204"/>
      <c r="J61" s="133"/>
      <c r="M61" s="5"/>
      <c r="S61" s="53"/>
      <c r="T61" s="53"/>
      <c r="U61" s="53"/>
      <c r="V61" s="53"/>
    </row>
    <row r="62" spans="1:22" s="110" customFormat="1" x14ac:dyDescent="0.25">
      <c r="A62" s="162" t="s">
        <v>1169</v>
      </c>
      <c r="B62" s="136" t="s">
        <v>131</v>
      </c>
      <c r="C62" s="162" t="s">
        <v>150</v>
      </c>
      <c r="D62" s="163" t="s">
        <v>149</v>
      </c>
      <c r="E62" s="163">
        <v>70000</v>
      </c>
      <c r="F62" s="136">
        <v>0</v>
      </c>
      <c r="G62" s="204"/>
      <c r="H62" s="204"/>
      <c r="I62" s="204"/>
      <c r="J62" s="133"/>
      <c r="M62" s="5"/>
      <c r="S62" s="53"/>
      <c r="T62" s="53"/>
      <c r="U62" s="53"/>
      <c r="V62" s="53"/>
    </row>
    <row r="63" spans="1:22" s="110" customFormat="1" x14ac:dyDescent="0.25">
      <c r="A63" s="162" t="s">
        <v>1169</v>
      </c>
      <c r="B63" s="136" t="s">
        <v>131</v>
      </c>
      <c r="C63" s="162" t="s">
        <v>150</v>
      </c>
      <c r="D63" s="163" t="s">
        <v>149</v>
      </c>
      <c r="E63" s="163">
        <v>20000</v>
      </c>
      <c r="F63" s="136">
        <v>0</v>
      </c>
      <c r="G63" s="204"/>
      <c r="H63" s="204"/>
      <c r="I63" s="204"/>
      <c r="J63" s="133"/>
      <c r="M63" s="5"/>
      <c r="S63" s="53"/>
      <c r="T63" s="53"/>
      <c r="U63" s="53"/>
      <c r="V63" s="53"/>
    </row>
    <row r="64" spans="1:22" s="110" customFormat="1" x14ac:dyDescent="0.25">
      <c r="A64" s="162" t="s">
        <v>1171</v>
      </c>
      <c r="B64" s="136" t="s">
        <v>131</v>
      </c>
      <c r="C64" s="162" t="s">
        <v>150</v>
      </c>
      <c r="D64" s="163" t="s">
        <v>149</v>
      </c>
      <c r="E64" s="163">
        <v>50000</v>
      </c>
      <c r="F64" s="136">
        <v>0</v>
      </c>
      <c r="G64" s="204"/>
      <c r="H64" s="204"/>
      <c r="I64" s="204"/>
      <c r="J64" s="133"/>
      <c r="M64" s="5"/>
      <c r="S64" s="53"/>
      <c r="T64" s="53"/>
      <c r="U64" s="53"/>
      <c r="V64" s="53"/>
    </row>
    <row r="65" spans="1:22" s="110" customFormat="1" x14ac:dyDescent="0.25">
      <c r="A65" s="162" t="s">
        <v>1173</v>
      </c>
      <c r="B65" s="136" t="s">
        <v>131</v>
      </c>
      <c r="C65" s="162" t="s">
        <v>150</v>
      </c>
      <c r="D65" s="163" t="s">
        <v>149</v>
      </c>
      <c r="E65" s="163">
        <v>50000</v>
      </c>
      <c r="F65" s="136">
        <v>0</v>
      </c>
      <c r="G65" s="204"/>
      <c r="H65" s="204"/>
      <c r="I65" s="204"/>
      <c r="J65" s="133"/>
      <c r="M65" s="5"/>
      <c r="S65" s="53"/>
      <c r="T65" s="53"/>
      <c r="U65" s="53"/>
      <c r="V65" s="53"/>
    </row>
    <row r="66" spans="1:22" s="110" customFormat="1" x14ac:dyDescent="0.25">
      <c r="A66" s="162" t="s">
        <v>1408</v>
      </c>
      <c r="B66" s="136" t="s">
        <v>131</v>
      </c>
      <c r="C66" s="162" t="s">
        <v>150</v>
      </c>
      <c r="D66" s="163" t="s">
        <v>149</v>
      </c>
      <c r="E66" s="163">
        <v>20000</v>
      </c>
      <c r="F66" s="136">
        <v>0</v>
      </c>
      <c r="G66" s="204"/>
      <c r="H66" s="204"/>
      <c r="I66" s="204"/>
      <c r="J66" s="133"/>
      <c r="M66" s="5"/>
      <c r="S66" s="53"/>
      <c r="T66" s="53"/>
      <c r="U66" s="53"/>
      <c r="V66" s="53"/>
    </row>
    <row r="67" spans="1:22" s="110" customFormat="1" x14ac:dyDescent="0.25">
      <c r="A67" s="162" t="s">
        <v>1178</v>
      </c>
      <c r="B67" s="136" t="s">
        <v>131</v>
      </c>
      <c r="C67" s="162" t="s">
        <v>150</v>
      </c>
      <c r="D67" s="163" t="s">
        <v>149</v>
      </c>
      <c r="E67" s="163">
        <v>20000</v>
      </c>
      <c r="F67" s="136">
        <v>0</v>
      </c>
      <c r="G67" s="204"/>
      <c r="H67" s="204"/>
      <c r="I67" s="204"/>
      <c r="J67" s="133"/>
      <c r="M67" s="5"/>
      <c r="S67" s="53"/>
      <c r="T67" s="53"/>
      <c r="U67" s="53"/>
      <c r="V67" s="53"/>
    </row>
    <row r="68" spans="1:22" s="110" customFormat="1" x14ac:dyDescent="0.25">
      <c r="A68" s="162" t="s">
        <v>1179</v>
      </c>
      <c r="B68" s="136" t="s">
        <v>131</v>
      </c>
      <c r="C68" s="162" t="s">
        <v>150</v>
      </c>
      <c r="D68" s="163" t="s">
        <v>149</v>
      </c>
      <c r="E68" s="163">
        <v>20000</v>
      </c>
      <c r="F68" s="136">
        <v>0</v>
      </c>
      <c r="G68" s="204"/>
      <c r="H68" s="204"/>
      <c r="I68" s="204"/>
      <c r="J68" s="133"/>
      <c r="M68" s="5"/>
      <c r="S68" s="53"/>
      <c r="T68" s="53"/>
      <c r="U68" s="53"/>
      <c r="V68" s="53"/>
    </row>
    <row r="69" spans="1:22" s="110" customFormat="1" x14ac:dyDescent="0.25">
      <c r="A69" s="136" t="s">
        <v>1189</v>
      </c>
      <c r="B69" s="136" t="s">
        <v>131</v>
      </c>
      <c r="C69" s="162" t="s">
        <v>150</v>
      </c>
      <c r="D69" s="151" t="s">
        <v>149</v>
      </c>
      <c r="E69" s="163">
        <v>20000</v>
      </c>
      <c r="F69" s="136">
        <v>0</v>
      </c>
      <c r="G69" s="204"/>
      <c r="H69" s="204"/>
      <c r="I69" s="204"/>
      <c r="J69" s="133"/>
      <c r="M69" s="5"/>
      <c r="S69" s="53"/>
      <c r="T69" s="53"/>
      <c r="U69" s="53"/>
      <c r="V69" s="53"/>
    </row>
    <row r="70" spans="1:22" s="110" customFormat="1" x14ac:dyDescent="0.25">
      <c r="A70" s="136"/>
      <c r="B70" s="136"/>
      <c r="C70" s="162"/>
      <c r="D70" s="151"/>
      <c r="E70" s="163"/>
      <c r="F70" s="136"/>
      <c r="G70" s="204"/>
      <c r="H70" s="204"/>
      <c r="I70" s="204"/>
      <c r="J70" s="133"/>
      <c r="M70" s="5"/>
      <c r="S70" s="53"/>
      <c r="T70" s="53"/>
      <c r="U70" s="53"/>
      <c r="V70" s="53"/>
    </row>
    <row r="71" spans="1:22" s="110" customFormat="1" x14ac:dyDescent="0.25">
      <c r="A71" s="136"/>
      <c r="B71" s="136"/>
      <c r="C71" s="162"/>
      <c r="D71" s="151"/>
      <c r="E71" s="163"/>
      <c r="F71" s="136"/>
      <c r="G71" s="204"/>
      <c r="H71" s="204"/>
      <c r="I71" s="204"/>
      <c r="J71" s="133"/>
      <c r="M71" s="5"/>
      <c r="S71" s="53"/>
      <c r="T71" s="53"/>
      <c r="U71" s="53"/>
      <c r="V71" s="53"/>
    </row>
    <row r="72" spans="1:22" s="110" customFormat="1" x14ac:dyDescent="0.25">
      <c r="A72" s="136"/>
      <c r="B72" s="136"/>
      <c r="C72" s="162"/>
      <c r="D72" s="151"/>
      <c r="E72" s="163"/>
      <c r="F72" s="136"/>
      <c r="G72" s="204"/>
      <c r="H72" s="204"/>
      <c r="I72" s="204"/>
      <c r="J72" s="133"/>
      <c r="M72" s="5"/>
      <c r="S72" s="53"/>
      <c r="T72" s="53"/>
      <c r="U72" s="53"/>
      <c r="V72" s="53"/>
    </row>
    <row r="73" spans="1:22" s="110" customFormat="1" x14ac:dyDescent="0.25">
      <c r="A73" s="136"/>
      <c r="B73" s="136"/>
      <c r="C73" s="162"/>
      <c r="D73" s="151"/>
      <c r="E73" s="163"/>
      <c r="F73" s="136"/>
      <c r="G73" s="204"/>
      <c r="H73" s="204"/>
      <c r="I73" s="204"/>
      <c r="J73" s="133"/>
      <c r="K73" s="5"/>
      <c r="M73" s="5"/>
      <c r="S73" s="53"/>
      <c r="T73" s="53"/>
      <c r="U73" s="53"/>
      <c r="V73" s="53"/>
    </row>
    <row r="74" spans="1:22" s="110" customFormat="1" x14ac:dyDescent="0.25">
      <c r="A74" s="136"/>
      <c r="B74" s="136"/>
      <c r="C74" s="162"/>
      <c r="D74" s="151"/>
      <c r="E74" s="163"/>
      <c r="F74" s="136"/>
      <c r="G74" s="204"/>
      <c r="H74" s="204"/>
      <c r="I74" s="204"/>
      <c r="J74" s="133"/>
      <c r="K74" s="5"/>
      <c r="M74" s="5"/>
      <c r="S74" s="53"/>
      <c r="T74" s="53"/>
      <c r="U74" s="53"/>
      <c r="V74" s="53"/>
    </row>
    <row r="75" spans="1:22" s="110" customFormat="1" x14ac:dyDescent="0.25">
      <c r="A75" s="136"/>
      <c r="B75" s="136"/>
      <c r="C75" s="162"/>
      <c r="D75" s="151"/>
      <c r="E75" s="163"/>
      <c r="F75" s="136"/>
      <c r="G75" s="204"/>
      <c r="H75" s="204"/>
      <c r="I75" s="204"/>
      <c r="J75" s="133"/>
      <c r="K75" s="5"/>
      <c r="M75" s="5"/>
      <c r="S75" s="53"/>
      <c r="T75" s="53"/>
      <c r="U75" s="53"/>
      <c r="V75" s="53"/>
    </row>
    <row r="76" spans="1:22" s="110" customFormat="1" x14ac:dyDescent="0.25">
      <c r="A76" s="263"/>
      <c r="B76" s="263"/>
      <c r="C76" s="264"/>
      <c r="D76" s="265">
        <f>SUM(D62:D75)</f>
        <v>0</v>
      </c>
      <c r="E76" s="266">
        <f>SUM(E2:E75)</f>
        <v>2713465</v>
      </c>
      <c r="F76" s="266">
        <f>SUM(F2:F75)</f>
        <v>2950000</v>
      </c>
      <c r="G76" s="267"/>
      <c r="H76" s="267"/>
      <c r="I76" s="267"/>
      <c r="J76" s="296">
        <f>+E76-F76</f>
        <v>-236535</v>
      </c>
      <c r="K76" s="5"/>
      <c r="M76" s="5"/>
      <c r="S76" s="53"/>
      <c r="T76" s="53"/>
      <c r="U76" s="53"/>
      <c r="V76" s="53"/>
    </row>
    <row r="77" spans="1:22" s="110" customFormat="1" x14ac:dyDescent="0.25">
      <c r="A77" s="136"/>
      <c r="B77" s="136"/>
      <c r="C77" s="162"/>
      <c r="D77" s="151"/>
      <c r="E77" s="163"/>
      <c r="F77" s="136"/>
      <c r="G77" s="204"/>
      <c r="H77" s="204"/>
      <c r="I77" s="204"/>
      <c r="J77" s="133"/>
      <c r="K77" s="5"/>
      <c r="M77" s="5"/>
      <c r="S77" s="53"/>
      <c r="T77" s="53"/>
      <c r="U77" s="53"/>
      <c r="V77" s="53"/>
    </row>
    <row r="78" spans="1:22" s="110" customFormat="1" x14ac:dyDescent="0.25">
      <c r="A78" s="136"/>
      <c r="B78" s="136"/>
      <c r="C78" s="162"/>
      <c r="D78" s="151"/>
      <c r="E78" s="163"/>
      <c r="F78" s="136"/>
      <c r="G78" s="204"/>
      <c r="H78" s="204"/>
      <c r="I78" s="204"/>
      <c r="J78" s="133"/>
      <c r="K78" s="5"/>
      <c r="M78" s="5"/>
      <c r="S78" s="53"/>
      <c r="T78" s="53"/>
      <c r="U78" s="53"/>
      <c r="V78" s="53"/>
    </row>
    <row r="79" spans="1:22" s="110" customFormat="1" x14ac:dyDescent="0.25">
      <c r="A79" s="136"/>
      <c r="B79" s="136"/>
      <c r="C79" s="162"/>
      <c r="D79" s="151"/>
      <c r="E79" s="163"/>
      <c r="F79" s="136"/>
      <c r="G79" s="204"/>
      <c r="H79" s="204"/>
      <c r="I79" s="204"/>
      <c r="J79" s="133"/>
      <c r="K79" s="5"/>
      <c r="M79" s="5"/>
      <c r="S79" s="53"/>
      <c r="T79" s="53"/>
      <c r="U79" s="53"/>
      <c r="V79" s="53"/>
    </row>
    <row r="80" spans="1:22" s="110" customFormat="1" x14ac:dyDescent="0.25">
      <c r="A80" s="162"/>
      <c r="B80" s="136"/>
      <c r="C80" s="162"/>
      <c r="D80" s="151"/>
      <c r="E80" s="163"/>
      <c r="F80" s="136"/>
      <c r="G80" s="204"/>
      <c r="H80" s="204"/>
      <c r="I80" s="204"/>
      <c r="J80" s="206"/>
      <c r="K80" s="5"/>
      <c r="M80" s="5"/>
      <c r="S80" s="53"/>
      <c r="T80" s="53"/>
      <c r="U80" s="53"/>
      <c r="V80" s="53"/>
    </row>
    <row r="81" spans="1:22" s="110" customFormat="1" x14ac:dyDescent="0.25">
      <c r="A81" s="162">
        <v>43771</v>
      </c>
      <c r="B81" s="136"/>
      <c r="C81" s="162" t="s">
        <v>1409</v>
      </c>
      <c r="D81" s="151"/>
      <c r="E81" s="163">
        <v>2600</v>
      </c>
      <c r="F81" s="136"/>
      <c r="G81" s="332" t="s">
        <v>1410</v>
      </c>
      <c r="H81" s="204">
        <v>50627</v>
      </c>
      <c r="I81" s="204" t="s">
        <v>183</v>
      </c>
      <c r="J81" s="206"/>
      <c r="K81" s="5"/>
      <c r="M81" s="5"/>
      <c r="S81" s="53"/>
      <c r="T81" s="53"/>
      <c r="U81" s="53"/>
      <c r="V81" s="53"/>
    </row>
    <row r="82" spans="1:22" s="110" customFormat="1" x14ac:dyDescent="0.25">
      <c r="A82" s="162">
        <v>43775</v>
      </c>
      <c r="B82" s="136"/>
      <c r="C82" s="162" t="s">
        <v>1411</v>
      </c>
      <c r="D82" s="151"/>
      <c r="E82" s="163">
        <v>2430</v>
      </c>
      <c r="F82" s="136"/>
      <c r="G82" s="332" t="s">
        <v>264</v>
      </c>
      <c r="H82" s="204">
        <v>868311</v>
      </c>
      <c r="I82" s="204" t="s">
        <v>183</v>
      </c>
      <c r="J82" s="206"/>
      <c r="K82" s="5"/>
      <c r="M82" s="5"/>
      <c r="S82" s="53"/>
      <c r="T82" s="53"/>
      <c r="U82" s="53"/>
      <c r="V82" s="53"/>
    </row>
    <row r="83" spans="1:22" s="110" customFormat="1" x14ac:dyDescent="0.25">
      <c r="A83" s="162">
        <v>43776</v>
      </c>
      <c r="B83" s="136"/>
      <c r="C83" s="162" t="s">
        <v>327</v>
      </c>
      <c r="D83" s="151"/>
      <c r="E83" s="163">
        <v>1000</v>
      </c>
      <c r="F83" s="136"/>
      <c r="G83" s="332" t="s">
        <v>221</v>
      </c>
      <c r="H83" s="204">
        <v>373513</v>
      </c>
      <c r="I83" s="204" t="s">
        <v>183</v>
      </c>
      <c r="J83" s="206"/>
      <c r="K83" s="5"/>
      <c r="M83" s="5"/>
      <c r="S83" s="53"/>
      <c r="T83" s="53"/>
      <c r="U83" s="53"/>
      <c r="V83" s="53"/>
    </row>
    <row r="84" spans="1:22" s="110" customFormat="1" x14ac:dyDescent="0.25">
      <c r="A84" s="162">
        <v>43776</v>
      </c>
      <c r="B84" s="136"/>
      <c r="C84" s="162" t="s">
        <v>1412</v>
      </c>
      <c r="D84" s="151"/>
      <c r="E84" s="163">
        <v>2500</v>
      </c>
      <c r="F84" s="136"/>
      <c r="G84" s="332" t="s">
        <v>757</v>
      </c>
      <c r="H84" s="204">
        <v>7814</v>
      </c>
      <c r="I84" s="204" t="s">
        <v>183</v>
      </c>
      <c r="J84" s="205"/>
      <c r="K84" s="5"/>
      <c r="M84" s="5"/>
      <c r="S84" s="53"/>
      <c r="T84" s="53"/>
      <c r="U84" s="53"/>
      <c r="V84" s="53"/>
    </row>
    <row r="85" spans="1:22" s="110" customFormat="1" x14ac:dyDescent="0.25">
      <c r="A85" s="162">
        <v>43776</v>
      </c>
      <c r="B85" s="136"/>
      <c r="C85" s="162" t="s">
        <v>1413</v>
      </c>
      <c r="D85" s="163"/>
      <c r="E85" s="163">
        <v>600</v>
      </c>
      <c r="F85" s="136"/>
      <c r="G85" s="332" t="s">
        <v>1414</v>
      </c>
      <c r="H85" s="204">
        <v>673655</v>
      </c>
      <c r="I85" s="204" t="s">
        <v>56</v>
      </c>
      <c r="J85" s="205"/>
      <c r="K85" s="5"/>
      <c r="M85" s="5"/>
      <c r="S85" s="53"/>
      <c r="T85" s="53"/>
      <c r="U85" s="53"/>
      <c r="V85" s="53"/>
    </row>
    <row r="86" spans="1:22" s="110" customFormat="1" x14ac:dyDescent="0.25">
      <c r="A86" s="162">
        <v>43777</v>
      </c>
      <c r="B86" s="136"/>
      <c r="C86" s="162" t="s">
        <v>1409</v>
      </c>
      <c r="D86" s="163"/>
      <c r="E86" s="163">
        <v>2000</v>
      </c>
      <c r="F86" s="136"/>
      <c r="G86" s="332" t="s">
        <v>1410</v>
      </c>
      <c r="H86" s="204">
        <v>50767</v>
      </c>
      <c r="I86" s="204" t="s">
        <v>183</v>
      </c>
      <c r="J86" s="205"/>
      <c r="K86" s="5"/>
      <c r="M86" s="5"/>
      <c r="S86" s="53"/>
      <c r="T86" s="53"/>
      <c r="U86" s="53"/>
      <c r="V86" s="53"/>
    </row>
    <row r="87" spans="1:22" s="110" customFormat="1" x14ac:dyDescent="0.25">
      <c r="A87" s="162">
        <v>43777</v>
      </c>
      <c r="B87" s="136"/>
      <c r="C87" s="162" t="s">
        <v>1415</v>
      </c>
      <c r="D87" s="163"/>
      <c r="E87" s="163">
        <v>20000</v>
      </c>
      <c r="F87" s="136"/>
      <c r="G87" s="332" t="s">
        <v>1416</v>
      </c>
      <c r="H87" s="204">
        <v>6535</v>
      </c>
      <c r="I87" s="204" t="s">
        <v>56</v>
      </c>
      <c r="J87" s="205"/>
      <c r="K87" s="5"/>
      <c r="M87" s="5"/>
      <c r="S87" s="53"/>
      <c r="T87" s="53"/>
      <c r="U87" s="53"/>
      <c r="V87" s="53"/>
    </row>
    <row r="88" spans="1:22" s="110" customFormat="1" x14ac:dyDescent="0.25">
      <c r="A88" s="162">
        <v>43779</v>
      </c>
      <c r="B88" s="136"/>
      <c r="C88" s="162" t="s">
        <v>1409</v>
      </c>
      <c r="D88" s="163"/>
      <c r="E88" s="163">
        <v>2670</v>
      </c>
      <c r="F88" s="136"/>
      <c r="G88" s="332" t="s">
        <v>1410</v>
      </c>
      <c r="H88" s="204">
        <v>50853</v>
      </c>
      <c r="I88" s="204" t="s">
        <v>183</v>
      </c>
      <c r="J88" s="205"/>
      <c r="K88" s="5"/>
      <c r="M88" s="5"/>
      <c r="S88" s="53"/>
      <c r="T88" s="53"/>
      <c r="U88" s="53"/>
      <c r="V88" s="53"/>
    </row>
    <row r="89" spans="1:22" s="110" customFormat="1" x14ac:dyDescent="0.25">
      <c r="A89" s="162">
        <v>43781</v>
      </c>
      <c r="B89" s="136"/>
      <c r="C89" s="162" t="s">
        <v>1417</v>
      </c>
      <c r="D89" s="163"/>
      <c r="E89" s="163">
        <v>4000</v>
      </c>
      <c r="F89" s="136"/>
      <c r="G89" s="332" t="s">
        <v>1418</v>
      </c>
      <c r="H89" s="204">
        <v>136758</v>
      </c>
      <c r="I89" s="204" t="s">
        <v>183</v>
      </c>
      <c r="J89" s="205"/>
      <c r="K89" s="5"/>
      <c r="M89" s="5"/>
      <c r="S89" s="53"/>
      <c r="T89" s="53"/>
      <c r="U89" s="53"/>
      <c r="V89" s="53"/>
    </row>
    <row r="90" spans="1:22" s="110" customFormat="1" x14ac:dyDescent="0.25">
      <c r="A90" s="162">
        <v>43782</v>
      </c>
      <c r="B90" s="136"/>
      <c r="C90" s="162" t="s">
        <v>367</v>
      </c>
      <c r="D90" s="163"/>
      <c r="E90" s="163">
        <v>9600</v>
      </c>
      <c r="F90" s="136"/>
      <c r="G90" s="332" t="s">
        <v>1419</v>
      </c>
      <c r="H90" s="204">
        <v>288787</v>
      </c>
      <c r="I90" s="204" t="s">
        <v>183</v>
      </c>
      <c r="J90" s="205"/>
      <c r="K90" s="5"/>
      <c r="M90" s="5"/>
      <c r="S90" s="53"/>
      <c r="T90" s="53"/>
      <c r="U90" s="53"/>
      <c r="V90" s="53"/>
    </row>
    <row r="91" spans="1:22" s="110" customFormat="1" x14ac:dyDescent="0.25">
      <c r="A91" s="162">
        <v>43782</v>
      </c>
      <c r="B91" s="136"/>
      <c r="C91" s="162" t="s">
        <v>1420</v>
      </c>
      <c r="D91" s="163"/>
      <c r="E91" s="163">
        <v>2500</v>
      </c>
      <c r="F91" s="136"/>
      <c r="G91" s="332" t="s">
        <v>758</v>
      </c>
      <c r="H91" s="204">
        <v>292225</v>
      </c>
      <c r="I91" s="204" t="s">
        <v>183</v>
      </c>
      <c r="J91" s="205"/>
      <c r="K91" s="5"/>
      <c r="M91" s="5"/>
      <c r="S91" s="53"/>
      <c r="T91" s="53"/>
      <c r="U91" s="53"/>
      <c r="V91" s="53"/>
    </row>
    <row r="92" spans="1:22" s="110" customFormat="1" x14ac:dyDescent="0.25">
      <c r="A92" s="162">
        <v>43782</v>
      </c>
      <c r="B92" s="136"/>
      <c r="C92" s="162" t="s">
        <v>327</v>
      </c>
      <c r="D92" s="163"/>
      <c r="E92" s="163">
        <v>1000</v>
      </c>
      <c r="F92" s="136"/>
      <c r="G92" s="332" t="s">
        <v>221</v>
      </c>
      <c r="H92" s="204">
        <v>376915</v>
      </c>
      <c r="I92" s="204" t="s">
        <v>183</v>
      </c>
      <c r="J92" s="205"/>
      <c r="K92" s="5"/>
      <c r="M92" s="5"/>
      <c r="S92" s="53"/>
      <c r="T92" s="53"/>
      <c r="U92" s="53"/>
      <c r="V92" s="53"/>
    </row>
    <row r="93" spans="1:22" s="110" customFormat="1" x14ac:dyDescent="0.25">
      <c r="A93" s="162">
        <v>43785</v>
      </c>
      <c r="B93" s="136"/>
      <c r="C93" s="162" t="s">
        <v>1421</v>
      </c>
      <c r="D93" s="163"/>
      <c r="E93" s="163">
        <v>4000</v>
      </c>
      <c r="F93" s="136"/>
      <c r="G93" s="332" t="s">
        <v>1422</v>
      </c>
      <c r="H93" s="204">
        <v>6567</v>
      </c>
      <c r="I93" s="204" t="s">
        <v>56</v>
      </c>
      <c r="J93" s="205"/>
      <c r="K93" s="5"/>
      <c r="M93" s="5"/>
      <c r="S93" s="53"/>
      <c r="T93" s="53"/>
      <c r="U93" s="53"/>
      <c r="V93" s="53"/>
    </row>
    <row r="94" spans="1:22" s="110" customFormat="1" x14ac:dyDescent="0.25">
      <c r="A94" s="162">
        <v>43787</v>
      </c>
      <c r="B94" s="136"/>
      <c r="C94" s="162" t="s">
        <v>1423</v>
      </c>
      <c r="D94" s="163"/>
      <c r="E94" s="163">
        <v>2000</v>
      </c>
      <c r="F94" s="136"/>
      <c r="G94" s="332" t="s">
        <v>1424</v>
      </c>
      <c r="H94" s="204">
        <v>20316</v>
      </c>
      <c r="I94" s="204" t="s">
        <v>183</v>
      </c>
      <c r="J94" s="205"/>
      <c r="K94" s="5"/>
      <c r="M94" s="5"/>
      <c r="S94" s="53"/>
      <c r="T94" s="53"/>
      <c r="U94" s="53"/>
      <c r="V94" s="53"/>
    </row>
    <row r="95" spans="1:22" s="110" customFormat="1" x14ac:dyDescent="0.25">
      <c r="A95" s="162">
        <v>43787</v>
      </c>
      <c r="B95" s="136"/>
      <c r="C95" s="162" t="s">
        <v>1409</v>
      </c>
      <c r="D95" s="163"/>
      <c r="E95" s="163">
        <v>2700</v>
      </c>
      <c r="F95" s="136"/>
      <c r="G95" s="332" t="s">
        <v>1410</v>
      </c>
      <c r="H95" s="204">
        <v>51079</v>
      </c>
      <c r="I95" s="204" t="s">
        <v>183</v>
      </c>
      <c r="J95" s="205"/>
      <c r="K95" s="5"/>
      <c r="M95" s="5"/>
      <c r="S95" s="53"/>
      <c r="T95" s="53"/>
      <c r="U95" s="53"/>
      <c r="V95" s="53"/>
    </row>
    <row r="96" spans="1:22" s="110" customFormat="1" x14ac:dyDescent="0.25">
      <c r="A96" s="162">
        <v>43789</v>
      </c>
      <c r="B96" s="136"/>
      <c r="C96" s="162" t="s">
        <v>327</v>
      </c>
      <c r="D96" s="163"/>
      <c r="E96" s="163">
        <v>1000</v>
      </c>
      <c r="F96" s="136"/>
      <c r="G96" s="332" t="s">
        <v>221</v>
      </c>
      <c r="H96" s="204">
        <v>381119</v>
      </c>
      <c r="I96" s="204" t="s">
        <v>183</v>
      </c>
      <c r="J96" s="205"/>
      <c r="K96" s="5"/>
      <c r="M96" s="5"/>
      <c r="S96" s="53"/>
      <c r="T96" s="53"/>
      <c r="U96" s="53"/>
      <c r="V96" s="53"/>
    </row>
    <row r="97" spans="1:22" s="110" customFormat="1" x14ac:dyDescent="0.25">
      <c r="A97" s="162">
        <v>43790</v>
      </c>
      <c r="B97" s="136"/>
      <c r="C97" s="162" t="s">
        <v>1425</v>
      </c>
      <c r="D97" s="163"/>
      <c r="E97" s="163">
        <v>1900</v>
      </c>
      <c r="F97" s="136"/>
      <c r="G97" s="332" t="s">
        <v>1426</v>
      </c>
      <c r="H97" s="204">
        <v>8677</v>
      </c>
      <c r="I97" s="204" t="s">
        <v>184</v>
      </c>
      <c r="J97" s="205"/>
      <c r="K97" s="5"/>
      <c r="M97" s="5"/>
      <c r="S97" s="53"/>
      <c r="T97" s="53"/>
      <c r="U97" s="53"/>
      <c r="V97" s="53"/>
    </row>
    <row r="98" spans="1:22" s="110" customFormat="1" x14ac:dyDescent="0.25">
      <c r="A98" s="162">
        <v>43791</v>
      </c>
      <c r="B98" s="136"/>
      <c r="C98" s="162" t="s">
        <v>1409</v>
      </c>
      <c r="D98" s="163"/>
      <c r="E98" s="163">
        <v>2090</v>
      </c>
      <c r="F98" s="136"/>
      <c r="G98" s="332" t="s">
        <v>1410</v>
      </c>
      <c r="H98" s="204">
        <v>51185</v>
      </c>
      <c r="I98" s="204" t="s">
        <v>183</v>
      </c>
      <c r="J98" s="205"/>
      <c r="K98" s="5"/>
      <c r="M98" s="5"/>
      <c r="S98" s="53"/>
      <c r="T98" s="53"/>
      <c r="U98" s="53"/>
      <c r="V98" s="53"/>
    </row>
    <row r="99" spans="1:22" s="110" customFormat="1" x14ac:dyDescent="0.25">
      <c r="A99" s="162">
        <v>43796</v>
      </c>
      <c r="B99" s="136"/>
      <c r="C99" s="162" t="s">
        <v>759</v>
      </c>
      <c r="D99" s="163"/>
      <c r="E99" s="163">
        <v>3100</v>
      </c>
      <c r="F99" s="136"/>
      <c r="G99" s="332" t="s">
        <v>1427</v>
      </c>
      <c r="H99" s="204">
        <v>3483</v>
      </c>
      <c r="I99" s="204" t="s">
        <v>183</v>
      </c>
      <c r="J99" s="205"/>
      <c r="K99" s="5"/>
      <c r="M99" s="5"/>
      <c r="S99" s="53"/>
      <c r="T99" s="53"/>
      <c r="U99" s="53"/>
      <c r="V99" s="53"/>
    </row>
    <row r="100" spans="1:22" s="110" customFormat="1" x14ac:dyDescent="0.25">
      <c r="A100" s="162">
        <v>43797</v>
      </c>
      <c r="B100" s="136"/>
      <c r="C100" s="162" t="s">
        <v>1413</v>
      </c>
      <c r="D100" s="163"/>
      <c r="E100" s="163">
        <v>1250</v>
      </c>
      <c r="F100" s="136"/>
      <c r="G100" s="332" t="s">
        <v>1414</v>
      </c>
      <c r="H100" s="204">
        <v>675997</v>
      </c>
      <c r="I100" s="204" t="s">
        <v>56</v>
      </c>
      <c r="J100" s="205"/>
      <c r="K100" s="5"/>
      <c r="M100" s="5"/>
      <c r="S100" s="53"/>
      <c r="T100" s="53"/>
      <c r="U100" s="53"/>
      <c r="V100" s="53"/>
    </row>
    <row r="101" spans="1:22" s="110" customFormat="1" x14ac:dyDescent="0.25">
      <c r="A101" s="162">
        <v>43797</v>
      </c>
      <c r="B101" s="136"/>
      <c r="C101" s="162" t="s">
        <v>327</v>
      </c>
      <c r="D101" s="163"/>
      <c r="E101" s="163">
        <v>1000</v>
      </c>
      <c r="F101" s="136"/>
      <c r="G101" s="332" t="s">
        <v>221</v>
      </c>
      <c r="H101" s="204">
        <v>385137</v>
      </c>
      <c r="I101" s="204" t="s">
        <v>183</v>
      </c>
      <c r="J101" s="205"/>
      <c r="K101" s="5"/>
      <c r="M101" s="5"/>
      <c r="S101" s="53"/>
      <c r="T101" s="53"/>
      <c r="U101" s="53"/>
      <c r="V101" s="53"/>
    </row>
    <row r="102" spans="1:22" s="110" customFormat="1" x14ac:dyDescent="0.25">
      <c r="A102" s="162">
        <v>43797</v>
      </c>
      <c r="B102" s="136"/>
      <c r="C102" s="162" t="s">
        <v>326</v>
      </c>
      <c r="D102" s="163"/>
      <c r="E102" s="163">
        <v>2400</v>
      </c>
      <c r="F102" s="136"/>
      <c r="G102" s="332" t="s">
        <v>222</v>
      </c>
      <c r="H102" s="204">
        <v>297557</v>
      </c>
      <c r="I102" s="204" t="s">
        <v>183</v>
      </c>
      <c r="J102" s="205"/>
      <c r="K102" s="5"/>
      <c r="M102" s="5"/>
      <c r="S102" s="53"/>
      <c r="T102" s="53"/>
      <c r="U102" s="53"/>
      <c r="V102" s="53"/>
    </row>
    <row r="103" spans="1:22" s="110" customFormat="1" x14ac:dyDescent="0.25">
      <c r="A103" s="162">
        <v>43798</v>
      </c>
      <c r="B103" s="136"/>
      <c r="C103" s="162" t="s">
        <v>1409</v>
      </c>
      <c r="D103" s="163"/>
      <c r="E103" s="163">
        <v>2350</v>
      </c>
      <c r="F103" s="136"/>
      <c r="G103" s="332" t="s">
        <v>1410</v>
      </c>
      <c r="H103" s="204">
        <v>51360</v>
      </c>
      <c r="I103" s="204" t="s">
        <v>183</v>
      </c>
      <c r="J103" s="205"/>
      <c r="K103" s="5"/>
      <c r="M103" s="5"/>
      <c r="S103" s="53"/>
      <c r="T103" s="53"/>
      <c r="U103" s="53"/>
      <c r="V103" s="53"/>
    </row>
    <row r="104" spans="1:22" s="110" customFormat="1" x14ac:dyDescent="0.25">
      <c r="A104" s="162">
        <v>43799</v>
      </c>
      <c r="B104" s="136"/>
      <c r="C104" s="162" t="s">
        <v>1409</v>
      </c>
      <c r="D104" s="163"/>
      <c r="E104" s="163">
        <v>2070</v>
      </c>
      <c r="F104" s="136"/>
      <c r="G104" s="332" t="s">
        <v>1410</v>
      </c>
      <c r="H104" s="204">
        <v>51376</v>
      </c>
      <c r="I104" s="204" t="s">
        <v>183</v>
      </c>
      <c r="J104" s="205"/>
      <c r="K104" s="5"/>
      <c r="M104" s="5"/>
      <c r="S104" s="53"/>
      <c r="T104" s="53"/>
      <c r="U104" s="53"/>
      <c r="V104" s="53"/>
    </row>
    <row r="105" spans="1:22" s="110" customFormat="1" x14ac:dyDescent="0.25">
      <c r="A105" s="162">
        <v>43799</v>
      </c>
      <c r="B105" s="136"/>
      <c r="C105" s="162" t="s">
        <v>1428</v>
      </c>
      <c r="D105" s="163"/>
      <c r="E105" s="163">
        <v>900</v>
      </c>
      <c r="F105" s="136"/>
      <c r="G105" s="332" t="s">
        <v>1429</v>
      </c>
      <c r="H105" s="204">
        <v>595904</v>
      </c>
      <c r="I105" s="204" t="s">
        <v>148</v>
      </c>
      <c r="J105" s="205"/>
      <c r="K105" s="5"/>
      <c r="M105" s="5"/>
      <c r="S105" s="53"/>
      <c r="T105" s="53"/>
      <c r="U105" s="53"/>
      <c r="V105" s="53"/>
    </row>
    <row r="106" spans="1:22" s="110" customFormat="1" x14ac:dyDescent="0.25">
      <c r="A106" s="341">
        <v>43799</v>
      </c>
      <c r="B106" s="342"/>
      <c r="C106" s="341" t="s">
        <v>1430</v>
      </c>
      <c r="D106" s="343"/>
      <c r="E106" s="343">
        <v>8400</v>
      </c>
      <c r="F106" s="136"/>
      <c r="G106" s="332" t="s">
        <v>1429</v>
      </c>
      <c r="H106" s="204">
        <v>595902</v>
      </c>
      <c r="I106" s="204" t="s">
        <v>148</v>
      </c>
      <c r="J106" s="205"/>
      <c r="K106" s="5"/>
      <c r="M106" s="5"/>
      <c r="S106" s="53"/>
      <c r="T106" s="53"/>
      <c r="U106" s="53"/>
      <c r="V106" s="53"/>
    </row>
    <row r="107" spans="1:22" s="110" customFormat="1" x14ac:dyDescent="0.25">
      <c r="A107" s="162" t="s">
        <v>1431</v>
      </c>
      <c r="B107" s="136"/>
      <c r="C107" s="162" t="s">
        <v>1432</v>
      </c>
      <c r="D107" s="163"/>
      <c r="E107" s="163">
        <v>39134</v>
      </c>
      <c r="F107" s="136"/>
      <c r="G107" s="332" t="s">
        <v>264</v>
      </c>
      <c r="H107" s="204">
        <v>1709</v>
      </c>
      <c r="I107" s="204" t="s">
        <v>183</v>
      </c>
      <c r="J107" s="205"/>
      <c r="K107" s="5"/>
      <c r="M107" s="5"/>
      <c r="S107" s="53"/>
      <c r="T107" s="53"/>
      <c r="U107" s="53"/>
      <c r="V107" s="53"/>
    </row>
    <row r="108" spans="1:22" s="110" customFormat="1" x14ac:dyDescent="0.25">
      <c r="A108" s="162" t="s">
        <v>1431</v>
      </c>
      <c r="B108" s="136"/>
      <c r="C108" s="162" t="s">
        <v>1433</v>
      </c>
      <c r="D108" s="163"/>
      <c r="E108" s="163">
        <v>105300</v>
      </c>
      <c r="F108" s="136"/>
      <c r="G108" s="332" t="s">
        <v>368</v>
      </c>
      <c r="H108" s="204" t="s">
        <v>1434</v>
      </c>
      <c r="I108" s="204" t="s">
        <v>183</v>
      </c>
      <c r="J108" s="205"/>
      <c r="K108" s="5"/>
      <c r="M108" s="5"/>
      <c r="S108" s="53"/>
      <c r="T108" s="53"/>
      <c r="U108" s="53"/>
      <c r="V108" s="53"/>
    </row>
    <row r="109" spans="1:22" s="110" customFormat="1" x14ac:dyDescent="0.25">
      <c r="A109" s="162" t="s">
        <v>1431</v>
      </c>
      <c r="B109" s="136"/>
      <c r="C109" s="162" t="s">
        <v>1435</v>
      </c>
      <c r="D109" s="163"/>
      <c r="E109" s="163">
        <v>60000</v>
      </c>
      <c r="F109" s="136"/>
      <c r="G109" s="332" t="s">
        <v>760</v>
      </c>
      <c r="H109" s="204" t="s">
        <v>760</v>
      </c>
      <c r="I109" s="204" t="s">
        <v>183</v>
      </c>
      <c r="J109" s="205"/>
      <c r="K109" s="5"/>
      <c r="M109" s="5"/>
      <c r="S109" s="53"/>
      <c r="T109" s="53"/>
      <c r="U109" s="53"/>
      <c r="V109" s="53"/>
    </row>
    <row r="110" spans="1:22" s="110" customFormat="1" x14ac:dyDescent="0.25">
      <c r="A110" s="162" t="s">
        <v>1431</v>
      </c>
      <c r="B110" s="136"/>
      <c r="C110" s="162" t="s">
        <v>369</v>
      </c>
      <c r="D110" s="163"/>
      <c r="E110" s="163">
        <v>6000</v>
      </c>
      <c r="F110" s="136"/>
      <c r="G110" s="332" t="s">
        <v>1436</v>
      </c>
      <c r="H110" s="204" t="s">
        <v>756</v>
      </c>
      <c r="I110" s="204" t="s">
        <v>183</v>
      </c>
      <c r="J110" s="205"/>
      <c r="K110" s="5"/>
      <c r="M110" s="5"/>
      <c r="S110" s="53"/>
      <c r="T110" s="53"/>
      <c r="U110" s="53"/>
      <c r="V110" s="53"/>
    </row>
    <row r="111" spans="1:22" s="110" customFormat="1" x14ac:dyDescent="0.25">
      <c r="A111" s="162"/>
      <c r="B111" s="136"/>
      <c r="C111" s="162"/>
      <c r="D111" s="163"/>
      <c r="E111" s="163"/>
      <c r="F111" s="136"/>
      <c r="G111" s="332"/>
      <c r="H111" s="204"/>
      <c r="I111" s="204"/>
      <c r="J111" s="205"/>
      <c r="K111" s="5"/>
      <c r="M111" s="5"/>
      <c r="S111" s="53"/>
      <c r="T111" s="53"/>
      <c r="U111" s="53"/>
      <c r="V111" s="53"/>
    </row>
    <row r="112" spans="1:22" s="110" customFormat="1" x14ac:dyDescent="0.25">
      <c r="A112" s="162"/>
      <c r="B112" s="136"/>
      <c r="C112" s="162"/>
      <c r="D112" s="163"/>
      <c r="E112" s="163"/>
      <c r="F112" s="136"/>
      <c r="G112" s="332"/>
      <c r="H112" s="204"/>
      <c r="I112" s="204"/>
      <c r="J112" s="205"/>
      <c r="K112" s="5"/>
      <c r="M112" s="5"/>
      <c r="S112" s="53"/>
      <c r="T112" s="53"/>
      <c r="U112" s="53"/>
      <c r="V112" s="53"/>
    </row>
    <row r="113" spans="1:22" s="110" customFormat="1" x14ac:dyDescent="0.25">
      <c r="A113" s="162"/>
      <c r="B113" s="136"/>
      <c r="C113" s="162"/>
      <c r="D113" s="163"/>
      <c r="E113" s="163"/>
      <c r="F113" s="136"/>
      <c r="G113" s="332"/>
      <c r="H113" s="204"/>
      <c r="I113" s="204"/>
      <c r="J113" s="205"/>
      <c r="K113" s="5"/>
      <c r="M113" s="5"/>
      <c r="S113" s="53"/>
      <c r="T113" s="53"/>
      <c r="U113" s="53"/>
      <c r="V113" s="53"/>
    </row>
    <row r="114" spans="1:22" s="110" customFormat="1" x14ac:dyDescent="0.25">
      <c r="A114" s="162"/>
      <c r="B114" s="136"/>
      <c r="C114" s="162"/>
      <c r="D114" s="163"/>
      <c r="E114" s="163"/>
      <c r="F114" s="136"/>
      <c r="G114" s="332"/>
      <c r="H114" s="204"/>
      <c r="I114" s="204"/>
      <c r="J114" s="205"/>
      <c r="K114" s="5"/>
      <c r="M114" s="5"/>
      <c r="S114" s="53"/>
      <c r="T114" s="53"/>
      <c r="U114" s="53"/>
      <c r="V114" s="53"/>
    </row>
    <row r="115" spans="1:22" s="110" customFormat="1" x14ac:dyDescent="0.25">
      <c r="A115" s="162"/>
      <c r="B115" s="136"/>
      <c r="C115" s="162"/>
      <c r="D115" s="163"/>
      <c r="E115" s="163"/>
      <c r="F115" s="136"/>
      <c r="G115" s="332"/>
      <c r="H115" s="204"/>
      <c r="I115" s="204"/>
      <c r="J115" s="205"/>
      <c r="K115" s="5"/>
      <c r="S115" s="53"/>
      <c r="T115" s="53"/>
      <c r="U115" s="53"/>
      <c r="V115" s="53"/>
    </row>
    <row r="116" spans="1:22" s="110" customFormat="1" x14ac:dyDescent="0.25">
      <c r="A116" s="162"/>
      <c r="B116" s="136"/>
      <c r="C116" s="162"/>
      <c r="D116" s="163"/>
      <c r="E116" s="163"/>
      <c r="F116" s="136"/>
      <c r="G116" s="332"/>
      <c r="H116" s="204"/>
      <c r="I116" s="204"/>
      <c r="J116" s="205"/>
      <c r="K116" s="5"/>
      <c r="S116" s="53"/>
      <c r="T116" s="53"/>
      <c r="U116" s="53"/>
      <c r="V116" s="53"/>
    </row>
    <row r="117" spans="1:22" s="110" customFormat="1" x14ac:dyDescent="0.25">
      <c r="A117" s="162"/>
      <c r="B117" s="136"/>
      <c r="C117" s="162"/>
      <c r="D117" s="163"/>
      <c r="E117" s="163"/>
      <c r="F117" s="136"/>
      <c r="G117" s="332"/>
      <c r="H117" s="204"/>
      <c r="I117" s="204"/>
      <c r="J117" s="205"/>
      <c r="S117" s="53"/>
      <c r="T117" s="53"/>
      <c r="U117" s="53"/>
      <c r="V117" s="53"/>
    </row>
    <row r="118" spans="1:22" x14ac:dyDescent="0.25">
      <c r="A118" s="341"/>
      <c r="B118" s="342"/>
      <c r="C118" s="341"/>
      <c r="D118" s="343"/>
      <c r="E118" s="343"/>
      <c r="F118" s="136"/>
      <c r="G118" s="332"/>
      <c r="H118" s="204"/>
      <c r="I118" s="204"/>
      <c r="J118" s="205"/>
      <c r="K118" s="19"/>
      <c r="L118" s="19"/>
      <c r="M118" s="19"/>
      <c r="N118" s="19"/>
      <c r="O118" s="19"/>
      <c r="P118" s="19"/>
      <c r="Q118" s="19"/>
      <c r="R118" s="19"/>
      <c r="S118" s="53"/>
      <c r="T118" s="53"/>
      <c r="U118" s="53"/>
      <c r="V118" s="53"/>
    </row>
    <row r="119" spans="1:22" x14ac:dyDescent="0.25">
      <c r="A119" s="162"/>
      <c r="B119" s="136"/>
      <c r="C119" s="162"/>
      <c r="D119" s="163"/>
      <c r="E119" s="163"/>
      <c r="F119" s="136"/>
      <c r="G119" s="332"/>
      <c r="H119" s="204"/>
      <c r="I119" s="204"/>
      <c r="J119" s="205"/>
      <c r="K119" s="19"/>
      <c r="L119" s="19"/>
      <c r="M119" s="19"/>
      <c r="N119" s="19"/>
      <c r="O119" s="19"/>
      <c r="P119" s="19"/>
      <c r="Q119" s="19"/>
      <c r="R119" s="19"/>
      <c r="S119" s="53"/>
      <c r="T119" s="53"/>
      <c r="U119" s="53"/>
      <c r="V119" s="53"/>
    </row>
    <row r="120" spans="1:22" x14ac:dyDescent="0.25">
      <c r="A120" s="162"/>
      <c r="B120" s="136"/>
      <c r="C120" s="162"/>
      <c r="D120" s="163"/>
      <c r="E120" s="163"/>
      <c r="F120" s="136"/>
      <c r="G120" s="204"/>
      <c r="H120" s="204"/>
      <c r="I120" s="204"/>
      <c r="J120" s="205"/>
      <c r="K120" s="19"/>
      <c r="L120" s="19"/>
      <c r="M120" s="19"/>
      <c r="N120" s="19"/>
      <c r="O120" s="19"/>
      <c r="P120" s="19"/>
      <c r="Q120" s="19"/>
      <c r="R120" s="19"/>
      <c r="S120" s="53"/>
      <c r="T120" s="53"/>
      <c r="U120" s="53"/>
      <c r="V120" s="53"/>
    </row>
    <row r="121" spans="1:22" x14ac:dyDescent="0.25">
      <c r="A121" s="341"/>
      <c r="B121" s="342"/>
      <c r="C121" s="341"/>
      <c r="D121" s="343"/>
      <c r="E121" s="343"/>
      <c r="F121" s="136"/>
      <c r="G121" s="204"/>
      <c r="H121" s="204"/>
      <c r="I121" s="204"/>
      <c r="J121" s="205"/>
      <c r="K121" s="19"/>
      <c r="L121" s="19"/>
      <c r="M121" s="19"/>
      <c r="N121" s="19"/>
      <c r="O121" s="19"/>
      <c r="P121" s="19"/>
      <c r="Q121" s="19"/>
      <c r="R121" s="19"/>
      <c r="S121" s="53"/>
      <c r="T121" s="53"/>
      <c r="U121" s="53"/>
      <c r="V121" s="53"/>
    </row>
    <row r="122" spans="1:22" x14ac:dyDescent="0.25">
      <c r="A122" s="136"/>
      <c r="B122" s="136"/>
      <c r="C122" s="162"/>
      <c r="D122" s="163"/>
      <c r="E122" s="163"/>
      <c r="F122" s="136"/>
      <c r="G122" s="204"/>
      <c r="H122" s="204"/>
      <c r="I122" s="204"/>
      <c r="J122" s="161"/>
      <c r="K122" s="19"/>
      <c r="L122" s="19"/>
      <c r="M122" s="19"/>
      <c r="N122" s="19"/>
      <c r="O122" s="19"/>
      <c r="P122" s="19"/>
      <c r="Q122" s="19"/>
      <c r="R122" s="19"/>
      <c r="S122" s="53"/>
      <c r="T122" s="53"/>
      <c r="U122" s="53"/>
      <c r="V122" s="53"/>
    </row>
    <row r="123" spans="1:22" x14ac:dyDescent="0.25">
      <c r="A123" s="47"/>
      <c r="B123" s="47"/>
      <c r="C123" s="82"/>
      <c r="D123" s="44"/>
      <c r="E123" s="44"/>
      <c r="F123" s="47"/>
      <c r="G123" s="204"/>
      <c r="H123" s="204"/>
      <c r="I123" s="204"/>
      <c r="J123" s="49"/>
      <c r="K123" s="19"/>
      <c r="L123" s="19"/>
      <c r="M123" s="19"/>
      <c r="N123" s="19"/>
      <c r="O123" s="19"/>
      <c r="P123" s="19"/>
      <c r="Q123" s="19"/>
      <c r="R123" s="19"/>
      <c r="S123" s="53"/>
      <c r="T123" s="53"/>
      <c r="U123" s="53"/>
      <c r="V123" s="53"/>
    </row>
    <row r="124" spans="1:22" x14ac:dyDescent="0.25">
      <c r="A124" s="47"/>
      <c r="B124" s="47"/>
      <c r="C124" s="82"/>
      <c r="D124" s="44"/>
      <c r="E124" s="44"/>
      <c r="F124" s="47"/>
      <c r="G124" s="204"/>
      <c r="H124" s="204"/>
      <c r="I124" s="204"/>
      <c r="J124" s="49"/>
      <c r="K124" s="19"/>
      <c r="L124" s="19"/>
      <c r="M124" s="19"/>
      <c r="N124" s="19"/>
      <c r="O124" s="19"/>
      <c r="P124" s="19"/>
      <c r="Q124" s="19"/>
      <c r="R124" s="19"/>
      <c r="S124" s="53"/>
      <c r="T124" s="53"/>
      <c r="U124" s="53"/>
      <c r="V124" s="53"/>
    </row>
    <row r="125" spans="1:22" x14ac:dyDescent="0.25">
      <c r="A125" s="47"/>
      <c r="B125" s="47"/>
      <c r="C125" s="82"/>
      <c r="D125" s="44"/>
      <c r="E125" s="44"/>
      <c r="F125" s="47"/>
      <c r="G125" s="204"/>
      <c r="H125" s="204"/>
      <c r="I125" s="204"/>
      <c r="J125" s="49"/>
      <c r="K125" s="19"/>
      <c r="L125" s="19"/>
      <c r="M125" s="19"/>
      <c r="N125" s="19"/>
      <c r="O125" s="19"/>
      <c r="P125" s="19"/>
      <c r="Q125" s="19"/>
      <c r="R125" s="19"/>
      <c r="S125" s="53"/>
      <c r="T125" s="53"/>
      <c r="U125" s="53"/>
      <c r="V125" s="53"/>
    </row>
    <row r="126" spans="1:22" x14ac:dyDescent="0.25">
      <c r="A126" s="47"/>
      <c r="B126" s="47"/>
      <c r="C126" s="82"/>
      <c r="D126" s="44"/>
      <c r="E126" s="44"/>
      <c r="F126" s="47"/>
      <c r="G126" s="204"/>
      <c r="H126" s="204"/>
      <c r="I126" s="204"/>
      <c r="J126" s="49"/>
      <c r="K126" s="19"/>
      <c r="L126" s="19"/>
      <c r="M126" s="19"/>
      <c r="N126" s="19"/>
      <c r="O126" s="19"/>
      <c r="P126" s="19"/>
      <c r="Q126" s="19"/>
      <c r="R126" s="19"/>
      <c r="S126" s="53"/>
      <c r="T126" s="53"/>
      <c r="U126" s="53"/>
      <c r="V126" s="53"/>
    </row>
    <row r="127" spans="1:22" x14ac:dyDescent="0.25">
      <c r="A127" s="47"/>
      <c r="B127" s="47"/>
      <c r="C127" s="82"/>
      <c r="D127" s="44"/>
      <c r="E127" s="44"/>
      <c r="F127" s="47"/>
      <c r="G127" s="204"/>
      <c r="H127" s="204"/>
      <c r="I127" s="204"/>
      <c r="J127" s="49"/>
      <c r="K127" s="19"/>
      <c r="L127" s="19"/>
      <c r="M127" s="19"/>
      <c r="N127" s="19"/>
      <c r="O127" s="19"/>
      <c r="P127" s="19"/>
      <c r="Q127" s="19"/>
      <c r="R127" s="19"/>
      <c r="S127" s="53"/>
      <c r="T127" s="53"/>
      <c r="U127" s="53"/>
      <c r="V127" s="53"/>
    </row>
    <row r="128" spans="1:22" x14ac:dyDescent="0.25">
      <c r="A128" s="47"/>
      <c r="B128" s="47"/>
      <c r="C128" s="82"/>
      <c r="D128" s="44"/>
      <c r="E128" s="44"/>
      <c r="F128" s="47"/>
      <c r="G128" s="204"/>
      <c r="H128" s="204"/>
      <c r="I128" s="204"/>
      <c r="J128" s="49"/>
      <c r="K128" s="19"/>
      <c r="L128" s="19"/>
      <c r="M128" s="19"/>
      <c r="N128" s="19"/>
      <c r="O128" s="19"/>
      <c r="P128" s="19"/>
      <c r="Q128" s="19"/>
      <c r="R128" s="19"/>
      <c r="S128" s="53"/>
      <c r="T128" s="53"/>
      <c r="U128" s="53"/>
      <c r="V128" s="53"/>
    </row>
    <row r="129" spans="1:24" x14ac:dyDescent="0.25">
      <c r="A129" s="47"/>
      <c r="B129" s="47"/>
      <c r="C129" s="82"/>
      <c r="D129" s="44"/>
      <c r="E129" s="44"/>
      <c r="F129" s="47"/>
      <c r="G129" s="22"/>
      <c r="H129" s="47"/>
      <c r="I129" s="47"/>
      <c r="J129" s="49"/>
      <c r="K129" s="19"/>
      <c r="L129" s="19"/>
      <c r="M129" s="19"/>
      <c r="N129" s="19"/>
      <c r="O129" s="19"/>
      <c r="P129" s="19"/>
      <c r="Q129" s="19"/>
      <c r="R129" s="19"/>
      <c r="S129" s="53"/>
      <c r="T129" s="53"/>
      <c r="U129" s="53"/>
      <c r="V129" s="53"/>
    </row>
    <row r="130" spans="1:24" x14ac:dyDescent="0.25">
      <c r="A130" s="47"/>
      <c r="B130" s="47"/>
      <c r="C130" s="82"/>
      <c r="D130" s="44"/>
      <c r="E130" s="44"/>
      <c r="F130" s="47"/>
      <c r="G130" s="22"/>
      <c r="H130" s="47"/>
      <c r="I130" s="47"/>
      <c r="J130" s="49"/>
      <c r="K130" s="19"/>
      <c r="L130" s="19"/>
      <c r="M130" s="19"/>
      <c r="N130" s="19"/>
      <c r="O130" s="19"/>
      <c r="P130" s="19"/>
      <c r="Q130" s="19"/>
      <c r="R130" s="19"/>
      <c r="S130" s="53"/>
      <c r="T130" s="53"/>
      <c r="U130" s="53"/>
      <c r="V130" s="53"/>
    </row>
    <row r="131" spans="1:24" x14ac:dyDescent="0.25">
      <c r="A131" s="47"/>
      <c r="B131" s="47"/>
      <c r="C131" s="82"/>
      <c r="D131" s="44"/>
      <c r="E131" s="44"/>
      <c r="F131" s="47"/>
      <c r="G131" s="22"/>
      <c r="H131" s="47"/>
      <c r="I131" s="47"/>
      <c r="J131" s="49"/>
      <c r="K131" s="19"/>
      <c r="L131" s="19"/>
      <c r="M131" s="19"/>
      <c r="N131" s="19"/>
      <c r="O131" s="19"/>
      <c r="P131" s="19"/>
      <c r="Q131" s="19"/>
      <c r="R131" s="19"/>
      <c r="S131" s="53"/>
      <c r="T131" s="53"/>
      <c r="U131" s="53"/>
      <c r="V131" s="53"/>
    </row>
    <row r="132" spans="1:24" x14ac:dyDescent="0.25">
      <c r="A132" s="268"/>
      <c r="B132" s="268"/>
      <c r="C132" s="269"/>
      <c r="D132" s="270"/>
      <c r="E132" s="270">
        <f>SUM(E81:E131)</f>
        <v>296494</v>
      </c>
      <c r="F132" s="268"/>
      <c r="G132" s="271"/>
      <c r="H132" s="268"/>
      <c r="I132" s="268"/>
      <c r="J132" s="272"/>
      <c r="K132" s="19"/>
      <c r="L132" s="19"/>
      <c r="M132" s="19"/>
      <c r="N132" s="19"/>
      <c r="O132" s="19"/>
      <c r="P132" s="19"/>
      <c r="Q132" s="19"/>
      <c r="R132" s="19"/>
      <c r="S132" s="53"/>
      <c r="T132" s="53"/>
      <c r="U132" s="53"/>
      <c r="V132" s="53"/>
    </row>
    <row r="133" spans="1:24" x14ac:dyDescent="0.25">
      <c r="A133" s="47"/>
      <c r="B133" s="47"/>
      <c r="C133" s="82"/>
      <c r="D133" s="44"/>
      <c r="E133" s="44"/>
      <c r="F133" s="47"/>
      <c r="G133" s="22"/>
      <c r="H133" s="47"/>
      <c r="I133" s="47"/>
      <c r="J133" s="49"/>
      <c r="K133" s="19"/>
      <c r="L133" s="19"/>
      <c r="M133" s="19"/>
      <c r="N133" s="19"/>
      <c r="O133" s="19"/>
      <c r="P133" s="19"/>
      <c r="Q133" s="19"/>
      <c r="R133" s="19"/>
      <c r="S133" s="53"/>
      <c r="T133" s="53"/>
      <c r="U133" s="53"/>
      <c r="V133" s="53"/>
    </row>
    <row r="134" spans="1:24" x14ac:dyDescent="0.25">
      <c r="A134" s="25"/>
      <c r="B134" s="25"/>
      <c r="C134" s="25"/>
      <c r="D134" s="86"/>
      <c r="E134" s="86"/>
      <c r="F134" s="25"/>
      <c r="G134" s="87"/>
      <c r="H134" s="25"/>
      <c r="I134" s="25"/>
      <c r="J134" s="53"/>
      <c r="K134" s="19"/>
      <c r="L134" s="19"/>
      <c r="M134" s="19"/>
      <c r="N134" s="19"/>
      <c r="O134" s="19"/>
      <c r="P134" s="19"/>
      <c r="Q134" s="19"/>
      <c r="R134" s="19"/>
      <c r="S134" s="53"/>
      <c r="T134" s="53"/>
      <c r="U134" s="53"/>
      <c r="V134" s="53"/>
    </row>
    <row r="135" spans="1:24" x14ac:dyDescent="0.25">
      <c r="R135" s="53"/>
      <c r="S135" s="53"/>
      <c r="T135" s="53"/>
      <c r="U135" s="53"/>
      <c r="V135" s="53"/>
    </row>
    <row r="136" spans="1:24" x14ac:dyDescent="0.25">
      <c r="H136" s="21">
        <f>SUBTOTAL(9,D2:D133)</f>
        <v>0</v>
      </c>
      <c r="I136" s="21">
        <f>SUBTOTAL(9,E2:E131)</f>
        <v>5723424</v>
      </c>
      <c r="J136" s="21">
        <f>SUBTOTAL(9,F2:F133)</f>
        <v>5900000</v>
      </c>
      <c r="R136" s="53"/>
      <c r="S136" s="53"/>
      <c r="T136" s="53"/>
      <c r="U136" s="53"/>
      <c r="V136" s="53"/>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165</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0" t="s">
        <v>4</v>
      </c>
      <c r="C141" s="30" t="s">
        <v>67</v>
      </c>
      <c r="D141" s="31" t="s">
        <v>119</v>
      </c>
      <c r="E141" s="30" t="s">
        <v>120</v>
      </c>
      <c r="F141" s="30" t="s">
        <v>121</v>
      </c>
      <c r="G141" s="31" t="s">
        <v>84</v>
      </c>
      <c r="H141" s="31"/>
      <c r="N141" s="19"/>
      <c r="O141" s="19"/>
      <c r="P141" s="19"/>
      <c r="Q141" s="19"/>
      <c r="R141" s="19"/>
      <c r="S141" s="19"/>
      <c r="T141" s="19"/>
      <c r="U141" s="19"/>
      <c r="V141" s="21"/>
      <c r="W141" s="21"/>
      <c r="X141" s="21"/>
    </row>
    <row r="142" spans="1:24" x14ac:dyDescent="0.25">
      <c r="B142" s="44" t="s">
        <v>168</v>
      </c>
      <c r="C142" s="44">
        <f>'BCI '!H157</f>
        <v>20373</v>
      </c>
      <c r="D142" s="47">
        <f>Security!F67</f>
        <v>2945</v>
      </c>
      <c r="E142" s="44"/>
      <c r="F142" s="44">
        <f>C142+D142</f>
        <v>23318</v>
      </c>
      <c r="G142" s="47"/>
      <c r="H142" s="47">
        <f>+F142-G142</f>
        <v>23318</v>
      </c>
      <c r="J142" s="22"/>
      <c r="K142" s="46"/>
      <c r="N142" s="19"/>
      <c r="O142" s="19"/>
      <c r="P142" s="19"/>
      <c r="Q142" s="19"/>
      <c r="R142" s="19"/>
      <c r="S142" s="19"/>
      <c r="T142" s="19"/>
      <c r="U142" s="19"/>
      <c r="V142" s="21"/>
      <c r="W142" s="21"/>
      <c r="X142" s="21"/>
    </row>
    <row r="143" spans="1:24" x14ac:dyDescent="0.25">
      <c r="B143" s="44" t="s">
        <v>31</v>
      </c>
      <c r="C143" s="44">
        <f>'BCI '!H158</f>
        <v>3749964</v>
      </c>
      <c r="D143" s="47">
        <f>Security!F68</f>
        <v>0</v>
      </c>
      <c r="E143" s="44"/>
      <c r="F143" s="44">
        <f t="shared" ref="F143:F158" si="2">C143+D143</f>
        <v>3749964</v>
      </c>
      <c r="G143" s="47"/>
      <c r="H143" s="47">
        <f t="shared" ref="H143:H158" si="3">+F143-G143</f>
        <v>3749964</v>
      </c>
      <c r="J143" s="22">
        <v>0</v>
      </c>
      <c r="K143" s="129" t="s">
        <v>69</v>
      </c>
      <c r="N143" s="19"/>
      <c r="O143" s="19"/>
      <c r="P143" s="19"/>
      <c r="Q143" s="19"/>
      <c r="R143" s="19"/>
      <c r="S143" s="19"/>
      <c r="T143" s="19"/>
      <c r="U143" s="19"/>
      <c r="V143" s="21"/>
      <c r="W143" s="21"/>
      <c r="X143" s="21"/>
    </row>
    <row r="144" spans="1:24" x14ac:dyDescent="0.25">
      <c r="B144" s="44" t="s">
        <v>101</v>
      </c>
      <c r="C144" s="44">
        <f>'BCI '!H159</f>
        <v>1089685</v>
      </c>
      <c r="D144" s="47">
        <f>Security!F69</f>
        <v>0</v>
      </c>
      <c r="E144" s="44"/>
      <c r="F144" s="44">
        <f t="shared" si="2"/>
        <v>1089685</v>
      </c>
      <c r="G144" s="47"/>
      <c r="H144" s="47">
        <f t="shared" si="3"/>
        <v>1089685</v>
      </c>
      <c r="J144" s="22">
        <f>F76</f>
        <v>2950000</v>
      </c>
      <c r="K144" s="46" t="s">
        <v>71</v>
      </c>
      <c r="L144" s="19"/>
      <c r="N144" s="19"/>
      <c r="O144" s="19"/>
      <c r="P144" s="19"/>
      <c r="Q144" s="19"/>
      <c r="R144" s="19"/>
      <c r="S144" s="19"/>
      <c r="T144" s="19"/>
      <c r="U144" s="19"/>
      <c r="V144" s="21"/>
    </row>
    <row r="145" spans="2:24" x14ac:dyDescent="0.25">
      <c r="B145" s="44" t="s">
        <v>167</v>
      </c>
      <c r="C145" s="44">
        <f>'BCI '!H160</f>
        <v>425344.30749999994</v>
      </c>
      <c r="D145" s="47">
        <f>Security!F70</f>
        <v>0</v>
      </c>
      <c r="E145" s="44"/>
      <c r="F145" s="44">
        <f t="shared" si="2"/>
        <v>425344.30749999994</v>
      </c>
      <c r="G145" s="47"/>
      <c r="H145" s="47">
        <f t="shared" si="3"/>
        <v>425344.30749999994</v>
      </c>
      <c r="J145" s="22">
        <f>J144+J143-J157</f>
        <v>210041</v>
      </c>
      <c r="K145" s="46" t="s">
        <v>70</v>
      </c>
      <c r="L145" s="19"/>
      <c r="N145" s="19"/>
      <c r="O145" s="19"/>
      <c r="P145" s="19"/>
      <c r="Q145" s="19"/>
      <c r="R145" s="19"/>
      <c r="S145" s="19"/>
      <c r="T145" s="19"/>
      <c r="U145" s="19"/>
      <c r="V145" s="21"/>
    </row>
    <row r="146" spans="2:24" x14ac:dyDescent="0.25">
      <c r="B146" s="44" t="s">
        <v>8</v>
      </c>
      <c r="C146" s="44">
        <f>'BCI '!H161+J157</f>
        <v>3393091</v>
      </c>
      <c r="D146" s="47">
        <f>Security!F71</f>
        <v>0</v>
      </c>
      <c r="E146" s="44"/>
      <c r="F146" s="44">
        <f t="shared" si="2"/>
        <v>3393091</v>
      </c>
      <c r="G146" s="47">
        <f t="shared" ref="G146:G151" si="4">F146*0.19</f>
        <v>644687.29</v>
      </c>
      <c r="H146" s="47">
        <f t="shared" si="3"/>
        <v>2748403.71</v>
      </c>
      <c r="J146" s="22"/>
      <c r="K146" s="46"/>
      <c r="L146" s="19"/>
      <c r="N146" s="19"/>
      <c r="O146" s="19"/>
      <c r="P146" s="19"/>
      <c r="Q146" s="19"/>
      <c r="R146" s="19"/>
      <c r="S146" s="19"/>
      <c r="T146" s="19"/>
      <c r="U146" s="19"/>
      <c r="V146" s="21"/>
    </row>
    <row r="147" spans="2:24" x14ac:dyDescent="0.25">
      <c r="B147" s="44"/>
      <c r="C147" s="44">
        <f>'BCI '!H162+J158</f>
        <v>2800000</v>
      </c>
      <c r="D147" s="47">
        <f>Security!F72</f>
        <v>0</v>
      </c>
      <c r="E147" s="44"/>
      <c r="F147" s="44">
        <f t="shared" si="2"/>
        <v>2800000</v>
      </c>
      <c r="G147" s="47">
        <f t="shared" si="4"/>
        <v>532000</v>
      </c>
      <c r="H147" s="47">
        <f t="shared" si="3"/>
        <v>2268000</v>
      </c>
      <c r="J147" s="51" t="s">
        <v>50</v>
      </c>
      <c r="K147" s="50" t="s">
        <v>49</v>
      </c>
      <c r="L147" s="19"/>
      <c r="N147" s="19"/>
      <c r="O147" s="19"/>
      <c r="P147" s="19"/>
      <c r="Q147" s="19"/>
      <c r="R147" s="19"/>
      <c r="S147" s="19"/>
      <c r="T147" s="19"/>
      <c r="U147" s="19"/>
      <c r="V147" s="21"/>
    </row>
    <row r="148" spans="2:24" x14ac:dyDescent="0.25">
      <c r="B148" s="44" t="s">
        <v>171</v>
      </c>
      <c r="C148" s="44">
        <f>'BCI '!H163+J159</f>
        <v>1489738</v>
      </c>
      <c r="D148" s="47">
        <f>Security!F73</f>
        <v>0</v>
      </c>
      <c r="E148" s="44"/>
      <c r="F148" s="44">
        <f t="shared" si="2"/>
        <v>1489738</v>
      </c>
      <c r="G148" s="47"/>
      <c r="H148" s="47">
        <f t="shared" si="3"/>
        <v>1489738</v>
      </c>
      <c r="J148" s="221">
        <f>SUMIF($I$2:$I$133,K148,$E$2:$E$133)</f>
        <v>346752</v>
      </c>
      <c r="K148" s="49" t="s">
        <v>184</v>
      </c>
      <c r="L148" s="153">
        <f>-J148</f>
        <v>-346752</v>
      </c>
      <c r="N148" s="19"/>
      <c r="O148" s="19"/>
      <c r="P148" s="19"/>
      <c r="Q148" s="19"/>
      <c r="R148" s="19"/>
      <c r="S148" s="19"/>
      <c r="T148" s="19"/>
      <c r="U148" s="19"/>
      <c r="V148" s="21"/>
    </row>
    <row r="149" spans="2:24" x14ac:dyDescent="0.25">
      <c r="B149" s="44" t="s">
        <v>170</v>
      </c>
      <c r="C149" s="44">
        <f>'BCI '!H164+J160</f>
        <v>481666</v>
      </c>
      <c r="D149" s="47">
        <f>Security!F74</f>
        <v>0</v>
      </c>
      <c r="E149" s="44"/>
      <c r="F149" s="44">
        <f t="shared" si="2"/>
        <v>481666</v>
      </c>
      <c r="G149" s="47">
        <f t="shared" si="4"/>
        <v>91516.540000000008</v>
      </c>
      <c r="H149" s="47">
        <f t="shared" si="3"/>
        <v>390149.45999999996</v>
      </c>
      <c r="J149" s="221">
        <f t="shared" ref="J149:J156" si="5">SUMIF($I$2:$I$133,K149,$E$2:$E$133)</f>
        <v>203920</v>
      </c>
      <c r="K149" s="49" t="s">
        <v>182</v>
      </c>
      <c r="L149" s="153">
        <f t="shared" ref="L149:L156" si="6">-J149</f>
        <v>-203920</v>
      </c>
      <c r="N149" s="19"/>
      <c r="O149" s="19"/>
      <c r="P149" s="19"/>
      <c r="Q149" s="19"/>
      <c r="R149" s="19"/>
      <c r="S149" s="19"/>
      <c r="T149" s="19"/>
      <c r="U149" s="19"/>
      <c r="V149" s="21"/>
    </row>
    <row r="150" spans="2:24" x14ac:dyDescent="0.25">
      <c r="B150" s="44" t="s">
        <v>24</v>
      </c>
      <c r="C150" s="44">
        <f>'BCI '!H165</f>
        <v>0</v>
      </c>
      <c r="D150" s="47">
        <f>Security!F75</f>
        <v>1912103</v>
      </c>
      <c r="E150" s="44"/>
      <c r="F150" s="44">
        <f t="shared" si="2"/>
        <v>1912103</v>
      </c>
      <c r="G150" s="47"/>
      <c r="H150" s="47">
        <f t="shared" si="3"/>
        <v>1912103</v>
      </c>
      <c r="J150" s="221">
        <f t="shared" si="5"/>
        <v>0</v>
      </c>
      <c r="K150" s="49" t="s">
        <v>193</v>
      </c>
      <c r="L150" s="153">
        <f t="shared" si="6"/>
        <v>0</v>
      </c>
      <c r="N150" s="19"/>
      <c r="O150" s="19"/>
      <c r="P150" s="19"/>
      <c r="Q150" s="19"/>
      <c r="R150" s="19"/>
      <c r="S150" s="19"/>
      <c r="T150" s="19"/>
      <c r="U150" s="19"/>
      <c r="V150" s="21"/>
    </row>
    <row r="151" spans="2:24" x14ac:dyDescent="0.25">
      <c r="B151" s="44" t="s">
        <v>11</v>
      </c>
      <c r="C151" s="44">
        <f>'BCI '!H166</f>
        <v>0</v>
      </c>
      <c r="D151" s="47">
        <f>Security!F76</f>
        <v>0</v>
      </c>
      <c r="E151" s="44"/>
      <c r="F151" s="44">
        <f t="shared" si="2"/>
        <v>0</v>
      </c>
      <c r="G151" s="47">
        <f t="shared" si="4"/>
        <v>0</v>
      </c>
      <c r="H151" s="47">
        <f t="shared" si="3"/>
        <v>0</v>
      </c>
      <c r="J151" s="221">
        <f t="shared" si="5"/>
        <v>78128</v>
      </c>
      <c r="K151" s="49" t="s">
        <v>181</v>
      </c>
      <c r="L151" s="153">
        <f t="shared" si="6"/>
        <v>-78128</v>
      </c>
      <c r="N151" s="19"/>
      <c r="O151" s="19"/>
      <c r="P151" s="19"/>
      <c r="Q151" s="19"/>
      <c r="R151" s="19"/>
      <c r="S151" s="19"/>
      <c r="T151" s="19"/>
      <c r="U151" s="19"/>
      <c r="V151" s="21"/>
    </row>
    <row r="152" spans="2:24" x14ac:dyDescent="0.25">
      <c r="B152" s="44" t="s">
        <v>19</v>
      </c>
      <c r="C152" s="44">
        <f>'BCI '!H167</f>
        <v>4366842</v>
      </c>
      <c r="D152" s="47">
        <f>Security!F77</f>
        <v>0</v>
      </c>
      <c r="E152" s="44"/>
      <c r="F152" s="44">
        <f t="shared" si="2"/>
        <v>4366842</v>
      </c>
      <c r="G152" s="47"/>
      <c r="H152" s="47">
        <f t="shared" si="3"/>
        <v>4366842</v>
      </c>
      <c r="J152" s="221">
        <f t="shared" si="5"/>
        <v>1585407</v>
      </c>
      <c r="K152" s="49" t="s">
        <v>183</v>
      </c>
      <c r="L152" s="153">
        <f t="shared" si="6"/>
        <v>-1585407</v>
      </c>
      <c r="N152" s="19"/>
      <c r="O152" s="19"/>
      <c r="P152" s="19"/>
      <c r="Q152" s="19"/>
      <c r="R152" s="19"/>
      <c r="S152" s="19"/>
      <c r="T152" s="19"/>
      <c r="U152" s="19"/>
      <c r="V152" s="21"/>
      <c r="W152" s="21"/>
      <c r="X152" s="21"/>
    </row>
    <row r="153" spans="2:24" x14ac:dyDescent="0.25">
      <c r="B153" s="44" t="s">
        <v>172</v>
      </c>
      <c r="C153" s="44">
        <f>'BCI '!H168</f>
        <v>1441017</v>
      </c>
      <c r="D153" s="47">
        <f>Security!F78</f>
        <v>0</v>
      </c>
      <c r="E153" s="44"/>
      <c r="F153" s="44">
        <f t="shared" si="2"/>
        <v>1441017</v>
      </c>
      <c r="G153" s="47">
        <f>F153*0.19</f>
        <v>273793.23</v>
      </c>
      <c r="H153" s="47">
        <f t="shared" si="3"/>
        <v>1167223.77</v>
      </c>
      <c r="J153" s="221">
        <f t="shared" si="5"/>
        <v>173858</v>
      </c>
      <c r="K153" s="49" t="s">
        <v>56</v>
      </c>
      <c r="L153" s="153">
        <f t="shared" si="6"/>
        <v>-173858</v>
      </c>
      <c r="M153" s="72"/>
      <c r="N153" s="19"/>
      <c r="O153" s="19"/>
      <c r="P153" s="19"/>
      <c r="Q153" s="19"/>
      <c r="R153" s="19"/>
      <c r="S153" s="19"/>
      <c r="T153" s="19"/>
      <c r="U153" s="19"/>
      <c r="V153" s="21"/>
      <c r="W153" s="21"/>
      <c r="X153" s="21"/>
    </row>
    <row r="154" spans="2:24" x14ac:dyDescent="0.25">
      <c r="B154" s="44" t="s">
        <v>30</v>
      </c>
      <c r="C154" s="44">
        <f>'BCI '!H169</f>
        <v>7734534.0999999996</v>
      </c>
      <c r="D154" s="47">
        <f>Security!F79</f>
        <v>1529205</v>
      </c>
      <c r="E154" s="44"/>
      <c r="F154" s="44">
        <f t="shared" si="2"/>
        <v>9263739.0999999996</v>
      </c>
      <c r="G154" s="47"/>
      <c r="H154" s="47">
        <f t="shared" si="3"/>
        <v>9263739.0999999996</v>
      </c>
      <c r="J154" s="221">
        <f t="shared" si="5"/>
        <v>0</v>
      </c>
      <c r="K154" s="49" t="s">
        <v>186</v>
      </c>
      <c r="L154" s="153">
        <f t="shared" si="6"/>
        <v>0</v>
      </c>
      <c r="Q154" s="19"/>
      <c r="R154" s="19"/>
      <c r="S154" s="19"/>
      <c r="T154" s="19"/>
      <c r="U154" s="21"/>
      <c r="V154" s="21"/>
      <c r="W154" s="21"/>
      <c r="X154" s="21"/>
    </row>
    <row r="155" spans="2:24" x14ac:dyDescent="0.25">
      <c r="B155" s="44" t="s">
        <v>134</v>
      </c>
      <c r="C155" s="44">
        <f>'BCI '!H170</f>
        <v>7660</v>
      </c>
      <c r="D155" s="47">
        <f>Security!F80</f>
        <v>15028000</v>
      </c>
      <c r="E155" s="44"/>
      <c r="F155" s="44">
        <f t="shared" si="2"/>
        <v>15035660</v>
      </c>
      <c r="G155" s="47"/>
      <c r="H155" s="47">
        <f t="shared" si="3"/>
        <v>15035660</v>
      </c>
      <c r="J155" s="221">
        <f t="shared" si="5"/>
        <v>0</v>
      </c>
      <c r="K155" s="49" t="s">
        <v>68</v>
      </c>
      <c r="L155" s="153">
        <f t="shared" si="6"/>
        <v>0</v>
      </c>
      <c r="O155" s="21"/>
      <c r="Q155" s="19"/>
      <c r="R155" s="19"/>
      <c r="S155" s="19"/>
      <c r="T155" s="19"/>
      <c r="U155" s="21"/>
      <c r="V155" s="21"/>
      <c r="W155" s="21"/>
      <c r="X155" s="21"/>
    </row>
    <row r="156" spans="2:24" x14ac:dyDescent="0.25">
      <c r="B156" s="44" t="s">
        <v>135</v>
      </c>
      <c r="C156" s="44">
        <f>'BCI '!H171</f>
        <v>-21341020</v>
      </c>
      <c r="D156" s="47">
        <f>Security!F81</f>
        <v>-25353287.370000001</v>
      </c>
      <c r="E156" s="44"/>
      <c r="F156" s="44">
        <f t="shared" si="2"/>
        <v>-46694307.370000005</v>
      </c>
      <c r="G156" s="47"/>
      <c r="H156" s="47">
        <f t="shared" si="3"/>
        <v>-46694307.370000005</v>
      </c>
      <c r="J156" s="221">
        <f t="shared" si="5"/>
        <v>351894</v>
      </c>
      <c r="K156" s="49" t="s">
        <v>148</v>
      </c>
      <c r="L156" s="153">
        <f t="shared" si="6"/>
        <v>-351894</v>
      </c>
      <c r="N156" s="19"/>
      <c r="O156" s="21"/>
      <c r="Q156" s="19"/>
      <c r="R156" s="19"/>
      <c r="S156" s="19"/>
      <c r="T156" s="19"/>
      <c r="U156" s="21"/>
      <c r="V156" s="21"/>
      <c r="W156" s="21"/>
      <c r="X156" s="21"/>
    </row>
    <row r="157" spans="2:24" x14ac:dyDescent="0.25">
      <c r="B157" s="44" t="s">
        <v>173</v>
      </c>
      <c r="C157" s="44">
        <f>'BCI '!H172</f>
        <v>-615690</v>
      </c>
      <c r="D157" s="47">
        <f>Security!F82</f>
        <v>0</v>
      </c>
      <c r="E157" s="44"/>
      <c r="F157" s="44">
        <f t="shared" si="2"/>
        <v>-615690</v>
      </c>
      <c r="G157" s="47"/>
      <c r="H157" s="47">
        <f t="shared" si="3"/>
        <v>-615690</v>
      </c>
      <c r="J157" s="69">
        <f>SUM(J148:J156)</f>
        <v>2739959</v>
      </c>
      <c r="K157" s="68"/>
      <c r="L157" s="19"/>
      <c r="N157" s="19"/>
      <c r="O157" s="21"/>
      <c r="Q157" s="19"/>
      <c r="R157" s="19"/>
      <c r="S157" s="19"/>
      <c r="T157" s="19"/>
      <c r="U157" s="21"/>
      <c r="V157" s="21"/>
      <c r="W157" s="21"/>
      <c r="X157" s="21"/>
    </row>
    <row r="158" spans="2:24" x14ac:dyDescent="0.25">
      <c r="B158" s="44" t="s">
        <v>174</v>
      </c>
      <c r="C158" s="44">
        <f>'BCI '!H173</f>
        <v>-8593</v>
      </c>
      <c r="D158" s="47">
        <f>Security!F83</f>
        <v>0</v>
      </c>
      <c r="E158" s="44"/>
      <c r="F158" s="44">
        <f t="shared" si="2"/>
        <v>-8593</v>
      </c>
      <c r="G158" s="47"/>
      <c r="H158" s="47">
        <f t="shared" si="3"/>
        <v>-8593</v>
      </c>
      <c r="J158" s="19"/>
      <c r="K158" s="19"/>
      <c r="L158" s="19"/>
      <c r="N158" s="19"/>
      <c r="O158" s="21"/>
      <c r="Q158" s="19"/>
      <c r="R158" s="19"/>
      <c r="S158" s="19"/>
      <c r="T158" s="19"/>
      <c r="U158" s="21"/>
      <c r="V158" s="21"/>
      <c r="W158" s="21"/>
      <c r="X158" s="21"/>
    </row>
    <row r="159" spans="2:24" x14ac:dyDescent="0.25">
      <c r="B159" s="120" t="s">
        <v>22</v>
      </c>
      <c r="C159" s="120">
        <f>SUM(C142:C158)</f>
        <v>5034611.4074999988</v>
      </c>
      <c r="D159" s="121">
        <f>SUM(D142:D158)</f>
        <v>-6881034.370000001</v>
      </c>
      <c r="E159" s="120"/>
      <c r="F159" s="120">
        <f>SUM(F142:F158)</f>
        <v>-1846422.962500006</v>
      </c>
      <c r="G159" s="121">
        <f>SUM(G142:G158)</f>
        <v>1541997.06</v>
      </c>
      <c r="H159" s="121"/>
      <c r="J159" s="19"/>
      <c r="K159" s="19"/>
      <c r="L159" s="19"/>
      <c r="N159" s="19"/>
      <c r="O159" s="21"/>
      <c r="Q159" s="21"/>
      <c r="R159" s="21"/>
      <c r="S159" s="21"/>
      <c r="T159" s="21"/>
      <c r="U159" s="21"/>
      <c r="V159" s="21"/>
      <c r="W159" s="21"/>
      <c r="X159" s="21"/>
    </row>
    <row r="160" spans="2:24" x14ac:dyDescent="0.25">
      <c r="B160" s="44"/>
      <c r="C160" s="44"/>
      <c r="D160" s="47"/>
      <c r="E160" s="44"/>
      <c r="F160" s="44"/>
      <c r="K160" s="19"/>
      <c r="L160" s="19"/>
      <c r="N160" s="19"/>
      <c r="O160" s="21"/>
      <c r="Q160" s="21"/>
      <c r="R160" s="21"/>
      <c r="S160" s="21"/>
      <c r="T160" s="21"/>
      <c r="U160" s="21"/>
      <c r="V160" s="21"/>
      <c r="W160" s="21"/>
      <c r="X160" s="21"/>
    </row>
    <row r="161" spans="1:24" ht="18.75" x14ac:dyDescent="0.3">
      <c r="B161" s="44"/>
      <c r="C161" s="44"/>
      <c r="D161" s="47"/>
      <c r="E161" s="44"/>
      <c r="F161" s="123"/>
      <c r="G161" s="123"/>
      <c r="H161" s="124"/>
      <c r="K161" s="19"/>
      <c r="L161" s="19"/>
      <c r="N161" s="19"/>
      <c r="O161" s="21"/>
      <c r="Q161" s="21"/>
      <c r="R161" s="21"/>
      <c r="S161" s="21"/>
      <c r="T161" s="21"/>
      <c r="U161" s="21"/>
      <c r="V161" s="21"/>
      <c r="W161" s="21"/>
      <c r="X161" s="21"/>
    </row>
    <row r="162" spans="1:24" ht="18.75" x14ac:dyDescent="0.3">
      <c r="A162" s="21"/>
      <c r="B162" s="44"/>
      <c r="C162" s="44"/>
      <c r="D162" s="47"/>
      <c r="E162" s="47"/>
      <c r="F162" s="123"/>
      <c r="G162" s="123"/>
      <c r="H162" s="124"/>
      <c r="K162" s="19"/>
      <c r="L162" s="19"/>
      <c r="O162" s="21"/>
      <c r="Q162" s="21"/>
      <c r="R162" s="21"/>
      <c r="S162" s="21"/>
      <c r="T162" s="21"/>
      <c r="U162" s="21"/>
      <c r="V162" s="21"/>
      <c r="W162" s="21"/>
      <c r="X162" s="21"/>
    </row>
    <row r="163" spans="1:24" ht="18.75" x14ac:dyDescent="0.3">
      <c r="A163" s="21"/>
      <c r="B163" s="120" t="s">
        <v>22</v>
      </c>
      <c r="C163" s="120"/>
      <c r="D163" s="121"/>
      <c r="E163" s="30"/>
      <c r="F163" s="30"/>
      <c r="G163" s="30"/>
      <c r="H163" s="125">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count="2">
    <dataValidation type="list" allowBlank="1" showInputMessage="1" showErrorMessage="1" sqref="I61 K23:K25 I116:I121">
      <formula1>Clasificación</formula1>
    </dataValidation>
    <dataValidation type="list" allowBlank="1" showInputMessage="1" showErrorMessage="1" sqref="I80:I115 I2:I60 K15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baseColWidth="10" defaultRowHeight="15" x14ac:dyDescent="0.25"/>
  <cols>
    <col min="1" max="1" width="51" customWidth="1"/>
  </cols>
  <sheetData>
    <row r="1" spans="1:1" ht="26.25" x14ac:dyDescent="0.4">
      <c r="A1" s="216" t="s">
        <v>166</v>
      </c>
    </row>
    <row r="2" spans="1:1" ht="26.25" x14ac:dyDescent="0.4">
      <c r="A2" s="217" t="s">
        <v>168</v>
      </c>
    </row>
    <row r="3" spans="1:1" ht="26.25" x14ac:dyDescent="0.4">
      <c r="A3" s="217" t="s">
        <v>31</v>
      </c>
    </row>
    <row r="4" spans="1:1" ht="26.25" x14ac:dyDescent="0.4">
      <c r="A4" s="217" t="s">
        <v>101</v>
      </c>
    </row>
    <row r="5" spans="1:1" ht="26.25" x14ac:dyDescent="0.4">
      <c r="A5" s="218" t="s">
        <v>167</v>
      </c>
    </row>
    <row r="6" spans="1:1" ht="26.25" x14ac:dyDescent="0.4">
      <c r="A6" s="218" t="s">
        <v>8</v>
      </c>
    </row>
    <row r="7" spans="1:1" ht="26.25" x14ac:dyDescent="0.4">
      <c r="A7" s="219" t="s">
        <v>169</v>
      </c>
    </row>
    <row r="8" spans="1:1" ht="26.25" x14ac:dyDescent="0.4">
      <c r="A8" s="217" t="s">
        <v>171</v>
      </c>
    </row>
    <row r="9" spans="1:1" ht="26.25" x14ac:dyDescent="0.4">
      <c r="A9" s="217" t="s">
        <v>170</v>
      </c>
    </row>
    <row r="10" spans="1:1" ht="26.25" x14ac:dyDescent="0.4">
      <c r="A10" s="219" t="s">
        <v>24</v>
      </c>
    </row>
    <row r="11" spans="1:1" ht="26.25" x14ac:dyDescent="0.4">
      <c r="A11" s="217" t="s">
        <v>11</v>
      </c>
    </row>
    <row r="12" spans="1:1" ht="26.25" x14ac:dyDescent="0.4">
      <c r="A12" s="217" t="s">
        <v>19</v>
      </c>
    </row>
    <row r="13" spans="1:1" ht="26.25" x14ac:dyDescent="0.4">
      <c r="A13" s="218" t="s">
        <v>172</v>
      </c>
    </row>
    <row r="14" spans="1:1" ht="26.25" x14ac:dyDescent="0.4">
      <c r="A14" s="217" t="s">
        <v>30</v>
      </c>
    </row>
    <row r="15" spans="1:1" ht="26.25" x14ac:dyDescent="0.4">
      <c r="A15" s="218" t="s">
        <v>134</v>
      </c>
    </row>
    <row r="16" spans="1:1" ht="26.25" x14ac:dyDescent="0.4">
      <c r="A16" s="217" t="s">
        <v>135</v>
      </c>
    </row>
    <row r="17" spans="1:1" ht="26.25" x14ac:dyDescent="0.4">
      <c r="A17" s="217" t="s">
        <v>173</v>
      </c>
    </row>
    <row r="18" spans="1:1" ht="26.25" x14ac:dyDescent="0.4">
      <c r="A18" s="217" t="s">
        <v>174</v>
      </c>
    </row>
    <row r="19" spans="1:1" ht="26.25" x14ac:dyDescent="0.4">
      <c r="A19" s="220" t="s">
        <v>196</v>
      </c>
    </row>
    <row r="20" spans="1:1" ht="21.6" customHeight="1" x14ac:dyDescent="0.4">
      <c r="A20" s="220" t="s">
        <v>210</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207</v>
      </c>
    </row>
    <row r="3" spans="2:7" x14ac:dyDescent="0.25">
      <c r="B3" t="s">
        <v>204</v>
      </c>
      <c r="C3" t="s">
        <v>123</v>
      </c>
      <c r="D3" t="s">
        <v>128</v>
      </c>
      <c r="E3" t="s">
        <v>149</v>
      </c>
      <c r="F3" s="226">
        <v>1817451</v>
      </c>
      <c r="G3" t="s">
        <v>206</v>
      </c>
    </row>
    <row r="4" spans="2:7" x14ac:dyDescent="0.25">
      <c r="B4" s="194">
        <v>42867</v>
      </c>
      <c r="C4" t="s">
        <v>205</v>
      </c>
      <c r="D4">
        <v>18220448</v>
      </c>
      <c r="E4">
        <v>0</v>
      </c>
      <c r="F4" s="226">
        <v>4684019</v>
      </c>
      <c r="G4" t="s">
        <v>208</v>
      </c>
    </row>
    <row r="5" spans="2:7" x14ac:dyDescent="0.25">
      <c r="F5" s="226">
        <f>SUM(F3:F4)</f>
        <v>6501470</v>
      </c>
    </row>
    <row r="6" spans="2:7" x14ac:dyDescent="0.25">
      <c r="E6" t="s">
        <v>82</v>
      </c>
      <c r="F6" s="226">
        <f>+F5/1.19</f>
        <v>5463420.1680672271</v>
      </c>
    </row>
    <row r="7" spans="2:7" x14ac:dyDescent="0.25">
      <c r="E7" t="s">
        <v>83</v>
      </c>
      <c r="F7" s="226">
        <f>+F6*0.19</f>
        <v>1038049.8319327731</v>
      </c>
    </row>
    <row r="8" spans="2:7" x14ac:dyDescent="0.25">
      <c r="F8" s="2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Nov</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2023-02-26T19:05:27Z</dcterms:modified>
</cp:coreProperties>
</file>