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3\11.-Noviembre\"/>
    </mc:Choice>
  </mc:AlternateContent>
  <xr:revisionPtr revIDLastSave="0" documentId="13_ncr:1_{49A3D172-1108-4394-9BF0-0587920B9D48}" xr6:coauthVersionLast="47" xr6:coauthVersionMax="47" xr10:uidLastSave="{00000000-0000-0000-0000-000000000000}"/>
  <bookViews>
    <workbookView xWindow="-28920" yWindow="1530" windowWidth="29040" windowHeight="15840" activeTab="5" xr2:uid="{00000000-000D-0000-FFFF-FFFF00000000}"/>
  </bookViews>
  <sheets>
    <sheet name="EERR" sheetId="11" r:id="rId1"/>
    <sheet name="Nov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1" sheetId="36" r:id="rId9"/>
    <sheet name="Hoja2" sheetId="46" r:id="rId10"/>
  </sheets>
  <externalReferences>
    <externalReference r:id="rId11"/>
  </externalReferences>
  <definedNames>
    <definedName name="_xlnm._FilterDatabase" localSheetId="5" hidden="1">'BCI '!$B$2:$K$123</definedName>
    <definedName name="_xlnm._FilterDatabase" localSheetId="7" hidden="1">'BCI FondRendir'!$A$1:$J$244</definedName>
    <definedName name="_xlnm._FilterDatabase" localSheetId="9" hidden="1">Hoja2!$B$3:$B$83</definedName>
    <definedName name="_xlnm._FilterDatabase" localSheetId="1" hidden="1">Nov!$A$2:$X$124</definedName>
    <definedName name="_xlnm._FilterDatabase" localSheetId="2" hidden="1">S!$A$4:$O$102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T!$A$3:$V$412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1" i="15" l="1"/>
  <c r="F122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B371" i="41" l="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X3" i="16" s="1"/>
  <c r="B391" i="41"/>
  <c r="B392" i="41"/>
  <c r="B393" i="41"/>
  <c r="B394" i="41"/>
  <c r="B395" i="41"/>
  <c r="B396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B283" i="41"/>
  <c r="B284" i="41"/>
  <c r="B285" i="41"/>
  <c r="B286" i="41"/>
  <c r="B287" i="41"/>
  <c r="B288" i="41"/>
  <c r="B289" i="41"/>
  <c r="B290" i="41"/>
  <c r="B291" i="41"/>
  <c r="B292" i="41"/>
  <c r="S103" i="16"/>
  <c r="T103" i="16"/>
  <c r="U103" i="16" s="1"/>
  <c r="S104" i="16"/>
  <c r="T104" i="16"/>
  <c r="S105" i="16"/>
  <c r="T105" i="16"/>
  <c r="S106" i="16"/>
  <c r="V106" i="16" s="1"/>
  <c r="T106" i="16"/>
  <c r="U106" i="16"/>
  <c r="S107" i="16"/>
  <c r="U107" i="16" s="1"/>
  <c r="T107" i="16"/>
  <c r="V107" i="16" s="1"/>
  <c r="S108" i="16"/>
  <c r="T108" i="16"/>
  <c r="V108" i="16" s="1"/>
  <c r="S76" i="16"/>
  <c r="U76" i="16" s="1"/>
  <c r="T76" i="16"/>
  <c r="S41" i="16"/>
  <c r="T41" i="16"/>
  <c r="S42" i="16"/>
  <c r="T42" i="16"/>
  <c r="S43" i="16"/>
  <c r="T43" i="16"/>
  <c r="U43" i="16" s="1"/>
  <c r="S44" i="16"/>
  <c r="V44" i="16" s="1"/>
  <c r="T44" i="16"/>
  <c r="U44" i="16"/>
  <c r="S45" i="16"/>
  <c r="T45" i="16"/>
  <c r="V45" i="16" s="1"/>
  <c r="S46" i="16"/>
  <c r="U46" i="16" s="1"/>
  <c r="T46" i="16"/>
  <c r="S47" i="16"/>
  <c r="U47" i="16" s="1"/>
  <c r="T47" i="16"/>
  <c r="S48" i="16"/>
  <c r="U48" i="16" s="1"/>
  <c r="T48" i="16"/>
  <c r="S49" i="16"/>
  <c r="T49" i="16"/>
  <c r="V49" i="16" s="1"/>
  <c r="W49" i="16"/>
  <c r="S50" i="16"/>
  <c r="T50" i="16"/>
  <c r="V50" i="16" s="1"/>
  <c r="W50" i="16"/>
  <c r="S51" i="16"/>
  <c r="T51" i="16"/>
  <c r="U51" i="16" s="1"/>
  <c r="W51" i="16"/>
  <c r="S52" i="16"/>
  <c r="T52" i="16"/>
  <c r="U52" i="16"/>
  <c r="W52" i="16"/>
  <c r="S53" i="16"/>
  <c r="T53" i="16"/>
  <c r="W53" i="16"/>
  <c r="S54" i="16"/>
  <c r="U54" i="16" s="1"/>
  <c r="T54" i="16"/>
  <c r="W54" i="16"/>
  <c r="J63" i="16"/>
  <c r="K63" i="16"/>
  <c r="L63" i="16"/>
  <c r="M63" i="16"/>
  <c r="N63" i="16"/>
  <c r="O63" i="16"/>
  <c r="P63" i="16"/>
  <c r="Q63" i="16"/>
  <c r="R63" i="16"/>
  <c r="U42" i="16" l="1"/>
  <c r="U104" i="16"/>
  <c r="V48" i="16"/>
  <c r="V52" i="16"/>
  <c r="U45" i="16"/>
  <c r="U41" i="16"/>
  <c r="U50" i="16"/>
  <c r="V54" i="16"/>
  <c r="V47" i="16"/>
  <c r="V76" i="16"/>
  <c r="V46" i="16"/>
  <c r="U105" i="16"/>
  <c r="U108" i="16"/>
  <c r="V53" i="16"/>
  <c r="U49" i="16"/>
  <c r="V103" i="16"/>
  <c r="V104" i="16"/>
  <c r="V105" i="16"/>
  <c r="U53" i="16"/>
  <c r="V41" i="16"/>
  <c r="V42" i="16"/>
  <c r="V51" i="16"/>
  <c r="V43" i="16"/>
  <c r="A117" i="41" l="1"/>
  <c r="A118" i="41"/>
  <c r="A119" i="41"/>
  <c r="A120" i="41"/>
  <c r="A121" i="41"/>
  <c r="A122" i="41"/>
  <c r="A123" i="41"/>
  <c r="E73" i="44" l="1"/>
  <c r="F73" i="44"/>
  <c r="G73" i="44"/>
  <c r="H73" i="44"/>
  <c r="I73" i="44"/>
  <c r="J73" i="44"/>
  <c r="L73" i="44"/>
  <c r="E74" i="44"/>
  <c r="F74" i="44"/>
  <c r="G74" i="44"/>
  <c r="H74" i="44"/>
  <c r="I74" i="44"/>
  <c r="J74" i="44"/>
  <c r="L74" i="44"/>
  <c r="E66" i="44"/>
  <c r="F66" i="44"/>
  <c r="G66" i="44"/>
  <c r="H66" i="44"/>
  <c r="I66" i="44"/>
  <c r="J66" i="44"/>
  <c r="K66" i="44"/>
  <c r="L66" i="44"/>
  <c r="E67" i="44"/>
  <c r="F67" i="44"/>
  <c r="G67" i="44"/>
  <c r="H67" i="44"/>
  <c r="I67" i="44"/>
  <c r="J67" i="44"/>
  <c r="L67" i="44"/>
  <c r="E68" i="44"/>
  <c r="F68" i="44"/>
  <c r="G68" i="44"/>
  <c r="H68" i="44"/>
  <c r="I68" i="44"/>
  <c r="J68" i="44"/>
  <c r="L68" i="44"/>
  <c r="E69" i="44"/>
  <c r="F69" i="44"/>
  <c r="G69" i="44"/>
  <c r="H69" i="44"/>
  <c r="I69" i="44"/>
  <c r="J69" i="44"/>
  <c r="L69" i="44"/>
  <c r="E70" i="44"/>
  <c r="F70" i="44"/>
  <c r="G70" i="44"/>
  <c r="H70" i="44"/>
  <c r="I70" i="44"/>
  <c r="J70" i="44"/>
  <c r="K70" i="44"/>
  <c r="L70" i="44"/>
  <c r="U70" i="44" s="1"/>
  <c r="E71" i="44"/>
  <c r="F71" i="44"/>
  <c r="G71" i="44"/>
  <c r="H71" i="44"/>
  <c r="I71" i="44"/>
  <c r="J71" i="44"/>
  <c r="L71" i="44"/>
  <c r="E72" i="44"/>
  <c r="F72" i="44"/>
  <c r="G72" i="44"/>
  <c r="H72" i="44"/>
  <c r="I72" i="44"/>
  <c r="J72" i="44"/>
  <c r="L72" i="44"/>
  <c r="K68" i="38"/>
  <c r="M68" i="38"/>
  <c r="N68" i="38" s="1"/>
  <c r="K69" i="38"/>
  <c r="K67" i="44" s="1"/>
  <c r="U67" i="44" s="1"/>
  <c r="M69" i="38"/>
  <c r="N69" i="38" s="1"/>
  <c r="K70" i="38"/>
  <c r="K68" i="44" s="1"/>
  <c r="U68" i="44" s="1"/>
  <c r="M70" i="38"/>
  <c r="N70" i="38" s="1"/>
  <c r="K71" i="38"/>
  <c r="K69" i="44" s="1"/>
  <c r="M71" i="38"/>
  <c r="N71" i="38" s="1"/>
  <c r="K72" i="38"/>
  <c r="M72" i="38" s="1"/>
  <c r="N72" i="38" s="1"/>
  <c r="K73" i="38"/>
  <c r="K71" i="44" s="1"/>
  <c r="U71" i="44" s="1"/>
  <c r="M73" i="38"/>
  <c r="N73" i="38"/>
  <c r="K74" i="38"/>
  <c r="K72" i="44" s="1"/>
  <c r="M74" i="38"/>
  <c r="N74" i="38" s="1"/>
  <c r="K75" i="38"/>
  <c r="K73" i="44" s="1"/>
  <c r="U73" i="44" s="1"/>
  <c r="M75" i="38"/>
  <c r="N75" i="38" s="1"/>
  <c r="K76" i="38"/>
  <c r="M76" i="38" s="1"/>
  <c r="N76" i="38" s="1"/>
  <c r="O76" i="38" l="1"/>
  <c r="W108" i="16"/>
  <c r="O72" i="38"/>
  <c r="W45" i="16"/>
  <c r="O75" i="38"/>
  <c r="W48" i="16"/>
  <c r="O71" i="38"/>
  <c r="W107" i="16"/>
  <c r="U66" i="44"/>
  <c r="O74" i="38"/>
  <c r="W47" i="16"/>
  <c r="O73" i="38"/>
  <c r="W46" i="16"/>
  <c r="O68" i="38"/>
  <c r="W42" i="16"/>
  <c r="O69" i="38"/>
  <c r="W43" i="16"/>
  <c r="K74" i="44"/>
  <c r="U74" i="44" s="1"/>
  <c r="U72" i="44"/>
  <c r="U69" i="44"/>
  <c r="O70" i="38"/>
  <c r="W44" i="16"/>
  <c r="S31" i="16"/>
  <c r="J16" i="15" l="1"/>
  <c r="S101" i="16"/>
  <c r="T101" i="16"/>
  <c r="S102" i="16"/>
  <c r="T102" i="16"/>
  <c r="V102" i="16" s="1"/>
  <c r="S68" i="16"/>
  <c r="T68" i="16"/>
  <c r="V68" i="16" s="1"/>
  <c r="S69" i="16"/>
  <c r="T69" i="16"/>
  <c r="V69" i="16" s="1"/>
  <c r="S70" i="16"/>
  <c r="U70" i="16" s="1"/>
  <c r="T70" i="16"/>
  <c r="S71" i="16"/>
  <c r="T71" i="16"/>
  <c r="S72" i="16"/>
  <c r="T72" i="16"/>
  <c r="S73" i="16"/>
  <c r="T73" i="16"/>
  <c r="V73" i="16" s="1"/>
  <c r="S74" i="16"/>
  <c r="T74" i="16"/>
  <c r="U74" i="16"/>
  <c r="S75" i="16"/>
  <c r="T75" i="16"/>
  <c r="S39" i="16"/>
  <c r="T39" i="16"/>
  <c r="S40" i="16"/>
  <c r="T40" i="16"/>
  <c r="S55" i="16"/>
  <c r="T55" i="16"/>
  <c r="S56" i="16"/>
  <c r="T56" i="16"/>
  <c r="V56" i="16" s="1"/>
  <c r="S57" i="16"/>
  <c r="T57" i="16"/>
  <c r="V57" i="16" s="1"/>
  <c r="S58" i="16"/>
  <c r="T58" i="16"/>
  <c r="S59" i="16"/>
  <c r="U59" i="16" s="1"/>
  <c r="T59" i="16"/>
  <c r="S62" i="16"/>
  <c r="T62" i="16"/>
  <c r="U69" i="16" l="1"/>
  <c r="U102" i="16"/>
  <c r="U72" i="16"/>
  <c r="U68" i="16"/>
  <c r="V71" i="16"/>
  <c r="V101" i="16"/>
  <c r="U101" i="16"/>
  <c r="V74" i="16"/>
  <c r="U71" i="16"/>
  <c r="U73" i="16"/>
  <c r="U75" i="16"/>
  <c r="V72" i="16"/>
  <c r="U57" i="16"/>
  <c r="U58" i="16"/>
  <c r="V59" i="16"/>
  <c r="V62" i="16"/>
  <c r="U56" i="16"/>
  <c r="U40" i="16"/>
  <c r="U39" i="16"/>
  <c r="U55" i="16"/>
  <c r="U62" i="16"/>
  <c r="V58" i="16"/>
  <c r="V39" i="16"/>
  <c r="V55" i="16"/>
  <c r="V75" i="16"/>
  <c r="V70" i="16"/>
  <c r="V40" i="16"/>
  <c r="A279" i="41" l="1"/>
  <c r="A280" i="41"/>
  <c r="A281" i="41"/>
  <c r="A282" i="41"/>
  <c r="E62" i="44" l="1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K50" i="38"/>
  <c r="M50" i="38" s="1"/>
  <c r="N50" i="38" s="1"/>
  <c r="K51" i="38"/>
  <c r="K49" i="44" s="1"/>
  <c r="K52" i="38"/>
  <c r="K50" i="44" s="1"/>
  <c r="K53" i="38"/>
  <c r="M53" i="38" s="1"/>
  <c r="N53" i="38" s="1"/>
  <c r="O53" i="38" s="1"/>
  <c r="K54" i="38"/>
  <c r="M54" i="38" s="1"/>
  <c r="N54" i="38" s="1"/>
  <c r="O54" i="38" s="1"/>
  <c r="K55" i="38"/>
  <c r="K53" i="44" s="1"/>
  <c r="K56" i="38"/>
  <c r="M56" i="38" s="1"/>
  <c r="N56" i="38" s="1"/>
  <c r="K57" i="38"/>
  <c r="K55" i="44" s="1"/>
  <c r="K58" i="38"/>
  <c r="K56" i="44" s="1"/>
  <c r="K59" i="38"/>
  <c r="K57" i="44" s="1"/>
  <c r="K60" i="38"/>
  <c r="M60" i="38" s="1"/>
  <c r="N60" i="38" s="1"/>
  <c r="K61" i="38"/>
  <c r="K59" i="44" s="1"/>
  <c r="K62" i="38"/>
  <c r="K60" i="44" s="1"/>
  <c r="K63" i="38"/>
  <c r="K61" i="44" s="1"/>
  <c r="K64" i="38"/>
  <c r="K62" i="44" s="1"/>
  <c r="K65" i="38"/>
  <c r="K63" i="44" s="1"/>
  <c r="K66" i="38"/>
  <c r="K64" i="44" s="1"/>
  <c r="K67" i="38"/>
  <c r="M67" i="38" s="1"/>
  <c r="N67" i="38" s="1"/>
  <c r="W76" i="16" s="1"/>
  <c r="O50" i="38" l="1"/>
  <c r="W103" i="16"/>
  <c r="M59" i="38"/>
  <c r="N59" i="38" s="1"/>
  <c r="W105" i="16" s="1"/>
  <c r="M65" i="38"/>
  <c r="N65" i="38" s="1"/>
  <c r="O65" i="38" s="1"/>
  <c r="M61" i="38"/>
  <c r="N61" i="38" s="1"/>
  <c r="O61" i="38" s="1"/>
  <c r="M58" i="38"/>
  <c r="N58" i="38" s="1"/>
  <c r="O58" i="38" s="1"/>
  <c r="M63" i="38"/>
  <c r="N63" i="38" s="1"/>
  <c r="O63" i="38" s="1"/>
  <c r="M66" i="38"/>
  <c r="N66" i="38" s="1"/>
  <c r="W41" i="16" s="1"/>
  <c r="M62" i="38"/>
  <c r="N62" i="38" s="1"/>
  <c r="M52" i="38"/>
  <c r="N52" i="38" s="1"/>
  <c r="O52" i="38" s="1"/>
  <c r="M57" i="38"/>
  <c r="N57" i="38" s="1"/>
  <c r="M51" i="38"/>
  <c r="N51" i="38" s="1"/>
  <c r="O51" i="38" s="1"/>
  <c r="U57" i="44"/>
  <c r="M64" i="38"/>
  <c r="N64" i="38" s="1"/>
  <c r="M55" i="38"/>
  <c r="N55" i="38" s="1"/>
  <c r="O55" i="38" s="1"/>
  <c r="O67" i="38"/>
  <c r="W62" i="16"/>
  <c r="W57" i="16"/>
  <c r="O56" i="38"/>
  <c r="W39" i="16"/>
  <c r="O60" i="38"/>
  <c r="U60" i="44"/>
  <c r="U59" i="44"/>
  <c r="U56" i="44"/>
  <c r="U55" i="44"/>
  <c r="U53" i="44"/>
  <c r="K54" i="44"/>
  <c r="U54" i="44" s="1"/>
  <c r="K52" i="44"/>
  <c r="U52" i="44" s="1"/>
  <c r="K51" i="44"/>
  <c r="U51" i="44" s="1"/>
  <c r="K48" i="44"/>
  <c r="U48" i="44" s="1"/>
  <c r="K65" i="44"/>
  <c r="U65" i="44" s="1"/>
  <c r="O59" i="38"/>
  <c r="W56" i="16"/>
  <c r="K58" i="44"/>
  <c r="U58" i="44" s="1"/>
  <c r="W58" i="16"/>
  <c r="W55" i="16"/>
  <c r="W59" i="16"/>
  <c r="O64" i="38"/>
  <c r="W75" i="16"/>
  <c r="W73" i="16"/>
  <c r="U61" i="44"/>
  <c r="U49" i="44"/>
  <c r="U64" i="44"/>
  <c r="U50" i="44"/>
  <c r="U63" i="44"/>
  <c r="U62" i="44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4" i="46"/>
  <c r="A113" i="41"/>
  <c r="A114" i="41"/>
  <c r="A115" i="41"/>
  <c r="A116" i="41"/>
  <c r="O57" i="38" l="1"/>
  <c r="W104" i="16"/>
  <c r="O66" i="38"/>
  <c r="O62" i="38"/>
  <c r="W106" i="16"/>
  <c r="W74" i="16"/>
  <c r="W40" i="16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54" i="41"/>
  <c r="A255" i="41"/>
  <c r="A256" i="41"/>
  <c r="A257" i="41"/>
  <c r="A258" i="41"/>
  <c r="A259" i="41"/>
  <c r="A260" i="41"/>
  <c r="A261" i="41"/>
  <c r="A262" i="41"/>
  <c r="A263" i="41"/>
  <c r="S4" i="16" l="1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S18" i="16"/>
  <c r="T18" i="16"/>
  <c r="S19" i="16"/>
  <c r="T19" i="16"/>
  <c r="S20" i="16"/>
  <c r="T20" i="16"/>
  <c r="S21" i="16"/>
  <c r="T21" i="16"/>
  <c r="S22" i="16"/>
  <c r="T22" i="16"/>
  <c r="S23" i="16"/>
  <c r="T23" i="16"/>
  <c r="S24" i="16"/>
  <c r="T24" i="16"/>
  <c r="S25" i="16"/>
  <c r="T25" i="16"/>
  <c r="S26" i="16"/>
  <c r="T26" i="16"/>
  <c r="S27" i="16"/>
  <c r="T27" i="16"/>
  <c r="S28" i="16"/>
  <c r="T28" i="16"/>
  <c r="S29" i="16"/>
  <c r="T29" i="16"/>
  <c r="S30" i="16"/>
  <c r="T30" i="16"/>
  <c r="T31" i="16"/>
  <c r="V31" i="16" s="1"/>
  <c r="S32" i="16"/>
  <c r="T32" i="16"/>
  <c r="S33" i="16"/>
  <c r="T33" i="16"/>
  <c r="V33" i="16" s="1"/>
  <c r="S34" i="16"/>
  <c r="T34" i="16"/>
  <c r="S35" i="16"/>
  <c r="T35" i="16"/>
  <c r="S36" i="16"/>
  <c r="T36" i="16"/>
  <c r="S37" i="16"/>
  <c r="T37" i="16"/>
  <c r="S38" i="16"/>
  <c r="T38" i="16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226" i="41"/>
  <c r="A227" i="41"/>
  <c r="A228" i="41"/>
  <c r="A229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V12" i="16" l="1"/>
  <c r="U7" i="16"/>
  <c r="V25" i="16"/>
  <c r="V7" i="16"/>
  <c r="V27" i="16"/>
  <c r="V11" i="16"/>
  <c r="V6" i="16"/>
  <c r="U15" i="16"/>
  <c r="U20" i="16"/>
  <c r="V38" i="16"/>
  <c r="U14" i="16"/>
  <c r="V4" i="16"/>
  <c r="U35" i="16"/>
  <c r="V24" i="16"/>
  <c r="U11" i="16"/>
  <c r="U9" i="16"/>
  <c r="U32" i="16"/>
  <c r="V26" i="16"/>
  <c r="V18" i="16"/>
  <c r="U17" i="16"/>
  <c r="V20" i="16"/>
  <c r="U34" i="16"/>
  <c r="U31" i="16"/>
  <c r="U21" i="16"/>
  <c r="V16" i="16"/>
  <c r="U24" i="16"/>
  <c r="U12" i="16"/>
  <c r="U23" i="16"/>
  <c r="V28" i="16"/>
  <c r="V30" i="16"/>
  <c r="V8" i="16"/>
  <c r="U27" i="16"/>
  <c r="U22" i="16"/>
  <c r="V10" i="16"/>
  <c r="U25" i="16"/>
  <c r="U37" i="16"/>
  <c r="V35" i="16"/>
  <c r="V32" i="16"/>
  <c r="U30" i="16"/>
  <c r="V15" i="16"/>
  <c r="U13" i="16"/>
  <c r="U10" i="16"/>
  <c r="U28" i="16"/>
  <c r="V23" i="16"/>
  <c r="U18" i="16"/>
  <c r="U5" i="16"/>
  <c r="U26" i="16"/>
  <c r="U16" i="16"/>
  <c r="U8" i="16"/>
  <c r="U33" i="16"/>
  <c r="U38" i="16"/>
  <c r="U36" i="16"/>
  <c r="V34" i="16"/>
  <c r="U29" i="16"/>
  <c r="U19" i="16"/>
  <c r="V17" i="16"/>
  <c r="V9" i="16"/>
  <c r="V22" i="16"/>
  <c r="U6" i="16"/>
  <c r="U4" i="16"/>
  <c r="V19" i="16"/>
  <c r="V21" i="16"/>
  <c r="V13" i="16"/>
  <c r="V5" i="16"/>
  <c r="V14" i="16"/>
  <c r="V36" i="16"/>
  <c r="V37" i="16"/>
  <c r="V29" i="16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K37" i="38"/>
  <c r="K35" i="44" s="1"/>
  <c r="K38" i="38"/>
  <c r="M38" i="38" s="1"/>
  <c r="N38" i="38" s="1"/>
  <c r="O38" i="38" s="1"/>
  <c r="K39" i="38"/>
  <c r="K37" i="44" s="1"/>
  <c r="K40" i="38"/>
  <c r="M40" i="38" s="1"/>
  <c r="N40" i="38" s="1"/>
  <c r="K41" i="38"/>
  <c r="K39" i="44" s="1"/>
  <c r="K42" i="38"/>
  <c r="M42" i="38" s="1"/>
  <c r="N42" i="38" s="1"/>
  <c r="K43" i="38"/>
  <c r="K41" i="44" s="1"/>
  <c r="K44" i="38"/>
  <c r="M44" i="38" s="1"/>
  <c r="N44" i="38" s="1"/>
  <c r="O44" i="38" s="1"/>
  <c r="K45" i="38"/>
  <c r="K43" i="44" s="1"/>
  <c r="K46" i="38"/>
  <c r="M46" i="38" s="1"/>
  <c r="N46" i="38" s="1"/>
  <c r="W72" i="16" s="1"/>
  <c r="K47" i="38"/>
  <c r="M47" i="38" s="1"/>
  <c r="N47" i="38" s="1"/>
  <c r="K48" i="38"/>
  <c r="M48" i="38" s="1"/>
  <c r="N48" i="38" s="1"/>
  <c r="K49" i="38"/>
  <c r="M49" i="38" s="1"/>
  <c r="N49" i="38" s="1"/>
  <c r="W102" i="16" s="1"/>
  <c r="M43" i="38" l="1"/>
  <c r="N43" i="38" s="1"/>
  <c r="O43" i="38" s="1"/>
  <c r="M41" i="38"/>
  <c r="N41" i="38" s="1"/>
  <c r="O41" i="38" s="1"/>
  <c r="U41" i="44"/>
  <c r="M39" i="38"/>
  <c r="N39" i="38" s="1"/>
  <c r="O40" i="38"/>
  <c r="W31" i="16"/>
  <c r="K47" i="44"/>
  <c r="U47" i="44" s="1"/>
  <c r="K46" i="44"/>
  <c r="U46" i="44" s="1"/>
  <c r="K45" i="44"/>
  <c r="U45" i="44" s="1"/>
  <c r="K44" i="44"/>
  <c r="U44" i="44" s="1"/>
  <c r="O46" i="38"/>
  <c r="W36" i="16"/>
  <c r="W34" i="16"/>
  <c r="O48" i="38"/>
  <c r="W38" i="16"/>
  <c r="O49" i="38"/>
  <c r="O42" i="38"/>
  <c r="W33" i="16"/>
  <c r="W32" i="16"/>
  <c r="O47" i="38"/>
  <c r="W37" i="16"/>
  <c r="U35" i="44"/>
  <c r="M37" i="38"/>
  <c r="N37" i="38" s="1"/>
  <c r="K40" i="44"/>
  <c r="U40" i="44" s="1"/>
  <c r="K38" i="44"/>
  <c r="U38" i="44" s="1"/>
  <c r="K36" i="44"/>
  <c r="U36" i="44" s="1"/>
  <c r="U37" i="44"/>
  <c r="U39" i="44"/>
  <c r="M45" i="38"/>
  <c r="N45" i="38" s="1"/>
  <c r="W71" i="16" s="1"/>
  <c r="U43" i="44"/>
  <c r="K42" i="44"/>
  <c r="U42" i="44" s="1"/>
  <c r="A77" i="41"/>
  <c r="A78" i="41"/>
  <c r="A79" i="41"/>
  <c r="A80" i="41"/>
  <c r="A81" i="41"/>
  <c r="A82" i="41"/>
  <c r="A83" i="41"/>
  <c r="A84" i="41"/>
  <c r="A85" i="41"/>
  <c r="A86" i="41"/>
  <c r="A87" i="41"/>
  <c r="O39" i="38" l="1"/>
  <c r="O37" i="38"/>
  <c r="W30" i="16"/>
  <c r="O45" i="38"/>
  <c r="W35" i="16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A60" i="41" l="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E26" i="44" l="1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K28" i="38"/>
  <c r="M28" i="38" s="1"/>
  <c r="N28" i="38" s="1"/>
  <c r="K29" i="38"/>
  <c r="M29" i="38" s="1"/>
  <c r="N29" i="38" s="1"/>
  <c r="K30" i="38"/>
  <c r="K28" i="44" s="1"/>
  <c r="K31" i="38"/>
  <c r="K29" i="44" s="1"/>
  <c r="K32" i="38"/>
  <c r="M32" i="38" s="1"/>
  <c r="N32" i="38" s="1"/>
  <c r="K33" i="38"/>
  <c r="M33" i="38" s="1"/>
  <c r="N33" i="38" s="1"/>
  <c r="O33" i="38" s="1"/>
  <c r="K34" i="38"/>
  <c r="K32" i="44" s="1"/>
  <c r="K35" i="38"/>
  <c r="K33" i="44" s="1"/>
  <c r="K36" i="38"/>
  <c r="M36" i="38" s="1"/>
  <c r="N36" i="38" s="1"/>
  <c r="O32" i="38" l="1"/>
  <c r="W70" i="16"/>
  <c r="M35" i="38"/>
  <c r="N35" i="38" s="1"/>
  <c r="O35" i="38" s="1"/>
  <c r="U33" i="44"/>
  <c r="W28" i="16"/>
  <c r="O28" i="38"/>
  <c r="W23" i="16"/>
  <c r="O36" i="38"/>
  <c r="W29" i="16"/>
  <c r="O29" i="38"/>
  <c r="W24" i="16"/>
  <c r="M31" i="38"/>
  <c r="N31" i="38" s="1"/>
  <c r="M34" i="38"/>
  <c r="N34" i="38" s="1"/>
  <c r="U32" i="44"/>
  <c r="K31" i="44"/>
  <c r="U31" i="44" s="1"/>
  <c r="K30" i="44"/>
  <c r="U30" i="44" s="1"/>
  <c r="K34" i="44"/>
  <c r="U34" i="44" s="1"/>
  <c r="M30" i="38"/>
  <c r="N30" i="38" s="1"/>
  <c r="K27" i="44"/>
  <c r="U27" i="44" s="1"/>
  <c r="U29" i="44"/>
  <c r="K26" i="44"/>
  <c r="U26" i="44" s="1"/>
  <c r="U28" i="44"/>
  <c r="F117" i="15"/>
  <c r="F118" i="15"/>
  <c r="F119" i="15"/>
  <c r="F120" i="15"/>
  <c r="O30" i="38" l="1"/>
  <c r="W25" i="16"/>
  <c r="O34" i="38"/>
  <c r="W27" i="16"/>
  <c r="O31" i="38"/>
  <c r="W26" i="16"/>
  <c r="AA31" i="16"/>
  <c r="AA32" i="16"/>
  <c r="AA33" i="16"/>
  <c r="AA34" i="16"/>
  <c r="AA35" i="16"/>
  <c r="AA36" i="16"/>
  <c r="AA37" i="16"/>
  <c r="AA38" i="16"/>
  <c r="AA39" i="16"/>
  <c r="AA40" i="16"/>
  <c r="AA55" i="16"/>
  <c r="AA56" i="16"/>
  <c r="E242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3" i="15"/>
  <c r="W121" i="16" l="1"/>
  <c r="W120" i="16"/>
  <c r="W119" i="16"/>
  <c r="W118" i="16"/>
  <c r="W117" i="16"/>
  <c r="W116" i="16"/>
  <c r="W115" i="16"/>
  <c r="W114" i="16"/>
  <c r="W113" i="16"/>
  <c r="W112" i="16"/>
  <c r="W111" i="16"/>
  <c r="W110" i="16"/>
  <c r="W109" i="16"/>
  <c r="S97" i="16"/>
  <c r="T97" i="16"/>
  <c r="S98" i="16"/>
  <c r="T98" i="16"/>
  <c r="S99" i="16"/>
  <c r="T99" i="16"/>
  <c r="S100" i="16"/>
  <c r="T100" i="16"/>
  <c r="W77" i="16"/>
  <c r="W78" i="16"/>
  <c r="V80" i="16"/>
  <c r="W80" i="16"/>
  <c r="V81" i="16"/>
  <c r="W81" i="16"/>
  <c r="W82" i="16"/>
  <c r="V83" i="16"/>
  <c r="W83" i="16"/>
  <c r="W84" i="16"/>
  <c r="V85" i="16"/>
  <c r="W85" i="16"/>
  <c r="V86" i="16"/>
  <c r="W86" i="16"/>
  <c r="V87" i="16"/>
  <c r="W87" i="16"/>
  <c r="V88" i="16"/>
  <c r="U88" i="16"/>
  <c r="W88" i="16"/>
  <c r="W89" i="16"/>
  <c r="W90" i="16"/>
  <c r="W91" i="16"/>
  <c r="U98" i="16" l="1"/>
  <c r="U100" i="16"/>
  <c r="U99" i="16"/>
  <c r="U91" i="16"/>
  <c r="U89" i="16"/>
  <c r="U84" i="16"/>
  <c r="V82" i="16"/>
  <c r="U87" i="16"/>
  <c r="V90" i="16"/>
  <c r="U97" i="16"/>
  <c r="V98" i="16"/>
  <c r="U82" i="16"/>
  <c r="U85" i="16"/>
  <c r="U90" i="16"/>
  <c r="U80" i="16"/>
  <c r="V91" i="16"/>
  <c r="U86" i="16"/>
  <c r="U83" i="16"/>
  <c r="U81" i="16"/>
  <c r="V100" i="16"/>
  <c r="V84" i="16"/>
  <c r="V99" i="16"/>
  <c r="V97" i="16"/>
  <c r="V89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K138" i="14" l="1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167" i="41"/>
  <c r="B168" i="41"/>
  <c r="B310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V79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U79" i="16" l="1"/>
  <c r="B4" i="41"/>
  <c r="A199" i="41" l="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J5" i="15" l="1"/>
  <c r="J6" i="15"/>
  <c r="J7" i="15"/>
  <c r="J8" i="15"/>
  <c r="J9" i="15"/>
  <c r="J10" i="15"/>
  <c r="J11" i="15"/>
  <c r="J12" i="15"/>
  <c r="J13" i="15"/>
  <c r="J14" i="15"/>
  <c r="J15" i="15"/>
  <c r="J17" i="15"/>
  <c r="K52" i="15"/>
  <c r="K53" i="15"/>
  <c r="K54" i="15"/>
  <c r="K55" i="15"/>
  <c r="K56" i="15"/>
  <c r="S64" i="16"/>
  <c r="S65" i="16"/>
  <c r="S66" i="16"/>
  <c r="S67" i="16"/>
  <c r="T65" i="16"/>
  <c r="T66" i="16"/>
  <c r="T67" i="16"/>
  <c r="S92" i="16"/>
  <c r="T92" i="16"/>
  <c r="S93" i="16"/>
  <c r="T93" i="16"/>
  <c r="S94" i="16"/>
  <c r="T94" i="16"/>
  <c r="T64" i="16"/>
  <c r="T3" i="16"/>
  <c r="S3" i="16"/>
  <c r="U3" i="16" l="1"/>
  <c r="V93" i="16"/>
  <c r="V3" i="16"/>
  <c r="U93" i="16"/>
  <c r="U78" i="16"/>
  <c r="U65" i="16"/>
  <c r="U92" i="16"/>
  <c r="U94" i="16"/>
  <c r="U67" i="16"/>
  <c r="U66" i="16"/>
  <c r="U64" i="16"/>
  <c r="V67" i="16"/>
  <c r="V77" i="16"/>
  <c r="V64" i="16"/>
  <c r="U77" i="16"/>
  <c r="V65" i="16"/>
  <c r="V94" i="16"/>
  <c r="V92" i="16"/>
  <c r="V78" i="16"/>
  <c r="V66" i="16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K6" i="38" l="1"/>
  <c r="K4" i="44" s="1"/>
  <c r="K7" i="38"/>
  <c r="K5" i="44" s="1"/>
  <c r="K8" i="38"/>
  <c r="K6" i="44" s="1"/>
  <c r="K9" i="38"/>
  <c r="K7" i="44" s="1"/>
  <c r="K10" i="38"/>
  <c r="K8" i="44" s="1"/>
  <c r="K11" i="38"/>
  <c r="K9" i="44" s="1"/>
  <c r="K12" i="38"/>
  <c r="K10" i="44" s="1"/>
  <c r="K13" i="38"/>
  <c r="K11" i="44" s="1"/>
  <c r="K14" i="38"/>
  <c r="K12" i="44" s="1"/>
  <c r="K15" i="38"/>
  <c r="K13" i="44" s="1"/>
  <c r="K16" i="38"/>
  <c r="K14" i="44" s="1"/>
  <c r="K17" i="38"/>
  <c r="K15" i="44" s="1"/>
  <c r="K18" i="38"/>
  <c r="K16" i="44" s="1"/>
  <c r="K19" i="38"/>
  <c r="K17" i="44" s="1"/>
  <c r="K20" i="38"/>
  <c r="K18" i="44" s="1"/>
  <c r="K21" i="38"/>
  <c r="K19" i="44" s="1"/>
  <c r="K22" i="38"/>
  <c r="K20" i="44" s="1"/>
  <c r="K23" i="38"/>
  <c r="K24" i="38"/>
  <c r="K25" i="38"/>
  <c r="K26" i="38"/>
  <c r="K27" i="38"/>
  <c r="M26" i="38" l="1"/>
  <c r="N26" i="38" s="1"/>
  <c r="W21" i="16" s="1"/>
  <c r="K24" i="44"/>
  <c r="M25" i="38"/>
  <c r="N25" i="38" s="1"/>
  <c r="W20" i="16" s="1"/>
  <c r="K23" i="44"/>
  <c r="M24" i="38"/>
  <c r="N24" i="38" s="1"/>
  <c r="W19" i="16" s="1"/>
  <c r="K22" i="44"/>
  <c r="M27" i="38"/>
  <c r="N27" i="38" s="1"/>
  <c r="K25" i="44"/>
  <c r="M23" i="38"/>
  <c r="N23" i="38" s="1"/>
  <c r="K21" i="44"/>
  <c r="J3" i="44"/>
  <c r="W22" i="16" l="1"/>
  <c r="W101" i="16"/>
  <c r="W18" i="16"/>
  <c r="W100" i="16"/>
  <c r="O23" i="38"/>
  <c r="O26" i="38"/>
  <c r="O27" i="38"/>
  <c r="O24" i="38"/>
  <c r="O25" i="38"/>
  <c r="T96" i="16"/>
  <c r="B277" i="41"/>
  <c r="B278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J113" i="38" l="1"/>
  <c r="J115" i="38" s="1"/>
  <c r="E151" i="14"/>
  <c r="I246" i="14" s="1"/>
  <c r="J246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62" i="16"/>
  <c r="I3" i="44" l="1"/>
  <c r="H3" i="44"/>
  <c r="L3" i="44"/>
  <c r="L95" i="44" s="1"/>
  <c r="G3" i="44"/>
  <c r="F3" i="44"/>
  <c r="E3" i="44"/>
  <c r="A170" i="41" l="1"/>
  <c r="A4" i="41" l="1"/>
  <c r="X52" i="16" l="1"/>
  <c r="Y52" i="16" s="1"/>
  <c r="X105" i="16"/>
  <c r="Y105" i="16" s="1"/>
  <c r="X54" i="16"/>
  <c r="Y54" i="16" s="1"/>
  <c r="X103" i="16"/>
  <c r="Y103" i="16" s="1"/>
  <c r="X53" i="16"/>
  <c r="Y53" i="16" s="1"/>
  <c r="X41" i="16"/>
  <c r="Y41" i="16" s="1"/>
  <c r="X106" i="16"/>
  <c r="Y106" i="16" s="1"/>
  <c r="X44" i="16"/>
  <c r="Y44" i="16" s="1"/>
  <c r="X107" i="16"/>
  <c r="Y107" i="16" s="1"/>
  <c r="X104" i="16"/>
  <c r="Y104" i="16" s="1"/>
  <c r="X51" i="16"/>
  <c r="Y51" i="16" s="1"/>
  <c r="X49" i="16"/>
  <c r="Y49" i="16" s="1"/>
  <c r="X46" i="16"/>
  <c r="Y46" i="16" s="1"/>
  <c r="X50" i="16"/>
  <c r="Y50" i="16" s="1"/>
  <c r="X42" i="16"/>
  <c r="Y42" i="16" s="1"/>
  <c r="X47" i="16"/>
  <c r="Y47" i="16" s="1"/>
  <c r="X48" i="16"/>
  <c r="Y48" i="16" s="1"/>
  <c r="X76" i="16"/>
  <c r="Y76" i="16" s="1"/>
  <c r="X43" i="16"/>
  <c r="Y43" i="16" s="1"/>
  <c r="X108" i="16"/>
  <c r="Y108" i="16" s="1"/>
  <c r="X45" i="16"/>
  <c r="Y45" i="16" s="1"/>
  <c r="X16" i="16"/>
  <c r="Y16" i="16" s="1"/>
  <c r="X74" i="16"/>
  <c r="Y74" i="16" s="1"/>
  <c r="X102" i="16"/>
  <c r="Y102" i="16" s="1"/>
  <c r="X55" i="16"/>
  <c r="Y55" i="16" s="1"/>
  <c r="X71" i="16"/>
  <c r="Y71" i="16" s="1"/>
  <c r="X72" i="16"/>
  <c r="Y72" i="16" s="1"/>
  <c r="X40" i="16"/>
  <c r="Y40" i="16" s="1"/>
  <c r="X73" i="16"/>
  <c r="Y73" i="16" s="1"/>
  <c r="X57" i="16"/>
  <c r="Y57" i="16" s="1"/>
  <c r="X62" i="16"/>
  <c r="Y62" i="16" s="1"/>
  <c r="X70" i="16"/>
  <c r="Y70" i="16" s="1"/>
  <c r="X56" i="16"/>
  <c r="Y56" i="16" s="1"/>
  <c r="X68" i="16"/>
  <c r="Y68" i="16" s="1"/>
  <c r="X39" i="16"/>
  <c r="Y39" i="16" s="1"/>
  <c r="X11" i="16"/>
  <c r="Y11" i="16" s="1"/>
  <c r="X5" i="16"/>
  <c r="Y5" i="16" s="1"/>
  <c r="X9" i="16"/>
  <c r="Y9" i="16" s="1"/>
  <c r="X13" i="16"/>
  <c r="Y13" i="16" s="1"/>
  <c r="X30" i="16"/>
  <c r="Y30" i="16" s="1"/>
  <c r="X32" i="16"/>
  <c r="Y32" i="16" s="1"/>
  <c r="X31" i="16"/>
  <c r="Y31" i="16" s="1"/>
  <c r="X36" i="16"/>
  <c r="Y36" i="16" s="1"/>
  <c r="X27" i="16"/>
  <c r="Y27" i="16" s="1"/>
  <c r="X4" i="16"/>
  <c r="Y4" i="16" s="1"/>
  <c r="X26" i="16"/>
  <c r="Y26" i="16" s="1"/>
  <c r="X35" i="16"/>
  <c r="Y35" i="16" s="1"/>
  <c r="X29" i="16"/>
  <c r="Y29" i="16" s="1"/>
  <c r="X33" i="16"/>
  <c r="Y33" i="16" s="1"/>
  <c r="X8" i="16"/>
  <c r="Y8" i="16" s="1"/>
  <c r="X34" i="16"/>
  <c r="Y34" i="16" s="1"/>
  <c r="X28" i="16"/>
  <c r="Y28" i="16" s="1"/>
  <c r="X7" i="16"/>
  <c r="Y7" i="16" s="1"/>
  <c r="F123" i="15" l="1"/>
  <c r="B266" i="41"/>
  <c r="B267" i="41"/>
  <c r="B268" i="41"/>
  <c r="X18" i="16" s="1"/>
  <c r="Y18" i="16" s="1"/>
  <c r="B269" i="41"/>
  <c r="X15" i="16" s="1"/>
  <c r="Y15" i="16" s="1"/>
  <c r="B270" i="41"/>
  <c r="B271" i="41"/>
  <c r="X20" i="16" s="1"/>
  <c r="Y20" i="16" s="1"/>
  <c r="B272" i="41"/>
  <c r="X23" i="16" s="1"/>
  <c r="Y23" i="16" s="1"/>
  <c r="B273" i="41"/>
  <c r="B274" i="41"/>
  <c r="X22" i="16" s="1"/>
  <c r="Y22" i="16" s="1"/>
  <c r="B275" i="41"/>
  <c r="X75" i="16" s="1"/>
  <c r="Y75" i="16" s="1"/>
  <c r="B276" i="41"/>
  <c r="X59" i="16" s="1"/>
  <c r="Y59" i="16" s="1"/>
  <c r="B279" i="41"/>
  <c r="B280" i="41"/>
  <c r="X38" i="16" s="1"/>
  <c r="Y38" i="16" s="1"/>
  <c r="B281" i="41"/>
  <c r="X37" i="16" s="1"/>
  <c r="Y37" i="16" s="1"/>
  <c r="B282" i="41"/>
  <c r="X24" i="16" s="1"/>
  <c r="Y24" i="16" s="1"/>
  <c r="X101" i="16"/>
  <c r="Y101" i="16" s="1"/>
  <c r="B170" i="41"/>
  <c r="X25" i="16" s="1"/>
  <c r="Y25" i="16" s="1"/>
  <c r="W92" i="16"/>
  <c r="W93" i="16"/>
  <c r="X17" i="16" l="1"/>
  <c r="Y17" i="16" s="1"/>
  <c r="X12" i="16"/>
  <c r="Y12" i="16" s="1"/>
  <c r="X19" i="16"/>
  <c r="Y19" i="16" s="1"/>
  <c r="X14" i="16"/>
  <c r="Y14" i="16" s="1"/>
  <c r="X6" i="16"/>
  <c r="Y6" i="16" s="1"/>
  <c r="X10" i="16"/>
  <c r="Y10" i="16" s="1"/>
  <c r="X100" i="16"/>
  <c r="Y100" i="16" s="1"/>
  <c r="X69" i="16"/>
  <c r="Y69" i="16" s="1"/>
  <c r="X21" i="16"/>
  <c r="Y21" i="16" s="1"/>
  <c r="X58" i="16"/>
  <c r="Y58" i="16" s="1"/>
  <c r="Z22" i="16"/>
  <c r="X98" i="16"/>
  <c r="Y98" i="16" s="1"/>
  <c r="X65" i="16"/>
  <c r="Y65" i="16" s="1"/>
  <c r="X81" i="16"/>
  <c r="X80" i="16"/>
  <c r="X110" i="16"/>
  <c r="X82" i="16"/>
  <c r="X121" i="16"/>
  <c r="Y121" i="16" s="1"/>
  <c r="X90" i="16"/>
  <c r="X64" i="16"/>
  <c r="Y64" i="16" s="1"/>
  <c r="X113" i="16"/>
  <c r="X109" i="16"/>
  <c r="X83" i="16"/>
  <c r="X87" i="16"/>
  <c r="X119" i="16"/>
  <c r="Y119" i="16" s="1"/>
  <c r="X84" i="16"/>
  <c r="X89" i="16"/>
  <c r="X88" i="16"/>
  <c r="X77" i="16"/>
  <c r="X111" i="16"/>
  <c r="X112" i="16"/>
  <c r="X66" i="16"/>
  <c r="X115" i="16"/>
  <c r="Y115" i="16" s="1"/>
  <c r="X86" i="16"/>
  <c r="X120" i="16"/>
  <c r="Y120" i="16" s="1"/>
  <c r="X117" i="16"/>
  <c r="Y117" i="16" s="1"/>
  <c r="X78" i="16"/>
  <c r="X116" i="16"/>
  <c r="Y116" i="16" s="1"/>
  <c r="X118" i="16"/>
  <c r="Y118" i="16" s="1"/>
  <c r="X97" i="16"/>
  <c r="Y97" i="16" s="1"/>
  <c r="X114" i="16"/>
  <c r="Y114" i="16" s="1"/>
  <c r="X91" i="16"/>
  <c r="X85" i="16"/>
  <c r="X96" i="16"/>
  <c r="Y96" i="16" s="1"/>
  <c r="X67" i="16"/>
  <c r="Z67" i="16" s="1"/>
  <c r="X99" i="16"/>
  <c r="Y99" i="16" s="1"/>
  <c r="Y3" i="16"/>
  <c r="Z12" i="16"/>
  <c r="Z17" i="16"/>
  <c r="Z6" i="16"/>
  <c r="Z11" i="16"/>
  <c r="Z19" i="16"/>
  <c r="Z5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9" i="16"/>
  <c r="AA120" i="16"/>
  <c r="AA121" i="16"/>
  <c r="AA122" i="16"/>
  <c r="AA123" i="16"/>
  <c r="AA124" i="16"/>
  <c r="AA3" i="16"/>
  <c r="W94" i="16"/>
  <c r="Z65" i="16" l="1"/>
  <c r="Y67" i="16"/>
  <c r="Z18" i="16"/>
  <c r="Z75" i="16"/>
  <c r="Z66" i="16"/>
  <c r="Y66" i="16"/>
  <c r="Z108" i="16"/>
  <c r="Z4" i="16"/>
  <c r="Y89" i="16"/>
  <c r="Z89" i="16"/>
  <c r="Y87" i="16"/>
  <c r="Z87" i="16"/>
  <c r="Z55" i="16"/>
  <c r="Z7" i="16"/>
  <c r="Z85" i="16"/>
  <c r="Y85" i="16"/>
  <c r="Y112" i="16"/>
  <c r="Z112" i="16"/>
  <c r="Z68" i="16"/>
  <c r="Z62" i="16"/>
  <c r="Y84" i="16"/>
  <c r="Z84" i="16"/>
  <c r="Y83" i="16"/>
  <c r="Z83" i="16"/>
  <c r="Z36" i="16"/>
  <c r="Y110" i="16"/>
  <c r="Z110" i="16"/>
  <c r="Z26" i="16"/>
  <c r="Z76" i="16"/>
  <c r="Z29" i="16"/>
  <c r="Z25" i="16"/>
  <c r="Z32" i="16"/>
  <c r="Z30" i="16"/>
  <c r="Z15" i="16"/>
  <c r="Z80" i="16"/>
  <c r="Y80" i="16"/>
  <c r="Y86" i="16"/>
  <c r="Z86" i="16"/>
  <c r="Z28" i="16"/>
  <c r="Y77" i="16"/>
  <c r="Z77" i="16"/>
  <c r="Z40" i="16"/>
  <c r="Z21" i="16"/>
  <c r="Y113" i="16"/>
  <c r="Z113" i="16"/>
  <c r="Z39" i="16"/>
  <c r="Z37" i="16"/>
  <c r="Z8" i="16"/>
  <c r="Z33" i="16"/>
  <c r="Z27" i="16"/>
  <c r="Z34" i="16"/>
  <c r="Z81" i="16"/>
  <c r="Y81" i="16"/>
  <c r="Z91" i="16"/>
  <c r="Y91" i="16"/>
  <c r="Z107" i="16"/>
  <c r="Z74" i="16"/>
  <c r="Z38" i="16"/>
  <c r="Y111" i="16"/>
  <c r="Z111" i="16"/>
  <c r="Z88" i="16"/>
  <c r="Y88" i="16"/>
  <c r="Z73" i="16"/>
  <c r="Z31" i="16"/>
  <c r="Y90" i="16"/>
  <c r="Z90" i="16"/>
  <c r="Z78" i="16"/>
  <c r="Y78" i="16"/>
  <c r="Z56" i="16"/>
  <c r="Z69" i="16"/>
  <c r="Z24" i="16"/>
  <c r="Z23" i="16"/>
  <c r="Z35" i="16"/>
  <c r="Z20" i="16"/>
  <c r="Z14" i="16"/>
  <c r="Y109" i="16"/>
  <c r="Z109" i="16"/>
  <c r="Y82" i="16"/>
  <c r="Z82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79" i="16" l="1"/>
  <c r="Z79" i="16" s="1"/>
  <c r="X93" i="16"/>
  <c r="X92" i="16"/>
  <c r="Z93" i="16" l="1"/>
  <c r="Y93" i="16"/>
  <c r="Y79" i="16"/>
  <c r="Z92" i="16"/>
  <c r="Y92" i="16"/>
  <c r="AB5" i="16"/>
  <c r="AE74" i="16"/>
  <c r="AE75" i="16"/>
  <c r="AE76" i="16"/>
  <c r="AE77" i="16"/>
  <c r="AE78" i="16"/>
  <c r="AE73" i="16"/>
  <c r="J95" i="16"/>
  <c r="AB64" i="16" l="1"/>
  <c r="X123" i="16"/>
  <c r="AB123" i="16" s="1"/>
  <c r="AB18" i="16"/>
  <c r="AB101" i="16"/>
  <c r="AB107" i="16"/>
  <c r="AB75" i="16"/>
  <c r="AB120" i="16"/>
  <c r="AB76" i="16"/>
  <c r="AB29" i="16"/>
  <c r="AB105" i="16"/>
  <c r="AB119" i="16"/>
  <c r="AB109" i="16"/>
  <c r="AB10" i="16"/>
  <c r="AB12" i="16"/>
  <c r="AB111" i="16"/>
  <c r="AB113" i="16"/>
  <c r="AB16" i="16"/>
  <c r="AB19" i="16"/>
  <c r="AB102" i="16"/>
  <c r="AB104" i="16"/>
  <c r="AB67" i="16"/>
  <c r="AB6" i="16"/>
  <c r="AB14" i="16"/>
  <c r="AB110" i="16"/>
  <c r="AB62" i="16"/>
  <c r="AB99" i="16"/>
  <c r="AB69" i="16"/>
  <c r="AB79" i="16"/>
  <c r="AB66" i="16"/>
  <c r="AB7" i="16"/>
  <c r="AB72" i="16"/>
  <c r="AB103" i="16"/>
  <c r="AB80" i="16"/>
  <c r="AB71" i="16"/>
  <c r="AB9" i="16"/>
  <c r="AB20" i="16"/>
  <c r="AB8" i="16"/>
  <c r="AB93" i="16"/>
  <c r="AB77" i="16"/>
  <c r="X124" i="16"/>
  <c r="AB124" i="16" s="1"/>
  <c r="AB121" i="16"/>
  <c r="AB68" i="16"/>
  <c r="X94" i="16"/>
  <c r="AB94" i="16" s="1"/>
  <c r="AB65" i="16"/>
  <c r="AB30" i="16"/>
  <c r="AB13" i="16"/>
  <c r="AB108" i="16"/>
  <c r="AB78" i="16"/>
  <c r="AB15" i="16"/>
  <c r="AB98" i="16"/>
  <c r="AB97" i="16"/>
  <c r="AB106" i="16"/>
  <c r="X122" i="16"/>
  <c r="AB122" i="16" s="1"/>
  <c r="AB17" i="16"/>
  <c r="AB100" i="16"/>
  <c r="AB73" i="16"/>
  <c r="AB74" i="16"/>
  <c r="AB112" i="16"/>
  <c r="AB70" i="16"/>
  <c r="AB96" i="16" l="1"/>
  <c r="AB3" i="16"/>
  <c r="AD3" i="16"/>
  <c r="X95" i="16"/>
  <c r="AB95" i="16" s="1"/>
  <c r="X63" i="16"/>
  <c r="X125" i="16"/>
  <c r="Z99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4" i="14" s="1"/>
  <c r="H141" i="15"/>
  <c r="H142" i="15"/>
  <c r="H143" i="15"/>
  <c r="H144" i="15"/>
  <c r="H135" i="16" s="1"/>
  <c r="H128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35" i="16" s="1"/>
  <c r="F111" i="8"/>
  <c r="F112" i="8"/>
  <c r="F95" i="8"/>
  <c r="D252" i="14" s="1"/>
  <c r="F252" i="14" l="1"/>
  <c r="K57" i="15"/>
  <c r="K58" i="15"/>
  <c r="K59" i="15"/>
  <c r="K60" i="15"/>
  <c r="J61" i="15"/>
  <c r="K61" i="15"/>
  <c r="J62" i="15"/>
  <c r="K62" i="15"/>
  <c r="Y94" i="16" l="1"/>
  <c r="J125" i="16" l="1"/>
  <c r="H131" i="15" l="1"/>
  <c r="J63" i="15"/>
  <c r="K63" i="15"/>
  <c r="S96" i="16" l="1"/>
  <c r="Z104" i="16" l="1"/>
  <c r="Z100" i="16"/>
  <c r="Z105" i="16"/>
  <c r="U96" i="16"/>
  <c r="V96" i="16"/>
  <c r="Z96" i="16" s="1"/>
  <c r="Z97" i="16"/>
  <c r="Z101" i="16"/>
  <c r="Z106" i="16"/>
  <c r="Z103" i="16"/>
  <c r="Z102" i="16"/>
  <c r="Z98" i="16"/>
  <c r="K125" i="16" l="1"/>
  <c r="L125" i="16"/>
  <c r="M125" i="16"/>
  <c r="N125" i="16"/>
  <c r="O125" i="16"/>
  <c r="P125" i="16"/>
  <c r="Q125" i="16"/>
  <c r="W79" i="16"/>
  <c r="W122" i="16" l="1"/>
  <c r="Y122" i="16"/>
  <c r="W123" i="16"/>
  <c r="Y123" i="16"/>
  <c r="W124" i="16"/>
  <c r="Y124" i="16"/>
  <c r="T63" i="16" l="1"/>
  <c r="K95" i="16" l="1"/>
  <c r="L95" i="16"/>
  <c r="M95" i="16"/>
  <c r="N95" i="16"/>
  <c r="O95" i="16"/>
  <c r="P95" i="16"/>
  <c r="Q95" i="16"/>
  <c r="R95" i="16"/>
  <c r="K5" i="38" l="1"/>
  <c r="U10" i="44" l="1"/>
  <c r="M12" i="38"/>
  <c r="N12" i="38" s="1"/>
  <c r="W9" i="16" s="1"/>
  <c r="U25" i="44"/>
  <c r="U9" i="44"/>
  <c r="M11" i="38"/>
  <c r="N11" i="38" s="1"/>
  <c r="W8" i="16" s="1"/>
  <c r="U24" i="44"/>
  <c r="U16" i="44"/>
  <c r="M18" i="38"/>
  <c r="N18" i="38" s="1"/>
  <c r="U8" i="44"/>
  <c r="M10" i="38"/>
  <c r="N10" i="38" s="1"/>
  <c r="W7" i="16" s="1"/>
  <c r="U23" i="44"/>
  <c r="U7" i="44"/>
  <c r="M9" i="38"/>
  <c r="N9" i="38" s="1"/>
  <c r="U22" i="44"/>
  <c r="U14" i="44"/>
  <c r="M16" i="38"/>
  <c r="N16" i="38" s="1"/>
  <c r="W97" i="16" s="1"/>
  <c r="U6" i="44"/>
  <c r="M8" i="38"/>
  <c r="N8" i="38" s="1"/>
  <c r="W6" i="16" s="1"/>
  <c r="U17" i="44"/>
  <c r="M19" i="38"/>
  <c r="N19" i="38" s="1"/>
  <c r="U5" i="44"/>
  <c r="M7" i="38"/>
  <c r="N7" i="38" s="1"/>
  <c r="W5" i="16" s="1"/>
  <c r="U18" i="44"/>
  <c r="M20" i="38"/>
  <c r="N20" i="38" s="1"/>
  <c r="U15" i="44"/>
  <c r="M17" i="38"/>
  <c r="N17" i="38" s="1"/>
  <c r="W68" i="16" s="1"/>
  <c r="U13" i="44"/>
  <c r="M15" i="38"/>
  <c r="N15" i="38" s="1"/>
  <c r="U20" i="44"/>
  <c r="M22" i="38"/>
  <c r="N22" i="38" s="1"/>
  <c r="U12" i="44"/>
  <c r="M14" i="38"/>
  <c r="N14" i="38" s="1"/>
  <c r="W11" i="16" s="1"/>
  <c r="U4" i="44"/>
  <c r="M6" i="38"/>
  <c r="N6" i="38" s="1"/>
  <c r="U21" i="44"/>
  <c r="U19" i="44"/>
  <c r="M21" i="38"/>
  <c r="N21" i="38" s="1"/>
  <c r="W99" i="16" s="1"/>
  <c r="U11" i="44"/>
  <c r="M13" i="38"/>
  <c r="N13" i="38" s="1"/>
  <c r="K3" i="44"/>
  <c r="K95" i="44" s="1"/>
  <c r="K97" i="44" s="1"/>
  <c r="M5" i="38"/>
  <c r="N5" i="38" s="1"/>
  <c r="W16" i="16" l="1"/>
  <c r="W98" i="16"/>
  <c r="W14" i="16"/>
  <c r="W69" i="16"/>
  <c r="W17" i="16"/>
  <c r="W66" i="16"/>
  <c r="W12" i="16"/>
  <c r="W65" i="16"/>
  <c r="W10" i="16"/>
  <c r="W96" i="16"/>
  <c r="W15" i="16"/>
  <c r="W64" i="16"/>
  <c r="W4" i="16"/>
  <c r="W67" i="16"/>
  <c r="W13" i="16"/>
  <c r="O7" i="38"/>
  <c r="O5" i="38"/>
  <c r="W3" i="16"/>
  <c r="O20" i="38"/>
  <c r="O8" i="38"/>
  <c r="O6" i="38"/>
  <c r="O15" i="38"/>
  <c r="O10" i="38"/>
  <c r="O22" i="38"/>
  <c r="O9" i="38"/>
  <c r="O11" i="38"/>
  <c r="O13" i="38"/>
  <c r="O16" i="38"/>
  <c r="O12" i="38"/>
  <c r="O14" i="38"/>
  <c r="O18" i="38"/>
  <c r="O21" i="38"/>
  <c r="O17" i="38"/>
  <c r="O19" i="38"/>
  <c r="U3" i="44"/>
  <c r="U95" i="44"/>
  <c r="W95" i="16" l="1"/>
  <c r="W63" i="16"/>
  <c r="AE3" i="16"/>
  <c r="Y95" i="16" l="1"/>
  <c r="Z119" i="16"/>
  <c r="Y63" i="16" l="1"/>
  <c r="K113" i="38"/>
  <c r="G135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Z123" i="16" l="1"/>
  <c r="Z124" i="16"/>
  <c r="Z122" i="16"/>
  <c r="Z121" i="16"/>
  <c r="Z120" i="16" l="1"/>
  <c r="L113" i="38"/>
  <c r="N113" i="38" l="1"/>
  <c r="N114" i="38" s="1"/>
  <c r="O113" i="38" l="1"/>
  <c r="E3" i="11"/>
  <c r="E4" i="11" s="1"/>
  <c r="Z64" i="16"/>
  <c r="W125" i="16" l="1"/>
  <c r="W129" i="16" l="1"/>
  <c r="S125" i="16"/>
  <c r="T125" i="16"/>
  <c r="U125" i="16" l="1"/>
  <c r="AV78" i="14" l="1"/>
  <c r="G44" i="11" l="1"/>
  <c r="G45" i="11"/>
  <c r="S95" i="16" l="1"/>
  <c r="D48" i="11" l="1"/>
  <c r="D49" i="11" s="1"/>
  <c r="Y125" i="16" l="1"/>
  <c r="J267" i="14" l="1"/>
  <c r="J255" i="14" l="1"/>
  <c r="C256" i="14"/>
  <c r="AN78" i="14"/>
  <c r="H145" i="15" l="1"/>
  <c r="AJ78" i="14"/>
  <c r="AK78" i="14"/>
  <c r="AL78" i="14"/>
  <c r="AM78" i="14"/>
  <c r="B13" i="11"/>
  <c r="B14" i="11"/>
  <c r="B15" i="11"/>
  <c r="B16" i="11"/>
  <c r="B17" i="11"/>
  <c r="B22" i="11"/>
  <c r="C19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26" i="15"/>
  <c r="H1" i="8"/>
  <c r="F126" i="15"/>
  <c r="F256" i="14" l="1"/>
  <c r="C17" i="11" s="1"/>
  <c r="F259" i="14"/>
  <c r="C22" i="11" s="1"/>
  <c r="F255" i="14"/>
  <c r="C16" i="11" s="1"/>
  <c r="F261" i="14"/>
  <c r="C29" i="11" s="1"/>
  <c r="F253" i="14"/>
  <c r="C14" i="11" s="1"/>
  <c r="F260" i="14"/>
  <c r="F262" i="14"/>
  <c r="F258" i="14"/>
  <c r="C24" i="11" s="1"/>
  <c r="F254" i="14"/>
  <c r="C15" i="11" s="1"/>
  <c r="C13" i="11"/>
  <c r="C269" i="14"/>
  <c r="E33" i="11" l="1"/>
  <c r="E34" i="11" s="1"/>
  <c r="C26" i="11"/>
  <c r="C25" i="11" s="1"/>
  <c r="AI78" i="14" l="1"/>
  <c r="L259" i="14" l="1"/>
  <c r="L260" i="14"/>
  <c r="L261" i="14"/>
  <c r="L262" i="14"/>
  <c r="L263" i="14"/>
  <c r="L264" i="14"/>
  <c r="L265" i="14"/>
  <c r="L266" i="14"/>
  <c r="L258" i="14"/>
  <c r="Q129" i="16" l="1"/>
  <c r="R129" i="16"/>
  <c r="T95" i="16" l="1"/>
  <c r="U95" i="16" s="1"/>
  <c r="S63" i="16"/>
  <c r="U63" i="16" s="1"/>
  <c r="V125" i="16" l="1"/>
  <c r="V95" i="16"/>
  <c r="Z95" i="16" s="1"/>
  <c r="X129" i="16"/>
  <c r="V63" i="16"/>
  <c r="C8" i="11" s="1"/>
  <c r="Z63" i="16" l="1"/>
  <c r="U126" i="16"/>
  <c r="N128" i="16"/>
  <c r="N129" i="16" s="1"/>
  <c r="C28" i="11" l="1"/>
  <c r="C31" i="11"/>
  <c r="C34" i="11" s="1"/>
  <c r="G261" i="14" l="1"/>
  <c r="G259" i="14"/>
  <c r="G256" i="14"/>
  <c r="H273" i="14" l="1"/>
  <c r="AA78" i="14" l="1"/>
  <c r="T127" i="16" l="1"/>
  <c r="J128" i="16"/>
  <c r="J129" i="16" s="1"/>
  <c r="J131" i="16" s="1"/>
  <c r="K128" i="16"/>
  <c r="K129" i="16" s="1"/>
  <c r="L128" i="16"/>
  <c r="L129" i="16" s="1"/>
  <c r="M128" i="16"/>
  <c r="M129" i="16" s="1"/>
  <c r="N130" i="16"/>
  <c r="O128" i="16"/>
  <c r="O129" i="16" s="1"/>
  <c r="I136" i="16" s="1"/>
  <c r="I137" i="16" s="1"/>
  <c r="P128" i="16"/>
  <c r="P129" i="16" s="1"/>
  <c r="P130" i="16" s="1"/>
  <c r="H129" i="16"/>
  <c r="I129" i="16"/>
  <c r="G136" i="16" l="1"/>
  <c r="G137" i="16" s="1"/>
  <c r="L130" i="16"/>
  <c r="H136" i="16"/>
  <c r="H137" i="16" s="1"/>
  <c r="H133" i="16"/>
  <c r="M130" i="16"/>
  <c r="O130" i="16"/>
  <c r="U127" i="16"/>
  <c r="K130" i="16"/>
  <c r="T128" i="16"/>
  <c r="S128" i="16"/>
  <c r="X127" i="16"/>
  <c r="D3" i="11" l="1"/>
  <c r="D4" i="11" s="1"/>
  <c r="Y127" i="16"/>
  <c r="T129" i="16"/>
  <c r="S129" i="16"/>
  <c r="F140" i="16" l="1"/>
  <c r="C36" i="11" s="1"/>
  <c r="T138" i="16"/>
  <c r="T130" i="16"/>
  <c r="T134" i="16"/>
  <c r="S130" i="16"/>
  <c r="V129" i="16"/>
  <c r="U129" i="16"/>
  <c r="U130" i="16" s="1"/>
  <c r="V130" i="16" l="1"/>
  <c r="Y133" i="16"/>
  <c r="C48" i="11" l="1"/>
  <c r="C10" i="11" l="1"/>
  <c r="C9" i="11"/>
  <c r="C7" i="11" l="1"/>
  <c r="E48" i="11"/>
  <c r="D7" i="11" l="1"/>
  <c r="K133" i="16"/>
  <c r="D23" i="11" l="1"/>
  <c r="D24" i="11"/>
  <c r="D25" i="11"/>
  <c r="E25" i="11" s="1"/>
  <c r="D14" i="11"/>
  <c r="D265" i="14" s="1"/>
  <c r="F265" i="14" s="1"/>
  <c r="D17" i="11"/>
  <c r="D268" i="14" s="1"/>
  <c r="F268" i="14" s="1"/>
  <c r="D22" i="11"/>
  <c r="D16" i="11"/>
  <c r="D267" i="14" s="1"/>
  <c r="F267" i="14" s="1"/>
  <c r="D19" i="11"/>
  <c r="D13" i="11"/>
  <c r="D264" i="14" s="1"/>
  <c r="F264" i="14" s="1"/>
  <c r="C21" i="11" s="1"/>
  <c r="D15" i="11"/>
  <c r="D266" i="14" s="1"/>
  <c r="F266" i="14" s="1"/>
  <c r="S131" i="16"/>
  <c r="S132" i="16" s="1"/>
  <c r="C20" i="11" l="1"/>
  <c r="D20" i="11" s="1"/>
  <c r="E20" i="11" s="1"/>
  <c r="D21" i="11"/>
  <c r="W130" i="16"/>
  <c r="T132" i="16"/>
  <c r="B31" i="11" l="1"/>
  <c r="D28" i="11" l="1"/>
  <c r="E28" i="11" s="1"/>
  <c r="E7" i="11" l="1"/>
  <c r="D31" i="11" l="1"/>
  <c r="D8" i="11" l="1"/>
  <c r="D9" i="11"/>
  <c r="D10" i="11"/>
  <c r="D263" i="14"/>
  <c r="D269" i="14" s="1"/>
  <c r="F263" i="14" l="1"/>
  <c r="G263" i="14" l="1"/>
  <c r="G269" i="14" s="1"/>
  <c r="C35" i="11" s="1"/>
  <c r="D36" i="11" s="1"/>
  <c r="F269" i="14"/>
  <c r="C18" i="11"/>
  <c r="D18" i="11" l="1"/>
  <c r="C12" i="11"/>
  <c r="C33" i="11" s="1"/>
  <c r="C38" i="11" l="1"/>
  <c r="D12" i="11"/>
  <c r="E12" i="11" s="1"/>
  <c r="D34" i="11" l="1"/>
  <c r="C37" i="11" s="1"/>
</calcChain>
</file>

<file path=xl/sharedStrings.xml><?xml version="1.0" encoding="utf-8"?>
<sst xmlns="http://schemas.openxmlformats.org/spreadsheetml/2006/main" count="3824" uniqueCount="1387">
  <si>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</si>
  <si>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</si>
  <si>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</si>
  <si>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</si>
  <si>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</si>
  <si>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</si>
  <si>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</si>
  <si>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</si>
  <si>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</si>
  <si>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</si>
  <si>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</si>
  <si>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</si>
  <si>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</si>
  <si>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</si>
  <si>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</si>
  <si>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</si>
  <si>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</si>
  <si>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</si>
  <si>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</si>
  <si>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</si>
  <si>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</si>
  <si>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</si>
  <si>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</si>
  <si>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</si>
  <si>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</si>
  <si>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</si>
  <si>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</si>
  <si>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</si>
  <si>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</si>
  <si>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</si>
  <si>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</si>
  <si>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</si>
  <si>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</si>
  <si>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</si>
  <si>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</si>
  <si>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</si>
  <si>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</si>
  <si>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</si>
  <si>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</si>
  <si>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</si>
  <si>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</si>
  <si>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</si>
  <si>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</si>
  <si>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</si>
  <si>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</si>
  <si>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</si>
  <si>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</si>
  <si>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</si>
  <si>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</si>
  <si>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</si>
  <si>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</si>
  <si>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</si>
  <si>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</si>
  <si>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</si>
  <si>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</si>
  <si>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</si>
  <si>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</si>
  <si>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</si>
  <si>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</si>
  <si>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</si>
  <si>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</si>
  <si>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</si>
  <si>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</si>
  <si>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</si>
  <si>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</si>
  <si>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</si>
  <si>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</si>
  <si>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</si>
  <si>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</si>
  <si>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</si>
  <si>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</si>
  <si>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</si>
  <si>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</si>
  <si>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</si>
  <si>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</si>
  <si>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</si>
  <si>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</si>
  <si>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</si>
  <si>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</si>
  <si>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</si>
  <si>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</si>
  <si>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</si>
  <si>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</si>
  <si>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</si>
  <si>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</si>
  <si>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</si>
  <si>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</si>
  <si>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</si>
  <si>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</si>
  <si>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</si>
  <si>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</si>
  <si>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</si>
  <si>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</si>
  <si>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</si>
  <si>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</si>
  <si>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</si>
  <si>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</si>
  <si>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</si>
  <si>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</si>
  <si>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</si>
  <si>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</si>
  <si>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</si>
  <si>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</si>
  <si>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</si>
  <si>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</si>
  <si>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</si>
  <si>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</si>
  <si>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</si>
  <si>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</si>
  <si>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</si>
  <si>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</si>
  <si>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</si>
  <si>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</si>
  <si>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</si>
  <si>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</si>
  <si>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</si>
  <si>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</si>
  <si>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</si>
  <si>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</si>
  <si>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</si>
  <si>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</si>
  <si>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</si>
  <si>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</si>
  <si>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</si>
  <si>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</si>
  <si>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</si>
  <si>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</si>
  <si>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</si>
  <si>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</si>
  <si>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</si>
  <si>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</si>
  <si>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</si>
  <si>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</si>
  <si>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</si>
  <si>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</si>
  <si>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</si>
  <si>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</si>
  <si>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</si>
  <si>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</si>
  <si>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</si>
  <si>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</si>
  <si>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</si>
  <si>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</si>
  <si>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</si>
  <si>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</si>
  <si>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</si>
  <si>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</si>
  <si>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</si>
  <si>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</si>
  <si>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</si>
  <si>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</si>
  <si>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</si>
  <si>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</si>
  <si>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</si>
  <si>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</si>
  <si>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</si>
  <si>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</si>
  <si>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</si>
  <si>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</si>
  <si>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</si>
  <si>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</si>
  <si>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</si>
  <si>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</si>
  <si>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</si>
  <si>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</si>
  <si>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</si>
  <si>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</si>
  <si>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</si>
  <si>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</si>
  <si>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</si>
  <si>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</si>
  <si>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</si>
  <si>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</si>
  <si>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</si>
  <si>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</si>
  <si>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</si>
  <si>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</si>
  <si>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</si>
  <si>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</si>
  <si>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</si>
  <si>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</si>
  <si>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 xml:space="preserve">BANCO ITAU                         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</si>
  <si>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</si>
  <si>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</si>
  <si>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</si>
  <si>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</si>
  <si>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</si>
  <si>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</si>
  <si>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Anterior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</si>
  <si>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</si>
  <si>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</si>
  <si>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</si>
  <si>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</si>
  <si>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</si>
  <si>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</si>
  <si>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</si>
  <si>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</si>
  <si>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</si>
  <si>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</si>
  <si>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</si>
  <si>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</si>
  <si>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</si>
  <si>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</si>
  <si>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</si>
  <si>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</si>
  <si>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</si>
  <si>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</si>
  <si>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</si>
  <si>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</si>
  <si>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</si>
  <si>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</si>
  <si>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</si>
  <si>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</si>
  <si>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</si>
  <si>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</si>
  <si>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</si>
  <si>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</si>
  <si>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</si>
  <si>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</si>
  <si>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</si>
  <si>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</si>
  <si>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</si>
  <si>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</si>
  <si>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</si>
  <si>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</si>
  <si>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</si>
  <si>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42558647</t>
  </si>
  <si>
    <t>DÓLAR</t>
  </si>
  <si>
    <t>Banco $ Sec</t>
  </si>
  <si>
    <t>Venta USD$</t>
  </si>
  <si>
    <t>27.395.185-7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</si>
  <si>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</si>
  <si>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</si>
  <si>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</si>
  <si>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</si>
  <si>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</si>
  <si>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</si>
  <si>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</si>
  <si>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</si>
  <si>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</si>
  <si>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</si>
  <si>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</si>
  <si>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</si>
  <si>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</si>
  <si>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</si>
  <si>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954010918</t>
  </si>
  <si>
    <t>1210078226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</si>
  <si>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</si>
  <si>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</si>
  <si>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</si>
  <si>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</si>
  <si>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</si>
  <si>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</si>
  <si>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</si>
  <si>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</si>
  <si>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</si>
  <si>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</si>
  <si>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</si>
  <si>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</si>
  <si>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</si>
  <si>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26.334.077-9</t>
  </si>
  <si>
    <t>26334077</t>
  </si>
  <si>
    <t xml:space="preserve">NATALIA CASTAÑO                              </t>
  </si>
  <si>
    <t>23.467.075-1</t>
  </si>
  <si>
    <t>23467075</t>
  </si>
  <si>
    <t xml:space="preserve">Juany Estelo Cruz                            </t>
  </si>
  <si>
    <t>26.157.727-5</t>
  </si>
  <si>
    <t>19998819642</t>
  </si>
  <si>
    <t xml:space="preserve">Julio Conde                                  </t>
  </si>
  <si>
    <t>78.828.690-2</t>
  </si>
  <si>
    <t>1100476604</t>
  </si>
  <si>
    <t xml:space="preserve">Soc Comercial Conaripe Ltda                  </t>
  </si>
  <si>
    <t>SODIMAC S.A.</t>
  </si>
  <si>
    <t>CENCOSUD RETAIL S.A.</t>
  </si>
  <si>
    <t>PAC TARJETA DE CREDITO VISA</t>
  </si>
  <si>
    <t>93</t>
  </si>
  <si>
    <t>LATAM.COM XP OTRAS SANTIAGO</t>
  </si>
  <si>
    <t>COMPRA TARJETA DEBITO</t>
  </si>
  <si>
    <t>JAIME ALBERTO MARTINEZ CASTRO</t>
  </si>
  <si>
    <t>TRANSFERENCIA DE FONDOS AUTOSERVICIO</t>
  </si>
  <si>
    <t>954009685</t>
  </si>
  <si>
    <t>Anulación USD$</t>
  </si>
  <si>
    <t>19.889.529-6</t>
  </si>
  <si>
    <t>19889529</t>
  </si>
  <si>
    <t xml:space="preserve">Camila Marrazzo                              </t>
  </si>
  <si>
    <t>12000087267</t>
  </si>
  <si>
    <t xml:space="preserve">NILDA CCAMA AYMA                             </t>
  </si>
  <si>
    <t>13.633.004-7</t>
  </si>
  <si>
    <t>13633004</t>
  </si>
  <si>
    <t xml:space="preserve">Eduadro Hevia                                </t>
  </si>
  <si>
    <t>Booked</t>
  </si>
  <si>
    <t>Modified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</si>
  <si>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</si>
  <si>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</si>
  <si>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</si>
  <si>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</si>
  <si>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</si>
  <si>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</si>
  <si>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</si>
  <si>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</si>
  <si>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</si>
  <si>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</si>
  <si>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25.173.415-1</t>
  </si>
  <si>
    <t>25173415</t>
  </si>
  <si>
    <t xml:space="preserve">Silvia Perez Ibarra                          </t>
  </si>
  <si>
    <t>76.923.783-6</t>
  </si>
  <si>
    <t>213906192</t>
  </si>
  <si>
    <t xml:space="preserve">Dlocal Chile SPA                             </t>
  </si>
  <si>
    <t>Comb. Calefacción</t>
  </si>
  <si>
    <t>WILFREDO BOJORGES LOZA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</si>
  <si>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</si>
  <si>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</si>
  <si>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</si>
  <si>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</si>
  <si>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</si>
  <si>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</si>
  <si>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</si>
  <si>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</si>
  <si>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</si>
  <si>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</si>
  <si>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</si>
  <si>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</si>
  <si>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</si>
  <si>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</si>
  <si>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</si>
  <si>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</si>
  <si>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</si>
  <si>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</si>
  <si>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</si>
  <si>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</si>
  <si>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</si>
  <si>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</si>
  <si>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</si>
  <si>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</si>
  <si>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</si>
  <si>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</si>
  <si>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</si>
  <si>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</si>
  <si>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</si>
  <si>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</si>
  <si>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</si>
  <si>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</si>
  <si>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</si>
  <si>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</si>
  <si>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</si>
  <si>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</si>
  <si>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</si>
  <si>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</si>
  <si>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</si>
  <si>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</si>
  <si>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</si>
  <si>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</si>
  <si>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</si>
  <si>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</si>
  <si>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</si>
  <si>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</si>
  <si>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</si>
  <si>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</si>
  <si>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</si>
  <si>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</si>
  <si>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</si>
  <si>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</si>
  <si>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</si>
  <si>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</si>
  <si>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</si>
  <si>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</si>
  <si>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</si>
  <si>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</si>
  <si>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</si>
  <si>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</si>
  <si>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</si>
  <si>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</si>
  <si>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</si>
  <si>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</si>
  <si>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</si>
  <si>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</si>
  <si>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</si>
  <si>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</si>
  <si>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</si>
  <si>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</si>
  <si>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</si>
  <si>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</si>
  <si>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</si>
  <si>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</si>
  <si>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</si>
  <si>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</si>
  <si>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</si>
  <si>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</si>
  <si>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</si>
  <si>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</si>
  <si>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</si>
  <si>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</si>
  <si>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</si>
  <si>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</si>
  <si>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</si>
  <si>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</si>
  <si>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</si>
  <si>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</si>
  <si>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</si>
  <si>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</si>
  <si>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</si>
  <si>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</si>
  <si>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</si>
  <si>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</si>
  <si>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</si>
  <si>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</si>
  <si>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</si>
  <si>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</si>
  <si>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</si>
  <si>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</si>
  <si>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</si>
  <si>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</si>
  <si>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</si>
  <si>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</si>
  <si>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</si>
  <si>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</si>
  <si>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</si>
  <si>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</si>
  <si>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</si>
  <si>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</si>
  <si>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</si>
  <si>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</si>
  <si>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</si>
  <si>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</si>
  <si>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</si>
  <si>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</si>
  <si>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</si>
  <si>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</si>
  <si>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</si>
  <si>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</si>
  <si>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</si>
  <si>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</si>
  <si>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</si>
  <si>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</si>
  <si>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</si>
  <si>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</si>
  <si>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</si>
  <si>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</si>
  <si>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</si>
  <si>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</si>
  <si>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</si>
  <si>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</si>
  <si>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</si>
  <si>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</si>
  <si>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</si>
  <si>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</si>
  <si>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</si>
  <si>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</si>
  <si>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</si>
  <si>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</si>
  <si>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</si>
  <si>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</si>
  <si>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</si>
  <si>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</si>
  <si>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</si>
  <si>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</si>
  <si>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</si>
  <si>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</si>
  <si>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</si>
  <si>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</si>
  <si>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</si>
  <si>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</si>
  <si>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</si>
  <si>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</si>
  <si>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</si>
  <si>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</si>
  <si>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</si>
  <si>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</si>
  <si>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</si>
  <si>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</si>
  <si>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</si>
  <si>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</si>
  <si>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</si>
  <si>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</si>
  <si>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</si>
  <si>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</si>
  <si>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</si>
  <si>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</si>
  <si>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</si>
  <si>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</si>
  <si>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</si>
  <si>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</si>
  <si>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</si>
  <si>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</si>
  <si>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</si>
  <si>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</si>
  <si>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</si>
  <si>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</si>
  <si>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</si>
  <si>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</si>
  <si>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</si>
  <si>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</si>
  <si>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</si>
  <si>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</si>
  <si>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</si>
  <si>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</si>
  <si>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</si>
  <si>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</si>
  <si>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</si>
  <si>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</si>
  <si>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</si>
  <si>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</si>
  <si>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 xml:space="preserve">BANCO BICE                         </t>
  </si>
  <si>
    <t>EST. CENTRAL PARKING SYSTEM CHILE S.A.</t>
  </si>
  <si>
    <t>FERRETERÍA PEREZ Y REYES LTDA.</t>
  </si>
  <si>
    <t>FILIBERTO VILLAGRA CATACORA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</si>
  <si>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</si>
  <si>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</si>
  <si>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</si>
  <si>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</si>
  <si>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</si>
  <si>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</si>
  <si>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</si>
  <si>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</si>
  <si>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</si>
  <si>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</si>
  <si>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</si>
  <si>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</si>
  <si>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</si>
  <si>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</si>
  <si>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</si>
  <si>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</si>
  <si>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</si>
  <si>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</si>
  <si>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</si>
  <si>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</si>
  <si>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</si>
  <si>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</si>
  <si>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</si>
  <si>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</si>
  <si>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</si>
  <si>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</si>
  <si>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</si>
  <si>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</si>
  <si>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</si>
  <si>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</si>
  <si>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</si>
  <si>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</si>
  <si>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</si>
  <si>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</si>
  <si>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</si>
  <si>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</si>
  <si>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</si>
  <si>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</si>
  <si>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</si>
  <si>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</si>
  <si>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</si>
  <si>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</si>
  <si>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</si>
  <si>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</si>
  <si>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</si>
  <si>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</si>
  <si>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</si>
  <si>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</si>
  <si>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</si>
  <si>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</si>
  <si>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</si>
  <si>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</si>
  <si>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</si>
  <si>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</si>
  <si>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</si>
  <si>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</si>
  <si>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</si>
  <si>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</si>
  <si>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</si>
  <si>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</si>
  <si>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</si>
  <si>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</si>
  <si>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</si>
  <si>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</si>
  <si>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</si>
  <si>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</si>
  <si>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</si>
  <si>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</si>
  <si>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</si>
  <si>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</si>
  <si>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</si>
  <si>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</si>
  <si>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</si>
  <si>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</si>
  <si>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</si>
  <si>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</si>
  <si>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</si>
  <si>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</si>
  <si>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</si>
  <si>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</si>
  <si>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</si>
  <si>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</si>
  <si>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</si>
  <si>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</si>
  <si>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</si>
  <si>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</si>
  <si>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</si>
  <si>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</si>
  <si>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</si>
  <si>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</si>
  <si>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</si>
  <si>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</si>
  <si>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</si>
  <si>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</si>
  <si>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</si>
  <si>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</si>
  <si>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</si>
  <si>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</si>
  <si>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</si>
  <si>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</si>
  <si>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 xml:space="preserve">17/10/2023  </t>
  </si>
  <si>
    <t>AJUSTE CREDITO</t>
  </si>
  <si>
    <t/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</si>
  <si>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</si>
  <si>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</si>
  <si>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</si>
  <si>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</si>
  <si>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</si>
  <si>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</si>
  <si>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</si>
  <si>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</si>
  <si>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</si>
  <si>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</si>
  <si>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</si>
  <si>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</si>
  <si>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</si>
  <si>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</si>
  <si>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</si>
  <si>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</si>
  <si>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</si>
  <si>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</si>
  <si>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</si>
  <si>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</si>
  <si>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</si>
  <si>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</si>
  <si>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</si>
  <si>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</si>
  <si>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</si>
  <si>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</si>
  <si>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</si>
  <si>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</si>
  <si>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</si>
  <si>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</si>
  <si>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</si>
  <si>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</si>
  <si>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</si>
  <si>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</si>
  <si>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</si>
  <si>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</si>
  <si>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</si>
  <si>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</si>
  <si>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</si>
  <si>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</si>
  <si>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</si>
  <si>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</si>
  <si>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</si>
  <si>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</si>
  <si>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</si>
  <si>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</si>
  <si>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</si>
  <si>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</si>
  <si>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</si>
  <si>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</si>
  <si>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</si>
  <si>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</si>
  <si>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</si>
  <si>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</si>
  <si>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</si>
  <si>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</si>
  <si>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</si>
  <si>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</si>
  <si>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</si>
  <si>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</si>
  <si>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</si>
  <si>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</si>
  <si>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</si>
  <si>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</si>
  <si>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</si>
  <si>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</si>
  <si>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</si>
  <si>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</si>
  <si>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</si>
  <si>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</si>
  <si>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</si>
  <si>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</si>
  <si>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</si>
  <si>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</si>
  <si>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</si>
  <si>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</si>
  <si>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</si>
  <si>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</si>
  <si>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</si>
  <si>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</si>
  <si>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</si>
  <si>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</si>
  <si>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</si>
  <si>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</si>
  <si>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FR</t>
  </si>
  <si>
    <t>11.505.642-5</t>
  </si>
  <si>
    <t>Pasajes San Pedro</t>
  </si>
  <si>
    <t>10/10/2023</t>
  </si>
  <si>
    <t>16/10/2023</t>
  </si>
  <si>
    <t>19/10/2023</t>
  </si>
  <si>
    <t>30/10/2023</t>
  </si>
  <si>
    <t>GOOGLE GSUITE_PASC</t>
  </si>
  <si>
    <t>DEVOLUCION TESORERIA GRAL.</t>
  </si>
  <si>
    <t>EASY RETAIL S.A.</t>
  </si>
  <si>
    <t>LIDER CALAMA</t>
  </si>
  <si>
    <t>23/10/2023</t>
  </si>
  <si>
    <t>DIANA MASCAYA ZABALA</t>
  </si>
  <si>
    <t>PATRICIO HERNAN ZAMORA PEREZ</t>
  </si>
  <si>
    <t>01-11-2023</t>
  </si>
  <si>
    <t>Fernando Gonzalez Sanchez, Juan Francisco Herrera Sanchez</t>
  </si>
  <si>
    <t>Anna Serdyuk, Natallia Maisak</t>
  </si>
  <si>
    <t>BB23051311153226</t>
  </si>
  <si>
    <t>Marcelo Croce</t>
  </si>
  <si>
    <t>hotelpascualandinodirect</t>
  </si>
  <si>
    <t>Chun wai Cheung</t>
  </si>
  <si>
    <t>CHUNG WAI CHEUNG</t>
  </si>
  <si>
    <t>Claudio Tadashi</t>
  </si>
  <si>
    <t>BB23031710664469</t>
  </si>
  <si>
    <t>Laura Rodriguez Marcos</t>
  </si>
  <si>
    <t>BB23031710664440</t>
  </si>
  <si>
    <t>BB23031710664545</t>
  </si>
  <si>
    <t>BB23040610838354</t>
  </si>
  <si>
    <t>Katia Goldman</t>
  </si>
  <si>
    <t>A-Hotels.com</t>
  </si>
  <si>
    <t>Marco Reimann</t>
  </si>
  <si>
    <t>David Yuen</t>
  </si>
  <si>
    <t>A-Expedia</t>
  </si>
  <si>
    <t>Erika Daniela Esquivel Romero</t>
  </si>
  <si>
    <t>BB23103112577398</t>
  </si>
  <si>
    <t>SUSAN ORREGO</t>
  </si>
  <si>
    <t>Viral Patel</t>
  </si>
  <si>
    <t>Kashyap Patel</t>
  </si>
  <si>
    <t>Marcelo Claro</t>
  </si>
  <si>
    <t>ALEXANDRE MARINHO</t>
  </si>
  <si>
    <t>Ellen Van Cauwenberge</t>
  </si>
  <si>
    <t>Denise Rodrigues</t>
  </si>
  <si>
    <t>Thais Braz Pereira</t>
  </si>
  <si>
    <t>ALANA NAIAD ALMEIDA LINS RIBEIRO</t>
  </si>
  <si>
    <t>Thomas Roemer</t>
  </si>
  <si>
    <t>Javier Ballester Lafuente</t>
  </si>
  <si>
    <t>Jennifer Fletcher</t>
  </si>
  <si>
    <t>vanessa santoro ferreira</t>
  </si>
  <si>
    <t>Terri Houston</t>
  </si>
  <si>
    <t>Yolanda Maldonado</t>
  </si>
  <si>
    <t>Alexandre Bigliazzi</t>
  </si>
  <si>
    <t>BB23110912644619</t>
  </si>
  <si>
    <t>Elizabeth Wood-Hull</t>
  </si>
  <si>
    <t>Google</t>
  </si>
  <si>
    <t>Erin Karsten</t>
  </si>
  <si>
    <t>Alessandro Ayres</t>
  </si>
  <si>
    <t>Claudia Mara Gueiros</t>
  </si>
  <si>
    <t>Pia Pennyfather</t>
  </si>
  <si>
    <t>BB23010810059029</t>
  </si>
  <si>
    <t>Mark Fidelman</t>
  </si>
  <si>
    <t>Internet</t>
  </si>
  <si>
    <t>Angela Ferrari</t>
  </si>
  <si>
    <t>Annamaria Molnar, Molnar Annamaria</t>
  </si>
  <si>
    <t>Maria-Pilar Dominguez</t>
  </si>
  <si>
    <t>BB23031210614492</t>
  </si>
  <si>
    <t>Gianin MÃ¼ller</t>
  </si>
  <si>
    <t>Andre Carvalho Foster Vidal</t>
  </si>
  <si>
    <t>Benjamin Stein</t>
  </si>
  <si>
    <t>Mary Przybylski</t>
  </si>
  <si>
    <t>Tiago FalcÃ£o Flores</t>
  </si>
  <si>
    <t>Jake Schiff</t>
  </si>
  <si>
    <t>Luiza Maia Bevilaqua Contursi</t>
  </si>
  <si>
    <t>Helen Green</t>
  </si>
  <si>
    <t>Trevor Bone</t>
  </si>
  <si>
    <t>Carla Portugal</t>
  </si>
  <si>
    <t>BB23112012721249</t>
  </si>
  <si>
    <t>LAURENCE MEENS</t>
  </si>
  <si>
    <t>YazmÃ­n Chino Morales</t>
  </si>
  <si>
    <t>BB23100612403311</t>
  </si>
  <si>
    <t>SCOTT SINDELAR</t>
  </si>
  <si>
    <t>Telma RÃ­os Condado</t>
  </si>
  <si>
    <t>Nikita Patel</t>
  </si>
  <si>
    <t>BB23072511797368</t>
  </si>
  <si>
    <t>Bartosz Skowronek</t>
  </si>
  <si>
    <t>TripAdvisor</t>
  </si>
  <si>
    <t>Maria Fernanda Quezada Valladares</t>
  </si>
  <si>
    <t>A-Expedia Affiliate Network</t>
  </si>
  <si>
    <t>Elda Beatriz Micheli</t>
  </si>
  <si>
    <t>Ganapathy Somayanda</t>
  </si>
  <si>
    <t>Magalhaes Furlanetto Mateus</t>
  </si>
  <si>
    <t>shahab behjat</t>
  </si>
  <si>
    <t>BB23111212662245</t>
  </si>
  <si>
    <t>sandra shaffer</t>
  </si>
  <si>
    <t>Kim and Mark Mahan</t>
  </si>
  <si>
    <t>Katrien Keysers</t>
  </si>
  <si>
    <t>Portugal Carla Luisa</t>
  </si>
  <si>
    <t>Dakshi Devgan</t>
  </si>
  <si>
    <t>Betty Liu</t>
  </si>
  <si>
    <t>Patricia Bauer</t>
  </si>
  <si>
    <t>Bonnie Oldham</t>
  </si>
  <si>
    <t>Nichole Meyer, Peter Meyer</t>
  </si>
  <si>
    <t>Ilya Rabich</t>
  </si>
  <si>
    <t>01/11/2023 08:07</t>
  </si>
  <si>
    <t>524474XXXXXXX4459</t>
  </si>
  <si>
    <t>01/11/2023 08:27</t>
  </si>
  <si>
    <t>414720XXXXXXX0311</t>
  </si>
  <si>
    <t>01/11/2023 20:48</t>
  </si>
  <si>
    <t>372823XXXXXX4009</t>
  </si>
  <si>
    <t>02/11/2023 14:04</t>
  </si>
  <si>
    <t>498453XXXXXXX0827</t>
  </si>
  <si>
    <t>02/11/2023 18:07</t>
  </si>
  <si>
    <t>454607XXXXXXX4366</t>
  </si>
  <si>
    <t>02/11/2023 18:12</t>
  </si>
  <si>
    <t>523431XXXXXXX6271</t>
  </si>
  <si>
    <t>03/11/2023 08:21</t>
  </si>
  <si>
    <t>528683XXXXXXX8344</t>
  </si>
  <si>
    <t>03/11/2023 16:19</t>
  </si>
  <si>
    <t>550021XXXXXXX6699</t>
  </si>
  <si>
    <t>04/11/2023 07:15</t>
  </si>
  <si>
    <t>376015XXXXXX1004</t>
  </si>
  <si>
    <t>04/11/2023 16:52</t>
  </si>
  <si>
    <t>372657XXXXXX2005</t>
  </si>
  <si>
    <t>04/11/2023 17:01</t>
  </si>
  <si>
    <t>438857XXXXXXX8038</t>
  </si>
  <si>
    <t>04/11/2023 17:09</t>
  </si>
  <si>
    <t>477175XXXXXXX2347</t>
  </si>
  <si>
    <t>04/11/2023 17:14</t>
  </si>
  <si>
    <t>438854XXXXXXX6876</t>
  </si>
  <si>
    <t>05/11/2023 16:16</t>
  </si>
  <si>
    <t>492942XXXXXXX4009</t>
  </si>
  <si>
    <t>05/11/2023 16:41</t>
  </si>
  <si>
    <t>553665XXXXXXX6145</t>
  </si>
  <si>
    <t>05/11/2023 19:13</t>
  </si>
  <si>
    <t>429590XXXXXXX9869</t>
  </si>
  <si>
    <t>05/11/2023 23:01</t>
  </si>
  <si>
    <t>449353XXXXXXX0946</t>
  </si>
  <si>
    <t>06/11/2023 11:05</t>
  </si>
  <si>
    <t>455599XXXXXXX5919</t>
  </si>
  <si>
    <t>07/11/2023 07:09</t>
  </si>
  <si>
    <t>489396XXXXXXX6780</t>
  </si>
  <si>
    <t>07/11/2023 09:59</t>
  </si>
  <si>
    <t>447637XXXXXXX1129</t>
  </si>
  <si>
    <t>07/11/2023 12:22</t>
  </si>
  <si>
    <t>414720XXXXXXX5527</t>
  </si>
  <si>
    <t>07/11/2023 18:10</t>
  </si>
  <si>
    <t>379262XXXXXX1000</t>
  </si>
  <si>
    <t>08/11/2023 11:14</t>
  </si>
  <si>
    <t>08/11/2023 16:23</t>
  </si>
  <si>
    <t>414720XXXXXXX3486</t>
  </si>
  <si>
    <t>08/11/2023 17:47</t>
  </si>
  <si>
    <t>08/11/2023 18:55</t>
  </si>
  <si>
    <t>454073XXXXXXX0754</t>
  </si>
  <si>
    <t>08/11/2023 19:35</t>
  </si>
  <si>
    <t>379259XXXXXX2005</t>
  </si>
  <si>
    <t>08/11/2023 21:25</t>
  </si>
  <si>
    <t>499897XXXXXXX9829</t>
  </si>
  <si>
    <t>09/11/2023 13:51</t>
  </si>
  <si>
    <t>414720XXXXXXX8929</t>
  </si>
  <si>
    <t>09/11/2023 18:49</t>
  </si>
  <si>
    <t>459080XXXXXXX0714</t>
  </si>
  <si>
    <t>09/11/2023 18:56</t>
  </si>
  <si>
    <t>490172XXXXXXX3626</t>
  </si>
  <si>
    <t>09/11/2023 19:17</t>
  </si>
  <si>
    <t>536684XXXXXXX8586</t>
  </si>
  <si>
    <t>10/11/2023 08:19</t>
  </si>
  <si>
    <t>489396XXXXXXX6675</t>
  </si>
  <si>
    <t>10/11/2023 11:37</t>
  </si>
  <si>
    <t>480630XXXXXXX1280</t>
  </si>
  <si>
    <t>10/11/2023 11:38</t>
  </si>
  <si>
    <t>406655XXXXXXX8421</t>
  </si>
  <si>
    <t>10/11/2023 14:41</t>
  </si>
  <si>
    <t>10/11/2023 17:28</t>
  </si>
  <si>
    <t>414720XXXXXXX9553</t>
  </si>
  <si>
    <t>10/11/2023 21:13</t>
  </si>
  <si>
    <t>554463XXXXXXX5126</t>
  </si>
  <si>
    <t>10/11/2023 21:19</t>
  </si>
  <si>
    <t>403594XXXXXXX1013</t>
  </si>
  <si>
    <t>10/11/2023 22:13</t>
  </si>
  <si>
    <t>553636XXXXXXX2102</t>
  </si>
  <si>
    <t>11/11/2023 09:01</t>
  </si>
  <si>
    <t>524474XXXXXXX0246</t>
  </si>
  <si>
    <t>11/11/2023 10:46</t>
  </si>
  <si>
    <t>498401XXXXXXX1330</t>
  </si>
  <si>
    <t>11/11/2023 11:07</t>
  </si>
  <si>
    <t>533187XXXXXXX3762</t>
  </si>
  <si>
    <t>11/11/2023 13:34</t>
  </si>
  <si>
    <t>11/11/2023 14:33</t>
  </si>
  <si>
    <t>541278XXXXXXX0808</t>
  </si>
  <si>
    <t>11/11/2023 16:20</t>
  </si>
  <si>
    <t>11/11/2023 19:25</t>
  </si>
  <si>
    <t>552252XXXXXXX5924</t>
  </si>
  <si>
    <t>11/11/2023 22:22</t>
  </si>
  <si>
    <t>12/11/2023 11:56</t>
  </si>
  <si>
    <t>431613XXXXXXX8184</t>
  </si>
  <si>
    <t>12/11/2023 16:33</t>
  </si>
  <si>
    <t>402029XXXXXXX8269</t>
  </si>
  <si>
    <t>13/11/2023 19:17</t>
  </si>
  <si>
    <t>373799XXXXXX1002</t>
  </si>
  <si>
    <t>14/11/2023 10:50</t>
  </si>
  <si>
    <t>14/11/2023 11:39</t>
  </si>
  <si>
    <t>414720XXXXXXX5967</t>
  </si>
  <si>
    <t>14/11/2023 17:12</t>
  </si>
  <si>
    <t>14/11/2023 18:13</t>
  </si>
  <si>
    <t>372655XXXXXX2004</t>
  </si>
  <si>
    <t>14/11/2023 18:33</t>
  </si>
  <si>
    <t>414720XXXXXXX8872</t>
  </si>
  <si>
    <t>15/11/2023 07:26</t>
  </si>
  <si>
    <t>477176XXXXXXX3565</t>
  </si>
  <si>
    <t>15/11/2023 08:15</t>
  </si>
  <si>
    <t>439701XXXXXXX2880</t>
  </si>
  <si>
    <t>15/11/2023 08:30</t>
  </si>
  <si>
    <t>15/11/2023 08:42</t>
  </si>
  <si>
    <t>15/11/2023 09:37</t>
  </si>
  <si>
    <t>439701XXXXXXX9555</t>
  </si>
  <si>
    <t>15/11/2023 11:28</t>
  </si>
  <si>
    <t>15/11/2023 19:41</t>
  </si>
  <si>
    <t>377987XXXXXX1001</t>
  </si>
  <si>
    <t>15/11/2023 22:57</t>
  </si>
  <si>
    <t>16/11/2023 17:45</t>
  </si>
  <si>
    <t>518941XXXXXXX9668</t>
  </si>
  <si>
    <t>16/11/2023 21:17</t>
  </si>
  <si>
    <t>16/11/2023 21:52</t>
  </si>
  <si>
    <t>552289XXXXXXX8594</t>
  </si>
  <si>
    <t>17/11/2023 15:09</t>
  </si>
  <si>
    <t>522468XXXXXXX1073</t>
  </si>
  <si>
    <t>17/11/2023 18:20</t>
  </si>
  <si>
    <t>456468XXXXXXX2891</t>
  </si>
  <si>
    <t>18/11/2023 10:15</t>
  </si>
  <si>
    <t>408803XXXXXXX0931</t>
  </si>
  <si>
    <t>18/11/2023 11:13</t>
  </si>
  <si>
    <t>456469XXXXXXX9635</t>
  </si>
  <si>
    <t>18/11/2023 11:24</t>
  </si>
  <si>
    <t>373969XXXXXX2002</t>
  </si>
  <si>
    <t>18/11/2023 16:10</t>
  </si>
  <si>
    <t>522840XXXXXXX4002</t>
  </si>
  <si>
    <t>18/11/2023 17:28</t>
  </si>
  <si>
    <t>19/11/2023 12:56</t>
  </si>
  <si>
    <t>19/11/2023 13:01</t>
  </si>
  <si>
    <t>19/11/2023 15:36</t>
  </si>
  <si>
    <t>19/11/2023 16:50</t>
  </si>
  <si>
    <t>491782XXXXXXX7812</t>
  </si>
  <si>
    <t>19/11/2023 17:13</t>
  </si>
  <si>
    <t>414720XXXXXXX3816</t>
  </si>
  <si>
    <t>19/11/2023 17:22</t>
  </si>
  <si>
    <t>374971XXXXXX3004</t>
  </si>
  <si>
    <t>19/11/2023 17:29</t>
  </si>
  <si>
    <t>371782XXXXXX2009</t>
  </si>
  <si>
    <t>19/11/2023 18:20</t>
  </si>
  <si>
    <t xml:space="preserve">20/11/2023  </t>
  </si>
  <si>
    <t>20/11/2023 08:25</t>
  </si>
  <si>
    <t>522840XXXXXXX0855</t>
  </si>
  <si>
    <t>21/11/2023 10:58</t>
  </si>
  <si>
    <t>425850XXXXXXX0726</t>
  </si>
  <si>
    <t>21/11/2023 11:49</t>
  </si>
  <si>
    <t>414720XXXXXXX3691</t>
  </si>
  <si>
    <t>21/11/2023 16:18</t>
  </si>
  <si>
    <t>21/11/2023 16:57</t>
  </si>
  <si>
    <t>21/11/2023 17:11</t>
  </si>
  <si>
    <t>21/11/2023 17:21</t>
  </si>
  <si>
    <t>521876XXXXXXX3874</t>
  </si>
  <si>
    <t>21/11/2023 21:27</t>
  </si>
  <si>
    <t>481514XXXXXXX2921</t>
  </si>
  <si>
    <t>21/11/2023 21:28</t>
  </si>
  <si>
    <t>22/11/2023 13:09</t>
  </si>
  <si>
    <t>22/11/2023 20:23</t>
  </si>
  <si>
    <t>427082XXXXXXX7117</t>
  </si>
  <si>
    <t>23/11/2023 16:06</t>
  </si>
  <si>
    <t>23/11/2023 16:46</t>
  </si>
  <si>
    <t>23/11/2023 21:41</t>
  </si>
  <si>
    <t>24/11/2023 14:23</t>
  </si>
  <si>
    <t>24/11/2023 16:31</t>
  </si>
  <si>
    <t>552489XXXXXXX2726</t>
  </si>
  <si>
    <t>24/11/2023 20:07</t>
  </si>
  <si>
    <t>414720XXXXXXX9635</t>
  </si>
  <si>
    <t>24/11/2023 20:15</t>
  </si>
  <si>
    <t>410039XXXXXXX4702</t>
  </si>
  <si>
    <t>24/11/2023 20:25</t>
  </si>
  <si>
    <t>512215XXXXXXX4567</t>
  </si>
  <si>
    <t>25/11/2023 10:08</t>
  </si>
  <si>
    <t>25/11/2023 12:11</t>
  </si>
  <si>
    <t>536088XXXXXXX6327</t>
  </si>
  <si>
    <t>25/11/2023 13:26</t>
  </si>
  <si>
    <t>25/11/2023 18:19</t>
  </si>
  <si>
    <t>518941XXXXXXX5310</t>
  </si>
  <si>
    <t>26/11/2023 15:03</t>
  </si>
  <si>
    <t>553636XXXXXXX0963</t>
  </si>
  <si>
    <t>26/11/2023 16:57</t>
  </si>
  <si>
    <t>440066XXXXXXX8290</t>
  </si>
  <si>
    <t>26/11/2023 17:14</t>
  </si>
  <si>
    <t>410039XXXXXXX7311</t>
  </si>
  <si>
    <t>26/11/2023 18:10</t>
  </si>
  <si>
    <t>553636XXXXXXX5287</t>
  </si>
  <si>
    <t>27/11/2023 08:34</t>
  </si>
  <si>
    <t>456469XXXXXXX2139</t>
  </si>
  <si>
    <t>27/11/2023 19:24</t>
  </si>
  <si>
    <t>433830XXXXXXX5367</t>
  </si>
  <si>
    <t>28/11/2023 18:11</t>
  </si>
  <si>
    <t>498408XXXXXXX5911</t>
  </si>
  <si>
    <t>29/11/2023 21:13</t>
  </si>
  <si>
    <t>29/11/2023 22:44</t>
  </si>
  <si>
    <t>30/11/2023 16:44</t>
  </si>
  <si>
    <t>30/11/2023 19:02</t>
  </si>
  <si>
    <t>30/11/2023 19:33</t>
  </si>
  <si>
    <t>204126</t>
  </si>
  <si>
    <t>212478</t>
  </si>
  <si>
    <t>683910</t>
  </si>
  <si>
    <t>183806</t>
  </si>
  <si>
    <t>188954</t>
  </si>
  <si>
    <t>195146</t>
  </si>
  <si>
    <t>199926</t>
  </si>
  <si>
    <t>223546</t>
  </si>
  <si>
    <t>CA 12 FALS 311894</t>
  </si>
  <si>
    <t>311894</t>
  </si>
  <si>
    <t>COPEC CALAMA 504694</t>
  </si>
  <si>
    <t>504694</t>
  </si>
  <si>
    <t>SOC COM Y DISTRIB JIUSAN GROUP LTDA</t>
  </si>
  <si>
    <t>EXTINTORES ROSITA 675381</t>
  </si>
  <si>
    <t>675381</t>
  </si>
  <si>
    <t>OSCAR ANTONIO NUNEZ LAVADO</t>
  </si>
  <si>
    <t>SODIMAC CALAMA 460582</t>
  </si>
  <si>
    <t>460582</t>
  </si>
  <si>
    <t>CASA ANITA 276948</t>
  </si>
  <si>
    <t>276948</t>
  </si>
  <si>
    <t xml:space="preserve">JOSE WILIBERTO NUNEZ TALA </t>
  </si>
  <si>
    <t>PLASTICENTRO MERI 411170</t>
  </si>
  <si>
    <t>411170</t>
  </si>
  <si>
    <t>VICTOR EDUARDO MERIDA MERIDA</t>
  </si>
  <si>
    <t>SODIMAC CALAMA 636330</t>
  </si>
  <si>
    <t>636330</t>
  </si>
  <si>
    <t>FERRETERIA SAN PE 562678</t>
  </si>
  <si>
    <t>562678</t>
  </si>
  <si>
    <t>FERRETERIA SAN PEDRO CRISTIAN MANUEL CRUZ CRUZ E.I.R.L.</t>
  </si>
  <si>
    <t>SumUp * comercial 91330</t>
  </si>
  <si>
    <t>91330</t>
  </si>
  <si>
    <t>COMERCIALIZADORA DE ALIMENTOS Y OTROS TRINIDAD HEIN FERNÁNDEZ E.I.R.L.</t>
  </si>
  <si>
    <t>JAIME ALBERTO MAR 206691</t>
  </si>
  <si>
    <t>206691</t>
  </si>
  <si>
    <t>CRISTIAN ZAMORA F 355859</t>
  </si>
  <si>
    <t>355859</t>
  </si>
  <si>
    <t>CRISTIAN RUBEN ZAMORA FERNANDEZ</t>
  </si>
  <si>
    <t>JUMBO PORTAL CALA 206934</t>
  </si>
  <si>
    <t>206934</t>
  </si>
  <si>
    <t>JUMBO PORTAL CALA 210974</t>
  </si>
  <si>
    <t>210974</t>
  </si>
  <si>
    <t>JUMBO PORTAL CALA 214790</t>
  </si>
  <si>
    <t>214790</t>
  </si>
  <si>
    <t>HIP LIDER CALAMA 569622</t>
  </si>
  <si>
    <t>569622</t>
  </si>
  <si>
    <t>HIP LIDER CALAMA 574674</t>
  </si>
  <si>
    <t>574674</t>
  </si>
  <si>
    <t>HIP LIDER CALAMA 585394</t>
  </si>
  <si>
    <t>585394</t>
  </si>
  <si>
    <t>HIP LIDER CALAMA 599518</t>
  </si>
  <si>
    <t>599518</t>
  </si>
  <si>
    <t>SODIMAC CALAMA 193614</t>
  </si>
  <si>
    <t>193614</t>
  </si>
  <si>
    <t>CA 10 LID3 604830</t>
  </si>
  <si>
    <t>604830</t>
  </si>
  <si>
    <t>JUMBO PORTAL CALA 679570</t>
  </si>
  <si>
    <t>679570</t>
  </si>
  <si>
    <t>JUMBO PORTAL CALA 684014</t>
  </si>
  <si>
    <t>684014</t>
  </si>
  <si>
    <t>COPEC RUTA 27 830278</t>
  </si>
  <si>
    <t>830278</t>
  </si>
  <si>
    <t>COMERCIAL MALLKU LTDA</t>
  </si>
  <si>
    <t>216266</t>
  </si>
  <si>
    <t>DISTRIBUID. COMERCIAL ADMINISTRAC. REPRESENTAC. Y SERVICIOS SPA</t>
  </si>
  <si>
    <t>JUMBO PORTAL CALA 741334</t>
  </si>
  <si>
    <t>741334</t>
  </si>
  <si>
    <t>JUMBO PORTAL CALA 746226</t>
  </si>
  <si>
    <t>746226</t>
  </si>
  <si>
    <t>HIP LIDER CALAMA 993566</t>
  </si>
  <si>
    <t>993566</t>
  </si>
  <si>
    <t>HIP LIDER CALAMA 999914</t>
  </si>
  <si>
    <t>999914</t>
  </si>
  <si>
    <t>HIP LIDER CALAMA 18314</t>
  </si>
  <si>
    <t>18314</t>
  </si>
  <si>
    <t>HIP LIDER CALAMA 21610</t>
  </si>
  <si>
    <t>21610</t>
  </si>
  <si>
    <t>SODIMAC CALAMA 334138</t>
  </si>
  <si>
    <t>334138</t>
  </si>
  <si>
    <t>EXTINTORES ROSITA 207140</t>
  </si>
  <si>
    <t>207140</t>
  </si>
  <si>
    <t>CRISTIAN ZAMORA F 146120</t>
  </si>
  <si>
    <t>146120</t>
  </si>
  <si>
    <t>MALU E.I.R.L. 203554</t>
  </si>
  <si>
    <t>203554</t>
  </si>
  <si>
    <t>JUMBO PORTAL CALA 854774</t>
  </si>
  <si>
    <t>854774</t>
  </si>
  <si>
    <t>JUMBO PORTAL CALA 859110</t>
  </si>
  <si>
    <t>859110</t>
  </si>
  <si>
    <t>JUMBO PORTAL CALA 860530</t>
  </si>
  <si>
    <t>860530</t>
  </si>
  <si>
    <t>JUMBO PORTAL CALA 898506</t>
  </si>
  <si>
    <t>898506</t>
  </si>
  <si>
    <t>HIP LIDER CALAMA 978602</t>
  </si>
  <si>
    <t>978602</t>
  </si>
  <si>
    <t>HIP LIDER CALAMA 987086</t>
  </si>
  <si>
    <t>987086</t>
  </si>
  <si>
    <t>HIP LIDER CALAMA 990282</t>
  </si>
  <si>
    <t>990282</t>
  </si>
  <si>
    <t>HIP LIDER CALAMA 2398</t>
  </si>
  <si>
    <t>2398</t>
  </si>
  <si>
    <t>SODIMAC CALAMA 335806</t>
  </si>
  <si>
    <t>335806</t>
  </si>
  <si>
    <t>CA 08 LIDD 663162</t>
  </si>
  <si>
    <t>663162</t>
  </si>
  <si>
    <t>COPEC CALAMA 894198</t>
  </si>
  <si>
    <t>894198</t>
  </si>
  <si>
    <t>CALAMA 782674</t>
  </si>
  <si>
    <t>782674</t>
  </si>
  <si>
    <t>EMPRESA DE TRANSPORTES VARMONNT LTDA</t>
  </si>
  <si>
    <t>EASY CALAMA 594730</t>
  </si>
  <si>
    <t>594730</t>
  </si>
  <si>
    <t>CA 12 FALS 370738</t>
  </si>
  <si>
    <t>370738</t>
  </si>
  <si>
    <t>314517</t>
  </si>
  <si>
    <t>246170</t>
  </si>
  <si>
    <t>JAIME ALBERTO MAR 866151</t>
  </si>
  <si>
    <t>866151</t>
  </si>
  <si>
    <t>JUMBO PORTAL CALA 441026</t>
  </si>
  <si>
    <t>441026</t>
  </si>
  <si>
    <t>JUMBO PORTAL CALA 439262</t>
  </si>
  <si>
    <t>439262</t>
  </si>
  <si>
    <t>JUMBO PORTAL CALA 443482</t>
  </si>
  <si>
    <t>443482</t>
  </si>
  <si>
    <t>HIP LIDER CALAMA 784750</t>
  </si>
  <si>
    <t>784750</t>
  </si>
  <si>
    <t>HIP LIDER CALAMA 788438</t>
  </si>
  <si>
    <t>788438</t>
  </si>
  <si>
    <t>HIP LIDER CALAMA 792998</t>
  </si>
  <si>
    <t>792998</t>
  </si>
  <si>
    <t>HIP LIDER CALAMA 809102</t>
  </si>
  <si>
    <t>809102</t>
  </si>
  <si>
    <t>JUMBO PORTAL CALA 920826</t>
  </si>
  <si>
    <t>920826</t>
  </si>
  <si>
    <t>EASY CALAMA 344918</t>
  </si>
  <si>
    <t>344918</t>
  </si>
  <si>
    <t>SODIMAC CALAMA 335934</t>
  </si>
  <si>
    <t>335934</t>
  </si>
  <si>
    <t>SODIMAC RETAIL S.A.</t>
  </si>
  <si>
    <t>02/11/2023</t>
  </si>
  <si>
    <t>03/11/2023</t>
  </si>
  <si>
    <t>07/11/2023</t>
  </si>
  <si>
    <t>08/11/2023</t>
  </si>
  <si>
    <t>09/11/2023</t>
  </si>
  <si>
    <t>13/11/2023</t>
  </si>
  <si>
    <t>14/11/2023</t>
  </si>
  <si>
    <t>15/11/2023</t>
  </si>
  <si>
    <t>20/11/2023</t>
  </si>
  <si>
    <t>21/11/2023</t>
  </si>
  <si>
    <t>22/11/2023</t>
  </si>
  <si>
    <t>27/11/2023</t>
  </si>
  <si>
    <t>28/11/2023</t>
  </si>
  <si>
    <t>TRANSFERENCIA RETAIL S.C.</t>
  </si>
  <si>
    <t>24/11/2023</t>
  </si>
  <si>
    <t>GIRO CAJ AUTOM, 12:31, 03/11</t>
  </si>
  <si>
    <t>GIRO CAJ AUTOM, 11:34, 08/11</t>
  </si>
  <si>
    <t>GIRO CAJ AUTOM, 09:54, 13/11</t>
  </si>
  <si>
    <t>GIRO CAJ AUTOM, 10:41, 14/11</t>
  </si>
  <si>
    <t>GIRO CAJ AUTOM, 09:25, 20/11</t>
  </si>
  <si>
    <t>GIRO CAJ AUTOM, 17:16, 20/11</t>
  </si>
  <si>
    <t>GIRO CAJ AUTOM, 12:05, 21/11</t>
  </si>
  <si>
    <t>GIRO CAJ AUTOM, 11:57, 22/11</t>
  </si>
  <si>
    <t>23/11/2023</t>
  </si>
  <si>
    <t>GIRO CAJ AUTOM, 09:44, 23/11</t>
  </si>
  <si>
    <t>GIRO CAJ AUTOM, 06:51, 28/11</t>
  </si>
  <si>
    <t>30/11/2023</t>
  </si>
  <si>
    <t>GIRO CAJ AUTOM, 10:32, 30/11</t>
  </si>
  <si>
    <t>CIERRES X METRO</t>
  </si>
  <si>
    <t>ENRIQUE OCTAVIO CORTES TENORIO</t>
  </si>
  <si>
    <t>TELA MARRÓN SACOS ARENA</t>
  </si>
  <si>
    <t>CARLOS WILLIAMS DIAZ ROJAS</t>
  </si>
  <si>
    <t>GENERO LINO Y ELÁSTICO</t>
  </si>
  <si>
    <t>DAYSI MARIA CASTELLANOS ZURITA</t>
  </si>
  <si>
    <t>LAVAPARABRISAS LIQUIDO</t>
  </si>
  <si>
    <t>CILANTRO</t>
  </si>
  <si>
    <t>8 BIDONES DE AGUA FILTRADA 20 LTS</t>
  </si>
  <si>
    <t>EMPRESA DE TURISMO Y HOTELERIA CRISTIAN RODRIGO MARTINEZ QUISPE EMPRES</t>
  </si>
  <si>
    <t>CAMBIO DE RESISTENCIA TERMO ELÉCTRICO</t>
  </si>
  <si>
    <t>J&amp;D SOLUCIONES ELÉCTRICAS SPA</t>
  </si>
  <si>
    <t>ESTACIONAMIENTO MALL CALAMA</t>
  </si>
  <si>
    <t>SILICONA TAPAGOTERA</t>
  </si>
  <si>
    <t>VICTORIA EDELMIRA OILAR MIRANDA</t>
  </si>
  <si>
    <t>FRUTOS SECOS</t>
  </si>
  <si>
    <t>YOGHURT PAXS</t>
  </si>
  <si>
    <t>DISTRIBUID. COMERCIAL. ADMINISTRAC. REPRESENTAC. Y SERVICIOS SPA</t>
  </si>
  <si>
    <t>PALTAS DESAYUNO</t>
  </si>
  <si>
    <t>PANELES SOLARES SOLOR STARKEN</t>
  </si>
  <si>
    <t>TRANSPORTES , TECNOLOGÍA Y GIROS EGT LTDA.</t>
  </si>
  <si>
    <t>SILICONA VIDRIO HAB 07</t>
  </si>
  <si>
    <t>PETRÓLEO PARA GENERADOR (CORTES CESPA)</t>
  </si>
  <si>
    <t>COPLA FUGA ZONA GENERADOR</t>
  </si>
  <si>
    <t>VERDURA SURTIDA</t>
  </si>
  <si>
    <t>FRUTA SURTIDA</t>
  </si>
  <si>
    <t>LAVADO NISSAN</t>
  </si>
  <si>
    <t>DIAMOND WAX INTERNACIONAL SPA</t>
  </si>
  <si>
    <t>CHOCOLATES HAB Y BOLSAS SNACKS</t>
  </si>
  <si>
    <t>PANES PATRICIO ZAMORA</t>
  </si>
  <si>
    <t>COSTURAS</t>
  </si>
  <si>
    <t>INSTALACION Y VIDRIO EN OJO DE LUZ HAB 07</t>
  </si>
  <si>
    <t>PABLO LEONARDO TINTE ALMENDARES</t>
  </si>
  <si>
    <t>MANTENIMIENTO</t>
  </si>
  <si>
    <t>VERDURAS SURTIDAS (FC PENDIENTE DE NOV23)</t>
  </si>
  <si>
    <t>HUGO BOJORGES LOZA</t>
  </si>
  <si>
    <t>FRUTAS SURTIDAS (FC PENDIENTE DE NOV23)</t>
  </si>
  <si>
    <t>29/11/2023</t>
  </si>
  <si>
    <t>56953272</t>
  </si>
  <si>
    <t>Sueldo Nov23</t>
  </si>
  <si>
    <t>56953208</t>
  </si>
  <si>
    <t>56953746</t>
  </si>
  <si>
    <t>56953653</t>
  </si>
  <si>
    <t>56953702</t>
  </si>
  <si>
    <t>56953352</t>
  </si>
  <si>
    <t>56953552</t>
  </si>
  <si>
    <t>56953311</t>
  </si>
  <si>
    <t>56953432</t>
  </si>
  <si>
    <t>56953507</t>
  </si>
  <si>
    <t>56953950</t>
  </si>
  <si>
    <t>56953831</t>
  </si>
  <si>
    <t>56953912</t>
  </si>
  <si>
    <t>56953868</t>
  </si>
  <si>
    <t>56954257</t>
  </si>
  <si>
    <t>19.709.941-0</t>
  </si>
  <si>
    <t>206520363</t>
  </si>
  <si>
    <t xml:space="preserve">Catalina Panades                             </t>
  </si>
  <si>
    <t>56696237</t>
  </si>
  <si>
    <t>8.206.404-4</t>
  </si>
  <si>
    <t>55100018623</t>
  </si>
  <si>
    <t xml:space="preserve">Paulina Saez Palma                           </t>
  </si>
  <si>
    <t>envio fedex</t>
  </si>
  <si>
    <t>56657373</t>
  </si>
  <si>
    <t>81.826.800-9</t>
  </si>
  <si>
    <t>1018515</t>
  </si>
  <si>
    <t xml:space="preserve">Caja Los Andes                               </t>
  </si>
  <si>
    <t>Cobranza 761915614</t>
  </si>
  <si>
    <t>56639157</t>
  </si>
  <si>
    <t>56606993</t>
  </si>
  <si>
    <t>factura 1388628</t>
  </si>
  <si>
    <t>56501760</t>
  </si>
  <si>
    <t>76.198.961-8</t>
  </si>
  <si>
    <t>76358704</t>
  </si>
  <si>
    <t xml:space="preserve">Sociedad comercial Araya y torres limita     </t>
  </si>
  <si>
    <t>cot 10522</t>
  </si>
  <si>
    <t>17/11/2023</t>
  </si>
  <si>
    <t>56240489</t>
  </si>
  <si>
    <t>77.893.570-8</t>
  </si>
  <si>
    <t>62273704</t>
  </si>
  <si>
    <t xml:space="preserve">Horus Promotion &amp; Marketing Ltda             </t>
  </si>
  <si>
    <t>Nota venta 25937</t>
  </si>
  <si>
    <t>56130789</t>
  </si>
  <si>
    <t>18.757.567-2</t>
  </si>
  <si>
    <t>18757567</t>
  </si>
  <si>
    <t xml:space="preserve">Allison Villarroel                           </t>
  </si>
  <si>
    <t>Pago1 Hotel Pascual Andino</t>
  </si>
  <si>
    <t>56012109</t>
  </si>
  <si>
    <t>Sueldo nov 2023</t>
  </si>
  <si>
    <t>55965695</t>
  </si>
  <si>
    <t>96.568.740-8</t>
  </si>
  <si>
    <t>1610169807</t>
  </si>
  <si>
    <t xml:space="preserve">GASCO GLP S.A                                </t>
  </si>
  <si>
    <t>Factura 10717908</t>
  </si>
  <si>
    <t>55965849</t>
  </si>
  <si>
    <t>96.982.330-6</t>
  </si>
  <si>
    <t>21066477</t>
  </si>
  <si>
    <t xml:space="preserve">CESPA Ltda                                   </t>
  </si>
  <si>
    <t>fact 40494</t>
  </si>
  <si>
    <t>55965884</t>
  </si>
  <si>
    <t>fact 40495</t>
  </si>
  <si>
    <t>55965920</t>
  </si>
  <si>
    <t>fact 40496</t>
  </si>
  <si>
    <t>10/11/2023</t>
  </si>
  <si>
    <t>55789526</t>
  </si>
  <si>
    <t>28290852</t>
  </si>
  <si>
    <t xml:space="preserve">Sergio Zamora Ramirez                        </t>
  </si>
  <si>
    <t>compra membrana asfltica</t>
  </si>
  <si>
    <t>55612368</t>
  </si>
  <si>
    <t>12.823.700-3</t>
  </si>
  <si>
    <t>71486095</t>
  </si>
  <si>
    <t xml:space="preserve">Jose Hernandez Calderon                      </t>
  </si>
  <si>
    <t>cuota sep a nov 2023</t>
  </si>
  <si>
    <t>06/11/2023</t>
  </si>
  <si>
    <t>55520378</t>
  </si>
  <si>
    <t>10337992 fact  1600005759</t>
  </si>
  <si>
    <t>55480395</t>
  </si>
  <si>
    <t>9.694.297-4</t>
  </si>
  <si>
    <t>6706983</t>
  </si>
  <si>
    <t xml:space="preserve">Jorge Baez Rojas                             </t>
  </si>
  <si>
    <t>serv contable oct-nov</t>
  </si>
  <si>
    <t>55480328</t>
  </si>
  <si>
    <t>76.682.722-5</t>
  </si>
  <si>
    <t>2370592508</t>
  </si>
  <si>
    <t xml:space="preserve">SOLUCIONES KAME SPA                          </t>
  </si>
  <si>
    <t>Fact 7986 Soc Hotelera Zamora</t>
  </si>
  <si>
    <t>55480714</t>
  </si>
  <si>
    <t>fact 2321118856</t>
  </si>
  <si>
    <t>55520579</t>
  </si>
  <si>
    <t>72.809.800-7</t>
  </si>
  <si>
    <t>54003610</t>
  </si>
  <si>
    <t xml:space="preserve">Comite de Agua San Pedro de Atacama          </t>
  </si>
  <si>
    <t>fact 29543</t>
  </si>
  <si>
    <t>01/11/2023</t>
  </si>
  <si>
    <t>55147127</t>
  </si>
  <si>
    <t>PAGO CREDITO</t>
  </si>
  <si>
    <t>876598778</t>
  </si>
  <si>
    <t>Transfer a COMITE DE AGUA</t>
  </si>
  <si>
    <t>954003610</t>
  </si>
  <si>
    <t>876598714</t>
  </si>
  <si>
    <t>876598731</t>
  </si>
  <si>
    <t>876598760</t>
  </si>
  <si>
    <t>877263430</t>
  </si>
  <si>
    <t>PAGO DEUDA TARJETA DE CREDITO</t>
  </si>
  <si>
    <t>125</t>
  </si>
  <si>
    <t>COMISION POR PLAN CTA CTE (CUOTA 5)</t>
  </si>
  <si>
    <t>758202</t>
  </si>
  <si>
    <t>Transfer a S.ZAMORA RAMIR</t>
  </si>
  <si>
    <t>928290852</t>
  </si>
  <si>
    <t>Transfer a CESPA LTDA</t>
  </si>
  <si>
    <t>921066477</t>
  </si>
  <si>
    <t>879905957</t>
  </si>
  <si>
    <t>880161027</t>
  </si>
  <si>
    <t>16/11/2023</t>
  </si>
  <si>
    <t>880913206</t>
  </si>
  <si>
    <t>881744328</t>
  </si>
  <si>
    <t>Transfer a AGENCIA LUNA L</t>
  </si>
  <si>
    <t>976358704</t>
  </si>
  <si>
    <t>884796511</t>
  </si>
  <si>
    <t>885180312</t>
  </si>
  <si>
    <t>885395966</t>
  </si>
  <si>
    <t>887617702</t>
  </si>
  <si>
    <t>887617674</t>
  </si>
  <si>
    <t>887617730</t>
  </si>
  <si>
    <t>887617783</t>
  </si>
  <si>
    <t>887617756</t>
  </si>
  <si>
    <t>887617653</t>
  </si>
  <si>
    <t>887617550</t>
  </si>
  <si>
    <t>887617577</t>
  </si>
  <si>
    <t>887617521</t>
  </si>
  <si>
    <t>887617534</t>
  </si>
  <si>
    <t>887617586</t>
  </si>
  <si>
    <t>887617625</t>
  </si>
  <si>
    <t>887617638</t>
  </si>
  <si>
    <t>887617603</t>
  </si>
  <si>
    <t>887617612</t>
  </si>
  <si>
    <t>1710 11870828</t>
  </si>
  <si>
    <t>MITTA RENT A CAR WE SANTIAGO</t>
  </si>
  <si>
    <t>1710 11883902</t>
  </si>
  <si>
    <t>2310 10446517</t>
  </si>
  <si>
    <t>2410 10017364</t>
  </si>
  <si>
    <t>22/10/2023</t>
  </si>
  <si>
    <t>PETROBRAS MIGUEL GR CALAMA</t>
  </si>
  <si>
    <t>1010 00000000</t>
  </si>
  <si>
    <t>1910 00000000</t>
  </si>
  <si>
    <t>2310 00000000</t>
  </si>
  <si>
    <t>3010 00000000</t>
  </si>
  <si>
    <t>0211 00000000</t>
  </si>
  <si>
    <t>0711 00000000</t>
  </si>
  <si>
    <t>IMPUESTO DECRETO LEY 3475 TASA 0,066 %</t>
  </si>
  <si>
    <t>INTERESES ROTATIVOS</t>
  </si>
  <si>
    <t>0811 24204293311000526994040</t>
  </si>
  <si>
    <t>029-2214444</t>
  </si>
  <si>
    <t>US</t>
  </si>
  <si>
    <t>US$ 234,98</t>
  </si>
  <si>
    <t>2011 74609053322000003168143</t>
  </si>
  <si>
    <t>ILOVEPDF.COM</t>
  </si>
  <si>
    <t>BARCELONA</t>
  </si>
  <si>
    <t>ES</t>
  </si>
  <si>
    <t>US$ 7</t>
  </si>
  <si>
    <t>2111 24430993324091266001589</t>
  </si>
  <si>
    <t>MSFT * E0300PXU6U</t>
  </si>
  <si>
    <t>MSBILL.INFO</t>
  </si>
  <si>
    <t>US$ 9,82</t>
  </si>
  <si>
    <t>2811 74579163331570265259790</t>
  </si>
  <si>
    <t>ALIEXPRESS</t>
  </si>
  <si>
    <t>LONDON</t>
  </si>
  <si>
    <t>GB</t>
  </si>
  <si>
    <t>US$ 49,84</t>
  </si>
  <si>
    <t>2811 24492163332000027553254</t>
  </si>
  <si>
    <t>WWW.HOTELOG</t>
  </si>
  <si>
    <t>US$ 90</t>
  </si>
  <si>
    <t>0412 24204293335001312994048</t>
  </si>
  <si>
    <t>650-2530000</t>
  </si>
  <si>
    <t>US$ 54</t>
  </si>
  <si>
    <t>ABONO OP RECIB 62300600267</t>
  </si>
  <si>
    <t>ABONO OP RECIB 62300609415</t>
  </si>
  <si>
    <t>ABONO OP RECIB 62300620594</t>
  </si>
  <si>
    <t>ABONO OP RECIB 62300629581</t>
  </si>
  <si>
    <t>ABONO OP RECIB 62300637759</t>
  </si>
  <si>
    <t>ABONO OP RECIB 62300652093</t>
  </si>
  <si>
    <t>Cocktail aniversario pago1</t>
  </si>
  <si>
    <t>amenities</t>
  </si>
  <si>
    <t>Botellas aniversario</t>
  </si>
  <si>
    <t>Flete e impuestos de internación Docificadores Shampoo</t>
  </si>
  <si>
    <t>Compra repuestos sensores temperatura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</si>
</sst>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8"/>
      <color rgb="FF706F6F"/>
      <name val="Arial"/>
      <family val="2"/>
    </font>
    <font>
      <sz val="10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42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1" fillId="0" borderId="24" xfId="0" applyFont="1" applyBorder="1" applyAlignment="1">
      <alignment horizontal="left" vertical="center" wrapText="1"/>
    </xf>
    <xf numFmtId="14" fontId="41" fillId="0" borderId="25" xfId="0" applyNumberFormat="1" applyFont="1" applyBorder="1" applyAlignment="1">
      <alignment horizontal="left" vertical="center" wrapText="1"/>
    </xf>
    <xf numFmtId="0" fontId="41" fillId="0" borderId="25" xfId="0" applyFont="1" applyBorder="1" applyAlignment="1">
      <alignment horizontal="left" vertical="center" wrapText="1"/>
    </xf>
    <xf numFmtId="0" fontId="42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3" fillId="2" borderId="1" xfId="1" applyNumberFormat="1" applyFont="1" applyFill="1" applyBorder="1" applyAlignment="1">
      <alignment horizontal="right"/>
    </xf>
    <xf numFmtId="0" fontId="44" fillId="0" borderId="17" xfId="0" applyFont="1" applyBorder="1" applyAlignment="1">
      <alignment horizontal="left" vertical="center" wrapText="1"/>
    </xf>
    <xf numFmtId="167" fontId="44" fillId="0" borderId="17" xfId="1" applyNumberFormat="1" applyFont="1" applyBorder="1" applyAlignment="1">
      <alignment horizontal="left" vertical="center" wrapText="1"/>
    </xf>
    <xf numFmtId="167" fontId="44" fillId="0" borderId="17" xfId="1" applyNumberFormat="1" applyFont="1" applyBorder="1" applyAlignment="1">
      <alignment horizontal="right" vertical="center" wrapText="1"/>
    </xf>
    <xf numFmtId="3" fontId="44" fillId="0" borderId="17" xfId="0" applyNumberFormat="1" applyFont="1" applyBorder="1" applyAlignment="1">
      <alignment horizontal="right" vertical="center" wrapText="1"/>
    </xf>
    <xf numFmtId="22" fontId="44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1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5" fillId="5" borderId="0" xfId="0" applyFont="1" applyFill="1" applyAlignment="1">
      <alignment horizontal="left"/>
    </xf>
    <xf numFmtId="174" fontId="45" fillId="5" borderId="0" xfId="0" applyNumberFormat="1" applyFont="1" applyFill="1" applyAlignment="1">
      <alignment horizontal="right"/>
    </xf>
    <xf numFmtId="3" fontId="45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0" fontId="46" fillId="0" borderId="21" xfId="0" applyFont="1" applyBorder="1" applyAlignment="1">
      <alignment horizontal="left" vertical="center" wrapText="1"/>
    </xf>
    <xf numFmtId="14" fontId="46" fillId="0" borderId="22" xfId="0" applyNumberFormat="1" applyFont="1" applyBorder="1" applyAlignment="1">
      <alignment horizontal="left" vertical="center" wrapText="1"/>
    </xf>
    <xf numFmtId="0" fontId="46" fillId="0" borderId="22" xfId="0" applyFont="1" applyBorder="1" applyAlignment="1">
      <alignment horizontal="left" vertical="center" wrapText="1"/>
    </xf>
    <xf numFmtId="0" fontId="47" fillId="0" borderId="22" xfId="0" applyFont="1" applyBorder="1" applyAlignment="1">
      <alignment horizontal="right" vertical="center" wrapText="1"/>
    </xf>
    <xf numFmtId="0" fontId="46" fillId="0" borderId="23" xfId="0" applyFont="1" applyBorder="1" applyAlignment="1">
      <alignment horizontal="left" vertical="center" wrapText="1"/>
    </xf>
    <xf numFmtId="14" fontId="46" fillId="0" borderId="0" xfId="0" applyNumberFormat="1" applyFont="1" applyAlignment="1">
      <alignment horizontal="left" vertical="center" wrapText="1"/>
    </xf>
    <xf numFmtId="0" fontId="46" fillId="0" borderId="0" xfId="0" applyFont="1" applyAlignment="1">
      <alignment horizontal="left" vertical="center" wrapText="1"/>
    </xf>
    <xf numFmtId="3" fontId="47" fillId="0" borderId="0" xfId="0" applyNumberFormat="1" applyFont="1" applyAlignment="1">
      <alignment horizontal="right" vertical="center" wrapText="1"/>
    </xf>
    <xf numFmtId="0" fontId="47" fillId="0" borderId="0" xfId="0" applyFont="1" applyAlignment="1">
      <alignment horizontal="right" vertical="center" wrapText="1"/>
    </xf>
    <xf numFmtId="0" fontId="46" fillId="0" borderId="24" xfId="0" applyFont="1" applyBorder="1" applyAlignment="1">
      <alignment horizontal="left" vertical="center" wrapText="1"/>
    </xf>
    <xf numFmtId="14" fontId="46" fillId="0" borderId="25" xfId="0" applyNumberFormat="1" applyFont="1" applyBorder="1" applyAlignment="1">
      <alignment horizontal="left" vertical="center" wrapText="1"/>
    </xf>
    <xf numFmtId="0" fontId="46" fillId="0" borderId="25" xfId="0" applyFont="1" applyBorder="1" applyAlignment="1">
      <alignment horizontal="left" vertical="center" wrapText="1"/>
    </xf>
    <xf numFmtId="3" fontId="47" fillId="0" borderId="25" xfId="0" applyNumberFormat="1" applyFont="1" applyBorder="1" applyAlignment="1">
      <alignment horizontal="right" vertical="center" wrapText="1"/>
    </xf>
    <xf numFmtId="41" fontId="46" fillId="0" borderId="18" xfId="49" applyFont="1" applyBorder="1" applyAlignment="1">
      <alignment horizontal="right" vertical="center" wrapText="1"/>
    </xf>
    <xf numFmtId="41" fontId="46" fillId="0" borderId="19" xfId="49" applyFont="1" applyBorder="1" applyAlignment="1">
      <alignment horizontal="right" vertical="center" wrapText="1"/>
    </xf>
    <xf numFmtId="41" fontId="46" fillId="0" borderId="20" xfId="49" applyFont="1" applyBorder="1" applyAlignment="1">
      <alignment horizontal="right" vertical="center" wrapText="1"/>
    </xf>
    <xf numFmtId="0" fontId="48" fillId="0" borderId="0" xfId="0" applyFont="1"/>
    <xf numFmtId="0" fontId="49" fillId="40" borderId="5" xfId="0" applyFont="1" applyFill="1" applyBorder="1" applyAlignment="1">
      <alignment horizontal="right"/>
    </xf>
    <xf numFmtId="0" fontId="41" fillId="0" borderId="0" xfId="0" applyFont="1" applyAlignment="1">
      <alignment horizontal="left" vertical="center" wrapText="1"/>
    </xf>
    <xf numFmtId="14" fontId="41" fillId="0" borderId="0" xfId="0" applyNumberFormat="1" applyFont="1" applyAlignment="1">
      <alignment horizontal="left" vertical="center" wrapText="1"/>
    </xf>
    <xf numFmtId="3" fontId="42" fillId="0" borderId="0" xfId="0" applyNumberFormat="1" applyFont="1" applyAlignment="1">
      <alignment horizontal="right" vertical="center" wrapText="1"/>
    </xf>
    <xf numFmtId="0" fontId="42" fillId="0" borderId="0" xfId="0" applyFont="1" applyAlignment="1">
      <alignment horizontal="right" vertical="center" wrapText="1"/>
    </xf>
    <xf numFmtId="0" fontId="41" fillId="0" borderId="21" xfId="0" applyFont="1" applyBorder="1" applyAlignment="1">
      <alignment horizontal="left" vertical="center" wrapText="1"/>
    </xf>
    <xf numFmtId="14" fontId="41" fillId="0" borderId="22" xfId="0" applyNumberFormat="1" applyFont="1" applyBorder="1" applyAlignment="1">
      <alignment horizontal="left" vertical="center" wrapText="1"/>
    </xf>
    <xf numFmtId="0" fontId="41" fillId="0" borderId="22" xfId="0" applyFont="1" applyBorder="1" applyAlignment="1">
      <alignment horizontal="left" vertical="center" wrapText="1"/>
    </xf>
    <xf numFmtId="3" fontId="42" fillId="0" borderId="22" xfId="0" applyNumberFormat="1" applyFont="1" applyBorder="1" applyAlignment="1">
      <alignment horizontal="right" vertical="center" wrapText="1"/>
    </xf>
    <xf numFmtId="0" fontId="41" fillId="0" borderId="23" xfId="0" applyFont="1" applyBorder="1" applyAlignment="1">
      <alignment horizontal="left" vertical="center" wrapText="1"/>
    </xf>
    <xf numFmtId="41" fontId="41" fillId="0" borderId="18" xfId="49" applyFont="1" applyBorder="1" applyAlignment="1">
      <alignment horizontal="right" vertical="center" wrapText="1"/>
    </xf>
    <xf numFmtId="41" fontId="41" fillId="0" borderId="19" xfId="49" applyFont="1" applyBorder="1" applyAlignment="1">
      <alignment horizontal="right" vertical="center" wrapText="1"/>
    </xf>
    <xf numFmtId="41" fontId="41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1" borderId="1" xfId="0" applyFont="1" applyFill="1" applyBorder="1"/>
    <xf numFmtId="0" fontId="8" fillId="41" borderId="1" xfId="0" applyFont="1" applyFill="1" applyBorder="1" applyAlignment="1">
      <alignment horizontal="center"/>
    </xf>
    <xf numFmtId="168" fontId="8" fillId="41" borderId="1" xfId="2" applyNumberFormat="1" applyFont="1" applyFill="1" applyBorder="1" applyAlignment="1">
      <alignment horizontal="center"/>
    </xf>
    <xf numFmtId="169" fontId="8" fillId="41" borderId="1" xfId="1" applyNumberFormat="1" applyFont="1" applyFill="1" applyBorder="1" applyAlignment="1">
      <alignment horizontal="center"/>
    </xf>
    <xf numFmtId="167" fontId="8" fillId="41" borderId="1" xfId="1" applyNumberFormat="1" applyFont="1" applyFill="1" applyBorder="1" applyAlignment="1">
      <alignment horizontal="right"/>
    </xf>
    <xf numFmtId="14" fontId="8" fillId="41" borderId="1" xfId="0" applyNumberFormat="1" applyFont="1" applyFill="1" applyBorder="1"/>
    <xf numFmtId="1" fontId="8" fillId="41" borderId="1" xfId="0" applyNumberFormat="1" applyFont="1" applyFill="1" applyBorder="1"/>
    <xf numFmtId="14" fontId="8" fillId="41" borderId="1" xfId="0" applyNumberFormat="1" applyFont="1" applyFill="1" applyBorder="1" applyAlignment="1">
      <alignment horizontal="center"/>
    </xf>
    <xf numFmtId="167" fontId="8" fillId="41" borderId="1" xfId="1" applyNumberFormat="1" applyFont="1" applyFill="1" applyBorder="1"/>
    <xf numFmtId="167" fontId="8" fillId="41" borderId="1" xfId="1" applyNumberFormat="1" applyFont="1" applyFill="1" applyBorder="1" applyAlignment="1">
      <alignment horizontal="center"/>
    </xf>
    <xf numFmtId="167" fontId="8" fillId="41" borderId="1" xfId="0" applyNumberFormat="1" applyFont="1" applyFill="1" applyBorder="1"/>
    <xf numFmtId="0" fontId="16" fillId="41" borderId="0" xfId="0" applyFont="1" applyFill="1" applyAlignment="1">
      <alignment horizontal="center"/>
    </xf>
    <xf numFmtId="9" fontId="16" fillId="41" borderId="0" xfId="4" applyFont="1" applyFill="1"/>
    <xf numFmtId="41" fontId="0" fillId="7" borderId="0" xfId="49" applyFont="1" applyFill="1"/>
    <xf numFmtId="14" fontId="41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2" borderId="1" xfId="3" applyNumberFormat="1" applyFont="1" applyFill="1" applyBorder="1" applyAlignment="1">
      <alignment horizontal="center"/>
    </xf>
    <xf numFmtId="0" fontId="15" fillId="42" borderId="1" xfId="3" applyFont="1" applyFill="1" applyBorder="1" applyAlignment="1">
      <alignment horizontal="center"/>
    </xf>
    <xf numFmtId="167" fontId="15" fillId="42" borderId="1" xfId="1" applyNumberFormat="1" applyFont="1" applyFill="1" applyBorder="1" applyAlignment="1">
      <alignment horizontal="center"/>
    </xf>
    <xf numFmtId="0" fontId="0" fillId="42" borderId="1" xfId="0" applyFill="1" applyBorder="1" applyAlignment="1">
      <alignment horizontal="center"/>
    </xf>
    <xf numFmtId="41" fontId="0" fillId="0" borderId="0" xfId="0" applyNumberFormat="1"/>
    <xf numFmtId="168" fontId="8" fillId="41" borderId="28" xfId="2" applyNumberFormat="1" applyFont="1" applyFill="1" applyBorder="1" applyAlignment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2" borderId="5" xfId="0" applyNumberFormat="1" applyFont="1" applyFill="1" applyBorder="1"/>
    <xf numFmtId="167" fontId="17" fillId="5" borderId="1" xfId="1" applyNumberFormat="1" applyFont="1" applyFill="1" applyBorder="1"/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5" fillId="4" borderId="0" xfId="0" applyFont="1" applyFill="1" applyAlignment="1">
      <alignment horizontal="left"/>
    </xf>
    <xf numFmtId="174" fontId="45" fillId="4" borderId="0" xfId="0" applyNumberFormat="1" applyFont="1" applyFill="1" applyAlignment="1">
      <alignment horizontal="right"/>
    </xf>
    <xf numFmtId="3" fontId="45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17" fillId="0" borderId="0" xfId="0" applyNumberFormat="1" applyFont="1" applyAlignment="1">
      <alignment horizontal="center"/>
    </xf>
    <xf numFmtId="41" fontId="0" fillId="2" borderId="1" xfId="51" applyFont="1" applyFill="1" applyBorder="1" applyAlignment="1">
      <alignment horizontal="center"/>
    </xf>
    <xf numFmtId="0" fontId="3" fillId="2" borderId="1" xfId="3" applyFill="1" applyBorder="1" applyAlignment="1">
      <alignment horizontal="left" vertical="center"/>
    </xf>
    <xf numFmtId="167" fontId="8" fillId="7" borderId="1" xfId="1" applyNumberFormat="1" applyFont="1" applyFill="1" applyBorder="1"/>
    <xf numFmtId="3" fontId="3" fillId="0" borderId="0" xfId="3" applyNumberFormat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1" borderId="3" xfId="0" applyFont="1" applyFill="1" applyBorder="1" applyAlignment="1">
      <alignment horizontal="center"/>
    </xf>
    <xf numFmtId="0" fontId="8" fillId="41" borderId="4" xfId="0" applyFont="1" applyFill="1" applyBorder="1" applyAlignment="1">
      <alignment horizontal="center"/>
    </xf>
    <xf numFmtId="0" fontId="8" fillId="41" borderId="2" xfId="0" applyFont="1" applyFill="1" applyBorder="1" applyAlignment="1">
      <alignment horizontal="center"/>
    </xf>
    <xf numFmtId="168" fontId="8" fillId="41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9"/>
  <sheetViews>
    <sheetView workbookViewId="0">
      <selection activeCell="D2" sqref="D2:D4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707</v>
      </c>
    </row>
    <row r="2" spans="2:8" x14ac:dyDescent="0.25">
      <c r="B2" s="6" t="s">
        <v>14</v>
      </c>
      <c r="C2" s="6"/>
      <c r="D2" s="66">
        <v>886</v>
      </c>
      <c r="F2" s="261"/>
    </row>
    <row r="3" spans="2:8" x14ac:dyDescent="0.25">
      <c r="B3" s="6" t="s">
        <v>13</v>
      </c>
      <c r="C3" s="6"/>
      <c r="D3" s="6">
        <f>Nov!J129</f>
        <v>252</v>
      </c>
      <c r="E3" s="61">
        <f>+S!N113</f>
        <v>252</v>
      </c>
    </row>
    <row r="4" spans="2:8" x14ac:dyDescent="0.25">
      <c r="B4" s="6" t="s">
        <v>15</v>
      </c>
      <c r="C4" s="6"/>
      <c r="D4" s="112">
        <f>D3/(30*10)</f>
        <v>0.84</v>
      </c>
      <c r="E4" s="112">
        <f>E3/(30*10)</f>
        <v>0.84</v>
      </c>
      <c r="G4" s="198"/>
    </row>
    <row r="5" spans="2:8" x14ac:dyDescent="0.25">
      <c r="D5" s="9"/>
      <c r="E5" s="1"/>
    </row>
    <row r="6" spans="2:8" x14ac:dyDescent="0.25">
      <c r="C6" t="s">
        <v>17</v>
      </c>
      <c r="D6" t="s">
        <v>12</v>
      </c>
    </row>
    <row r="7" spans="2:8" x14ac:dyDescent="0.25">
      <c r="B7" s="6" t="s">
        <v>9</v>
      </c>
      <c r="C7" s="7">
        <f>SUM(C8:C10)</f>
        <v>43643269.383429669</v>
      </c>
      <c r="D7" s="8">
        <f>C7/D3</f>
        <v>173187.57691837169</v>
      </c>
      <c r="E7" s="5">
        <f>+D7/D2</f>
        <v>195.47130577694321</v>
      </c>
      <c r="F7" s="5"/>
      <c r="H7" s="194"/>
    </row>
    <row r="8" spans="2:8" x14ac:dyDescent="0.25">
      <c r="B8" t="s">
        <v>7</v>
      </c>
      <c r="C8" s="1">
        <f>Nov!V63/(1.038)</f>
        <v>25460049.768786121</v>
      </c>
      <c r="D8" s="9">
        <f>C8/$C$7</f>
        <v>0.58336715210553658</v>
      </c>
    </row>
    <row r="9" spans="2:8" x14ac:dyDescent="0.25">
      <c r="B9" t="s">
        <v>182</v>
      </c>
      <c r="C9" s="1">
        <f>Nov!V95/(1.038)</f>
        <v>11164477.842003854</v>
      </c>
      <c r="D9" s="9">
        <f>C9/$C$7</f>
        <v>0.25581213322764368</v>
      </c>
    </row>
    <row r="10" spans="2:8" x14ac:dyDescent="0.25">
      <c r="B10" t="s">
        <v>60</v>
      </c>
      <c r="C10" s="1">
        <f>Nov!V125/(1.038)</f>
        <v>7018741.7726396928</v>
      </c>
      <c r="D10" s="9">
        <f>C10/$C$7</f>
        <v>0.16082071466681974</v>
      </c>
      <c r="E10" s="1"/>
    </row>
    <row r="12" spans="2:8" x14ac:dyDescent="0.25">
      <c r="B12" s="6" t="s">
        <v>8</v>
      </c>
      <c r="C12" s="8">
        <f>SUM(C13:C19)</f>
        <v>18702929.800000001</v>
      </c>
      <c r="D12" s="8">
        <f>C12/D3</f>
        <v>74217.975396825394</v>
      </c>
      <c r="E12" s="5">
        <f>+D12/$D$2</f>
        <v>83.767466587839039</v>
      </c>
      <c r="F12" s="71"/>
      <c r="G12" s="83"/>
    </row>
    <row r="13" spans="2:8" x14ac:dyDescent="0.25">
      <c r="B13" t="str">
        <f>'BCI FondRendir'!B252</f>
        <v>Comisión Bco</v>
      </c>
      <c r="C13" s="1">
        <f>'BCI FondRendir'!F252</f>
        <v>38658</v>
      </c>
      <c r="D13" s="5">
        <f t="shared" ref="D13:D19" si="0">C13/$D$3</f>
        <v>153.4047619047619</v>
      </c>
      <c r="E13" s="5"/>
    </row>
    <row r="14" spans="2:8" x14ac:dyDescent="0.25">
      <c r="B14" t="str">
        <f>'BCI FondRendir'!B253</f>
        <v>Comisión Booking</v>
      </c>
      <c r="C14" s="1">
        <f>+'BCI FondRendir'!F253</f>
        <v>6089235</v>
      </c>
      <c r="D14" s="5">
        <f t="shared" si="0"/>
        <v>24163.630952380954</v>
      </c>
      <c r="E14" s="5"/>
    </row>
    <row r="15" spans="2:8" x14ac:dyDescent="0.25">
      <c r="B15" t="str">
        <f>'BCI FondRendir'!B254</f>
        <v>Comisión Expedia</v>
      </c>
      <c r="C15" s="1">
        <f>+'BCI FondRendir'!F254</f>
        <v>551500</v>
      </c>
      <c r="D15" s="5">
        <f t="shared" si="0"/>
        <v>2188.4920634920636</v>
      </c>
      <c r="E15" s="5"/>
    </row>
    <row r="16" spans="2:8" x14ac:dyDescent="0.25">
      <c r="B16" t="str">
        <f>'BCI FondRendir'!B255</f>
        <v>Comisión otras</v>
      </c>
      <c r="C16" s="1">
        <f>+'BCI FondRendir'!F255</f>
        <v>350678.8</v>
      </c>
      <c r="D16" s="5">
        <f t="shared" si="0"/>
        <v>1391.5825396825396</v>
      </c>
      <c r="E16" s="5"/>
    </row>
    <row r="17" spans="2:7" x14ac:dyDescent="0.25">
      <c r="B17" t="str">
        <f>'BCI FondRendir'!B256</f>
        <v>Costos Directos</v>
      </c>
      <c r="C17" s="1">
        <f>+'BCI FondRendir'!F256</f>
        <v>6092374</v>
      </c>
      <c r="D17" s="5">
        <f t="shared" si="0"/>
        <v>24176.0873015873</v>
      </c>
      <c r="E17" s="5"/>
    </row>
    <row r="18" spans="2:7" x14ac:dyDescent="0.25">
      <c r="B18" t="s">
        <v>135</v>
      </c>
      <c r="C18" s="1">
        <f>'BCI FondRendir'!F263</f>
        <v>5580484</v>
      </c>
      <c r="D18" s="5">
        <f t="shared" si="0"/>
        <v>22144.777777777777</v>
      </c>
      <c r="E18" s="5"/>
    </row>
    <row r="19" spans="2:7" x14ac:dyDescent="0.25">
      <c r="B19" t="s">
        <v>52</v>
      </c>
      <c r="C19" s="1">
        <f>'BCI FondRendir'!H269</f>
        <v>0</v>
      </c>
      <c r="D19" s="5">
        <f t="shared" si="0"/>
        <v>0</v>
      </c>
    </row>
    <row r="20" spans="2:7" x14ac:dyDescent="0.25">
      <c r="B20" s="6" t="s">
        <v>10</v>
      </c>
      <c r="C20" s="8">
        <f>SUM(C21:C24)</f>
        <v>14995964.24</v>
      </c>
      <c r="D20" s="8">
        <f>C20/D3</f>
        <v>59507.794603174603</v>
      </c>
      <c r="E20" s="5">
        <f>+D20/$D$2</f>
        <v>67.164553728188039</v>
      </c>
      <c r="F20" s="5"/>
    </row>
    <row r="21" spans="2:7" x14ac:dyDescent="0.25">
      <c r="B21" t="s">
        <v>29</v>
      </c>
      <c r="C21" s="1">
        <f>'BCI FondRendir'!F264-F21</f>
        <v>11679537</v>
      </c>
      <c r="D21" s="5">
        <f>C21/$D$3</f>
        <v>46347.369047619046</v>
      </c>
      <c r="F21" s="154"/>
    </row>
    <row r="22" spans="2:7" x14ac:dyDescent="0.25">
      <c r="B22" t="str">
        <f>'BCI FondRendir'!B259</f>
        <v>Gastos Operación</v>
      </c>
      <c r="C22" s="1">
        <f>+'BCI FondRendir'!F259</f>
        <v>264118.24</v>
      </c>
      <c r="D22" s="5">
        <f>C22/$D$3</f>
        <v>1048.0882539682539</v>
      </c>
      <c r="F22" s="5"/>
      <c r="G22" s="5"/>
    </row>
    <row r="23" spans="2:7" x14ac:dyDescent="0.25">
      <c r="B23" t="s">
        <v>20</v>
      </c>
      <c r="C23" s="14"/>
      <c r="D23" s="5">
        <f t="shared" ref="D23:D24" si="1">C23/$D$3</f>
        <v>0</v>
      </c>
      <c r="F23" s="83"/>
    </row>
    <row r="24" spans="2:7" x14ac:dyDescent="0.25">
      <c r="B24" t="s">
        <v>38</v>
      </c>
      <c r="C24" s="1">
        <f>'BCI FondRendir'!F258</f>
        <v>3052309</v>
      </c>
      <c r="D24" s="5">
        <f t="shared" si="1"/>
        <v>12112.337301587302</v>
      </c>
    </row>
    <row r="25" spans="2:7" x14ac:dyDescent="0.25">
      <c r="B25" s="6" t="s">
        <v>18</v>
      </c>
      <c r="C25" s="8">
        <f>SUM(C26:C27)</f>
        <v>566949</v>
      </c>
      <c r="D25" s="8">
        <f>C25/D3</f>
        <v>2249.7976190476193</v>
      </c>
      <c r="E25" s="5">
        <f>+D25/$D$2</f>
        <v>2.539274965065033</v>
      </c>
    </row>
    <row r="26" spans="2:7" x14ac:dyDescent="0.25">
      <c r="B26" t="s">
        <v>19</v>
      </c>
      <c r="C26" s="1">
        <f>+'BCI FondRendir'!F262</f>
        <v>566949</v>
      </c>
    </row>
    <row r="27" spans="2:7" x14ac:dyDescent="0.25">
      <c r="C27" s="1"/>
    </row>
    <row r="28" spans="2:7" x14ac:dyDescent="0.25">
      <c r="B28" s="6" t="s">
        <v>11</v>
      </c>
      <c r="C28" s="7">
        <f>SUM(C29:C30)</f>
        <v>270000</v>
      </c>
      <c r="D28" s="8">
        <f>C28/D3</f>
        <v>1071.4285714285713</v>
      </c>
      <c r="E28" s="5">
        <f>+D28/$D$2</f>
        <v>1.2092873266688164</v>
      </c>
    </row>
    <row r="29" spans="2:7" x14ac:dyDescent="0.25">
      <c r="B29" t="s">
        <v>11</v>
      </c>
      <c r="C29" s="1">
        <f>'BCI FondRendir'!F261</f>
        <v>270000</v>
      </c>
    </row>
    <row r="30" spans="2:7" x14ac:dyDescent="0.25">
      <c r="B30" t="s">
        <v>95</v>
      </c>
      <c r="C30" s="1"/>
    </row>
    <row r="31" spans="2:7" x14ac:dyDescent="0.25">
      <c r="B31" t="str">
        <f>'BCI FondRendir'!B260</f>
        <v>Impuestos</v>
      </c>
      <c r="C31" s="1">
        <f>+'BCI FondRendir'!F260</f>
        <v>-4710943</v>
      </c>
      <c r="D31" s="5">
        <f>C31/$D$3</f>
        <v>-18694.218253968254</v>
      </c>
    </row>
    <row r="33" spans="2:13" x14ac:dyDescent="0.25">
      <c r="B33" s="2" t="s">
        <v>183</v>
      </c>
      <c r="C33" s="10">
        <f>C7-C12-C20-C28-C25</f>
        <v>9107426.3434296679</v>
      </c>
      <c r="E33" s="154">
        <f>+C16+C17+C22+C29</f>
        <v>6977171.04</v>
      </c>
    </row>
    <row r="34" spans="2:13" x14ac:dyDescent="0.25">
      <c r="B34" s="2" t="s">
        <v>31</v>
      </c>
      <c r="C34" s="10">
        <f>C31</f>
        <v>-4710943</v>
      </c>
      <c r="D34" s="10">
        <f>C33*0.25</f>
        <v>2276856.585857417</v>
      </c>
      <c r="E34" s="154">
        <f>+E33/1.19*0.19</f>
        <v>1114002.0988235297</v>
      </c>
    </row>
    <row r="35" spans="2:13" x14ac:dyDescent="0.25">
      <c r="B35" s="2" t="s">
        <v>83</v>
      </c>
      <c r="C35" s="10">
        <f>'BCI FondRendir'!G269</f>
        <v>2319325.4856000002</v>
      </c>
    </row>
    <row r="36" spans="2:13" x14ac:dyDescent="0.25">
      <c r="B36" s="2" t="s">
        <v>84</v>
      </c>
      <c r="C36" s="10">
        <f>Nov!F140</f>
        <v>306326.78151260503</v>
      </c>
      <c r="D36" s="5">
        <f>+C36-C35</f>
        <v>-2012998.7040873952</v>
      </c>
    </row>
    <row r="37" spans="2:13" x14ac:dyDescent="0.25">
      <c r="B37" s="15" t="s">
        <v>16</v>
      </c>
      <c r="C37" s="16">
        <f>C33-D34</f>
        <v>6830569.7575722504</v>
      </c>
    </row>
    <row r="38" spans="2:13" x14ac:dyDescent="0.25">
      <c r="B38" s="15" t="s">
        <v>100</v>
      </c>
      <c r="C38" s="10">
        <f>C7-C12-C20</f>
        <v>9944375.3434296679</v>
      </c>
      <c r="J38" s="70"/>
      <c r="K38" s="70"/>
      <c r="L38" s="70"/>
      <c r="M38" s="70"/>
    </row>
    <row r="39" spans="2:13" x14ac:dyDescent="0.25">
      <c r="C39" s="17" t="s">
        <v>41</v>
      </c>
      <c r="D39" s="17" t="s">
        <v>42</v>
      </c>
      <c r="E39" s="17" t="s">
        <v>165</v>
      </c>
      <c r="F39" s="17" t="s">
        <v>39</v>
      </c>
      <c r="G39" s="17" t="s">
        <v>40</v>
      </c>
      <c r="J39" s="71"/>
    </row>
    <row r="40" spans="2:13" x14ac:dyDescent="0.25">
      <c r="B40" s="2" t="s">
        <v>32</v>
      </c>
      <c r="C40" s="10"/>
      <c r="D40" s="10"/>
      <c r="E40" s="10"/>
      <c r="F40" s="10"/>
      <c r="G40" s="10"/>
    </row>
    <row r="41" spans="2:13" x14ac:dyDescent="0.25">
      <c r="B41" s="2" t="s">
        <v>46</v>
      </c>
      <c r="C41" s="10"/>
      <c r="D41" s="10"/>
      <c r="E41" s="10"/>
      <c r="F41" s="10"/>
      <c r="G41" s="10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34</v>
      </c>
      <c r="C43" s="10"/>
      <c r="D43" s="10"/>
      <c r="E43" s="10"/>
      <c r="F43" s="10"/>
      <c r="G43" s="79"/>
    </row>
    <row r="44" spans="2:13" x14ac:dyDescent="0.25">
      <c r="B44" s="2" t="s">
        <v>173</v>
      </c>
      <c r="C44" s="10"/>
      <c r="D44" s="10"/>
      <c r="E44" s="10"/>
      <c r="F44" s="10"/>
      <c r="G44" s="10" t="e">
        <f>F44*#REF!</f>
        <v>#REF!</v>
      </c>
    </row>
    <row r="45" spans="2:13" x14ac:dyDescent="0.25">
      <c r="B45" s="2" t="s">
        <v>174</v>
      </c>
      <c r="C45" s="10"/>
      <c r="D45" s="10"/>
      <c r="E45" s="10"/>
      <c r="F45" s="10"/>
      <c r="G45" s="10" t="e">
        <f>F45*#REF!</f>
        <v>#REF!</v>
      </c>
    </row>
    <row r="46" spans="2:13" x14ac:dyDescent="0.25">
      <c r="B46" s="2" t="s">
        <v>175</v>
      </c>
      <c r="C46" s="10"/>
      <c r="D46" s="10"/>
      <c r="E46" s="10"/>
      <c r="F46" s="10"/>
      <c r="G46" s="10"/>
      <c r="L46" s="154"/>
    </row>
    <row r="47" spans="2:13" x14ac:dyDescent="0.25">
      <c r="B47" s="2" t="s">
        <v>176</v>
      </c>
      <c r="C47" s="10"/>
      <c r="D47" s="10"/>
      <c r="E47" s="10"/>
      <c r="F47" s="10"/>
      <c r="G47" s="10"/>
      <c r="L47" s="154"/>
    </row>
    <row r="48" spans="2:13" x14ac:dyDescent="0.25">
      <c r="B48" s="78" t="s">
        <v>80</v>
      </c>
      <c r="C48" s="79">
        <f>SUM(C40:C47)</f>
        <v>0</v>
      </c>
      <c r="D48" s="79">
        <f>SUM(D40:D47)</f>
        <v>0</v>
      </c>
      <c r="E48" s="79">
        <f>SUM(E40:E47)</f>
        <v>0</v>
      </c>
      <c r="F48" s="79"/>
      <c r="G48" s="79"/>
    </row>
    <row r="49" spans="2:7" x14ac:dyDescent="0.25">
      <c r="B49" s="78"/>
      <c r="C49" s="79"/>
      <c r="D49" s="79" t="e">
        <f>D48*#REF!</f>
        <v>#REF!</v>
      </c>
      <c r="E49" s="79"/>
      <c r="F49" s="79"/>
      <c r="G49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93"/>
  <sheetViews>
    <sheetView topLeftCell="D1" zoomScale="85" zoomScaleNormal="85" workbookViewId="0">
      <selection activeCell="H137" sqref="H137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5"/>
      <c r="B1" s="332" t="s">
        <v>180</v>
      </c>
      <c r="C1" s="333"/>
      <c r="D1" s="334"/>
      <c r="E1" s="155"/>
      <c r="F1" s="155"/>
      <c r="G1" s="155"/>
      <c r="H1" s="156"/>
      <c r="I1" s="156"/>
      <c r="J1" s="155"/>
      <c r="K1" s="337" t="s">
        <v>77</v>
      </c>
      <c r="L1" s="337"/>
      <c r="M1" s="337" t="s">
        <v>78</v>
      </c>
      <c r="N1" s="337"/>
      <c r="O1" s="337" t="s">
        <v>79</v>
      </c>
      <c r="P1" s="337"/>
      <c r="Q1" s="337" t="s">
        <v>109</v>
      </c>
      <c r="R1" s="337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71</v>
      </c>
      <c r="B2" s="155" t="s">
        <v>177</v>
      </c>
      <c r="C2" s="155" t="s">
        <v>178</v>
      </c>
      <c r="D2" s="155" t="s">
        <v>179</v>
      </c>
      <c r="E2" s="155" t="s">
        <v>0</v>
      </c>
      <c r="F2" s="155" t="s">
        <v>43</v>
      </c>
      <c r="G2" s="155" t="s">
        <v>72</v>
      </c>
      <c r="H2" s="156" t="s">
        <v>1</v>
      </c>
      <c r="I2" s="156" t="s">
        <v>2</v>
      </c>
      <c r="J2" s="156" t="s">
        <v>3</v>
      </c>
      <c r="K2" s="157" t="s">
        <v>73</v>
      </c>
      <c r="L2" s="158" t="s">
        <v>47</v>
      </c>
      <c r="M2" s="157" t="s">
        <v>73</v>
      </c>
      <c r="N2" s="157" t="s">
        <v>47</v>
      </c>
      <c r="O2" s="157" t="s">
        <v>73</v>
      </c>
      <c r="P2" s="157" t="s">
        <v>47</v>
      </c>
      <c r="Q2" s="157" t="s">
        <v>73</v>
      </c>
      <c r="R2" s="157" t="s">
        <v>47</v>
      </c>
      <c r="S2" s="155" t="s">
        <v>74</v>
      </c>
      <c r="T2" s="155" t="s">
        <v>76</v>
      </c>
      <c r="U2" s="159" t="s">
        <v>44</v>
      </c>
      <c r="V2" s="155" t="s">
        <v>110</v>
      </c>
      <c r="W2" s="155" t="s">
        <v>43</v>
      </c>
      <c r="X2" s="197" t="s">
        <v>6</v>
      </c>
      <c r="Y2" s="155" t="s">
        <v>6</v>
      </c>
    </row>
    <row r="3" spans="1:31" ht="15" customHeight="1" x14ac:dyDescent="0.25">
      <c r="A3" s="170">
        <v>7440</v>
      </c>
      <c r="B3" s="196">
        <v>1585</v>
      </c>
      <c r="C3" s="196"/>
      <c r="D3" s="196"/>
      <c r="E3" s="171" t="s">
        <v>708</v>
      </c>
      <c r="F3" s="171" t="s">
        <v>163</v>
      </c>
      <c r="G3" s="171">
        <v>4200218208</v>
      </c>
      <c r="H3" s="172">
        <v>45231</v>
      </c>
      <c r="I3" s="172">
        <v>45234</v>
      </c>
      <c r="J3" s="171">
        <v>6</v>
      </c>
      <c r="K3" s="173"/>
      <c r="L3" s="174"/>
      <c r="M3" s="173"/>
      <c r="N3" s="173"/>
      <c r="O3" s="173"/>
      <c r="P3" s="173"/>
      <c r="Q3" s="173"/>
      <c r="R3" s="173">
        <v>1108.08</v>
      </c>
      <c r="S3" s="111">
        <f t="shared" ref="S3" si="0">L3+N3+P3+R3</f>
        <v>1108.08</v>
      </c>
      <c r="T3" s="111">
        <f>M3+O3+K3+Q3</f>
        <v>0</v>
      </c>
      <c r="U3" s="109">
        <f>IF(J3=0,(S3+T3/EERR!$D$2/1.19),(S3+T3/EERR!$D$2/1.19)/J3)</f>
        <v>184.67999999999998</v>
      </c>
      <c r="V3" s="111">
        <f>T3+S3*EERR!$D$2</f>
        <v>981758.87999999989</v>
      </c>
      <c r="W3" s="27">
        <f ca="1">SUMIF(S!$A$5:$K$152,Nov!G3,S!$N$5:$N$152)</f>
        <v>6</v>
      </c>
      <c r="X3" s="176">
        <f>SUMIF(T!$A$4:$A$600,B3,T!$B$4:$B$600)+SUMIF(T!$A$4:$A$600,C3,T!$B$4:$B$600)+SUMIF(T!$A$4:$A$600,D3,T!$B$4:$B$600)+(K3+O3)+(L3+P3)*EERR!$D$2</f>
        <v>981758.87999999989</v>
      </c>
      <c r="Y3" s="177">
        <f>X3/EERR!$D$2</f>
        <v>1108.08</v>
      </c>
      <c r="Z3" s="183">
        <f t="shared" ref="Z3:Z91" si="1">+X3-V3</f>
        <v>0</v>
      </c>
      <c r="AA3" s="238">
        <f ca="1">SUMIF(S!$A$5:$K$152,Nov!G3,S!$J$5:$J$152)*EERR!$D$2*1.19</f>
        <v>1168293.0671999997</v>
      </c>
      <c r="AB3" s="238">
        <f ca="1">IF(X3-AA3&lt;1000,0,X3-AA3)</f>
        <v>0</v>
      </c>
      <c r="AC3" s="238"/>
      <c r="AD3" s="238">
        <f>+X3/1.19</f>
        <v>825007.46218487388</v>
      </c>
      <c r="AE3" s="243">
        <f ca="1">AD3/W3/EERR!D2</f>
        <v>155.19327731092437</v>
      </c>
    </row>
    <row r="4" spans="1:31" ht="15" customHeight="1" x14ac:dyDescent="0.25">
      <c r="A4" s="170">
        <v>7444</v>
      </c>
      <c r="B4" s="196"/>
      <c r="C4" s="196"/>
      <c r="D4" s="196"/>
      <c r="E4" s="171" t="s">
        <v>709</v>
      </c>
      <c r="F4" s="171" t="s">
        <v>163</v>
      </c>
      <c r="G4" s="171">
        <v>4028595715</v>
      </c>
      <c r="H4" s="172">
        <v>45231</v>
      </c>
      <c r="I4" s="172">
        <v>45232</v>
      </c>
      <c r="J4" s="171">
        <v>1</v>
      </c>
      <c r="K4" s="173"/>
      <c r="L4" s="174">
        <v>205</v>
      </c>
      <c r="M4" s="173"/>
      <c r="N4" s="173"/>
      <c r="O4" s="173"/>
      <c r="P4" s="173"/>
      <c r="Q4" s="173"/>
      <c r="R4" s="173"/>
      <c r="S4" s="111">
        <f t="shared" ref="S4:S25" si="2">L4+N4+P4+R4</f>
        <v>205</v>
      </c>
      <c r="T4" s="111">
        <f t="shared" ref="T4:T25" si="3">M4+O4+K4+Q4</f>
        <v>0</v>
      </c>
      <c r="U4" s="109">
        <f>IF(J4=0,(S4+T4/EERR!$D$2/1.19),(S4+T4/EERR!$D$2/1.19)/J4)</f>
        <v>205</v>
      </c>
      <c r="V4" s="111">
        <f>T4+S4*EERR!$D$2</f>
        <v>181630</v>
      </c>
      <c r="W4" s="27">
        <f ca="1">SUMIF(S!$A$5:$K$152,Nov!G4,S!$N$5:$N$152)</f>
        <v>1</v>
      </c>
      <c r="X4" s="176">
        <f>SUMIF(T!$A$4:$A$370,B4,T!$B$4:$B$370)+SUMIF(T!$A$4:$A$370,C4,T!$B$4:$B$370)+SUMIF(T!$A$4:$A$370,D4,T!$B$4:$B$370)+(K4+O4)+(L4+P4)*EERR!$D$2</f>
        <v>181630</v>
      </c>
      <c r="Y4" s="177">
        <f>X4/EERR!$D$2</f>
        <v>205</v>
      </c>
      <c r="Z4" s="183">
        <f t="shared" si="1"/>
        <v>0</v>
      </c>
      <c r="AA4" s="238">
        <f ca="1">SUMIF(S!$A$5:$K$152,Nov!G4,S!$J$5:$J$152)*EERR!$D$2*1.19</f>
        <v>216350.56799999997</v>
      </c>
      <c r="AB4" s="238"/>
      <c r="AC4" s="238"/>
      <c r="AD4" s="238"/>
      <c r="AE4" s="243"/>
    </row>
    <row r="5" spans="1:31" ht="15" customHeight="1" x14ac:dyDescent="0.25">
      <c r="A5" s="170">
        <v>7442</v>
      </c>
      <c r="B5" s="196">
        <v>1654</v>
      </c>
      <c r="C5" s="196"/>
      <c r="D5" s="196"/>
      <c r="E5" s="171" t="s">
        <v>713</v>
      </c>
      <c r="F5" s="171" t="s">
        <v>163</v>
      </c>
      <c r="G5" s="171">
        <v>3343626229</v>
      </c>
      <c r="H5" s="172">
        <v>45232</v>
      </c>
      <c r="I5" s="172">
        <v>45233</v>
      </c>
      <c r="J5" s="171">
        <v>1</v>
      </c>
      <c r="K5" s="173"/>
      <c r="L5" s="174"/>
      <c r="M5" s="173"/>
      <c r="N5" s="173"/>
      <c r="O5" s="173"/>
      <c r="P5" s="173"/>
      <c r="Q5" s="173"/>
      <c r="R5" s="173">
        <v>219.45</v>
      </c>
      <c r="S5" s="111">
        <f t="shared" si="2"/>
        <v>219.45</v>
      </c>
      <c r="T5" s="111">
        <f t="shared" si="3"/>
        <v>0</v>
      </c>
      <c r="U5" s="109">
        <f>IF(J5=0,(S5+T5/EERR!$D$2/1.19),(S5+T5/EERR!$D$2/1.19)/J5)</f>
        <v>219.45</v>
      </c>
      <c r="V5" s="111">
        <f>T5+S5*EERR!$D$2</f>
        <v>194432.69999999998</v>
      </c>
      <c r="W5" s="27">
        <f ca="1">SUMIF(S!$A$5:$K$152,Nov!G5,S!$N$5:$N$152)</f>
        <v>1</v>
      </c>
      <c r="X5" s="176">
        <f>SUMIF(T!$A$4:$A$370,B5,T!$B$4:$B$370)+SUMIF(T!$A$4:$A$370,C5,T!$B$4:$B$370)+SUMIF(T!$A$4:$A$370,D5,T!$B$4:$B$370)+(K5+O5)+(L5+P5)*EERR!$D$2</f>
        <v>194432.69999999998</v>
      </c>
      <c r="Y5" s="177">
        <f>X5/EERR!$D$2</f>
        <v>219.45</v>
      </c>
      <c r="Z5" s="183">
        <f t="shared" si="1"/>
        <v>0</v>
      </c>
      <c r="AA5" s="238">
        <f ca="1">SUMIF(S!$A$5:$K$152,Nov!G5,S!$J$5:$J$152)*EERR!$D$2*1.19</f>
        <v>231374.91299999997</v>
      </c>
      <c r="AB5" s="238">
        <f t="shared" ref="AB5:AB64" ca="1" si="4">IF(X5-AA5&lt;1000,0,X5-AA5)</f>
        <v>0</v>
      </c>
    </row>
    <row r="6" spans="1:31" ht="15" customHeight="1" x14ac:dyDescent="0.25">
      <c r="A6" s="170">
        <v>7443</v>
      </c>
      <c r="B6" s="196">
        <v>1653</v>
      </c>
      <c r="C6" s="196"/>
      <c r="D6" s="196"/>
      <c r="E6" s="171" t="s">
        <v>714</v>
      </c>
      <c r="F6" s="171" t="s">
        <v>163</v>
      </c>
      <c r="G6" s="171">
        <v>2808448788</v>
      </c>
      <c r="H6" s="172">
        <v>45232</v>
      </c>
      <c r="I6" s="172">
        <v>45233</v>
      </c>
      <c r="J6" s="171">
        <v>1</v>
      </c>
      <c r="K6" s="173"/>
      <c r="L6" s="174"/>
      <c r="M6" s="173"/>
      <c r="N6" s="173"/>
      <c r="O6" s="173"/>
      <c r="P6" s="173"/>
      <c r="Q6" s="173"/>
      <c r="R6" s="173">
        <v>219.45</v>
      </c>
      <c r="S6" s="111">
        <f t="shared" si="2"/>
        <v>219.45</v>
      </c>
      <c r="T6" s="111">
        <f t="shared" si="3"/>
        <v>0</v>
      </c>
      <c r="U6" s="109">
        <f>IF(J6=0,(S6+T6/EERR!$D$2/1.19),(S6+T6/EERR!$D$2/1.19)/J6)</f>
        <v>219.45</v>
      </c>
      <c r="V6" s="111">
        <f>T6+S6*EERR!$D$2</f>
        <v>194432.69999999998</v>
      </c>
      <c r="W6" s="27">
        <f ca="1">SUMIF(S!$A$5:$K$152,Nov!G6,S!$N$5:$N$152)</f>
        <v>1</v>
      </c>
      <c r="X6" s="176">
        <f>SUMIF(T!$A$4:$A$370,B6,T!$B$4:$B$370)+SUMIF(T!$A$4:$A$370,C6,T!$B$4:$B$370)+SUMIF(T!$A$4:$A$370,D6,T!$B$4:$B$370)+(K6+O6)+(L6+P6)*EERR!$D$2</f>
        <v>194432.69999999998</v>
      </c>
      <c r="Y6" s="177">
        <f>X6/EERR!$D$2</f>
        <v>219.45</v>
      </c>
      <c r="Z6" s="183">
        <f t="shared" si="1"/>
        <v>0</v>
      </c>
      <c r="AA6" s="238">
        <f ca="1">SUMIF(S!$A$5:$K$152,Nov!G6,S!$J$5:$J$152)*EERR!$D$2*1.19</f>
        <v>231374.91299999997</v>
      </c>
      <c r="AB6" s="238">
        <f t="shared" ca="1" si="4"/>
        <v>0</v>
      </c>
      <c r="AC6" s="213"/>
      <c r="AD6" s="213"/>
    </row>
    <row r="7" spans="1:31" ht="15" customHeight="1" x14ac:dyDescent="0.25">
      <c r="A7" s="170">
        <v>7445</v>
      </c>
      <c r="B7" s="196">
        <v>1656</v>
      </c>
      <c r="C7" s="196"/>
      <c r="D7" s="196"/>
      <c r="E7" s="171" t="s">
        <v>715</v>
      </c>
      <c r="F7" s="171" t="s">
        <v>163</v>
      </c>
      <c r="G7" s="171">
        <v>4070230475</v>
      </c>
      <c r="H7" s="172">
        <v>45233</v>
      </c>
      <c r="I7" s="172">
        <v>45234</v>
      </c>
      <c r="J7" s="171">
        <v>1</v>
      </c>
      <c r="K7" s="173"/>
      <c r="L7" s="174"/>
      <c r="M7" s="173"/>
      <c r="N7" s="173"/>
      <c r="O7" s="173"/>
      <c r="P7" s="173"/>
      <c r="Q7" s="173"/>
      <c r="R7" s="173">
        <v>205.2</v>
      </c>
      <c r="S7" s="111">
        <f t="shared" si="2"/>
        <v>205.2</v>
      </c>
      <c r="T7" s="111">
        <f t="shared" si="3"/>
        <v>0</v>
      </c>
      <c r="U7" s="109">
        <f>IF(J7=0,(S7+T7/EERR!$D$2/1.19),(S7+T7/EERR!$D$2/1.19)/J7)</f>
        <v>205.2</v>
      </c>
      <c r="V7" s="111">
        <f>T7+S7*EERR!$D$2</f>
        <v>181807.19999999998</v>
      </c>
      <c r="W7" s="27">
        <f ca="1">SUMIF(S!$A$5:$K$152,Nov!G7,S!$N$5:$N$152)</f>
        <v>1</v>
      </c>
      <c r="X7" s="176">
        <f>SUMIF(T!$A$4:$A$370,B7,T!$B$4:$B$370)+SUMIF(T!$A$4:$A$370,C7,T!$B$4:$B$370)+SUMIF(T!$A$4:$A$370,D7,T!$B$4:$B$370)+(K7+O7)+(L7+P7)*EERR!$D$2</f>
        <v>181807.19999999998</v>
      </c>
      <c r="Y7" s="177">
        <f>X7/EERR!$D$2</f>
        <v>205.2</v>
      </c>
      <c r="Z7" s="183">
        <f t="shared" si="1"/>
        <v>0</v>
      </c>
      <c r="AA7" s="238">
        <f ca="1">SUMIF(S!$A$5:$K$152,Nov!G7,S!$J$5:$J$152)*EERR!$D$2*1.19</f>
        <v>216350.56799999997</v>
      </c>
      <c r="AB7" s="238">
        <f t="shared" ca="1" si="4"/>
        <v>0</v>
      </c>
      <c r="AC7" s="213"/>
      <c r="AD7" s="213"/>
    </row>
    <row r="8" spans="1:31" ht="15" customHeight="1" x14ac:dyDescent="0.25">
      <c r="A8" s="170">
        <v>7451</v>
      </c>
      <c r="B8" s="196">
        <v>1719</v>
      </c>
      <c r="C8" s="196">
        <v>1723</v>
      </c>
      <c r="D8" s="196"/>
      <c r="E8" s="171" t="s">
        <v>723</v>
      </c>
      <c r="F8" s="171" t="s">
        <v>163</v>
      </c>
      <c r="G8" s="171">
        <v>4230357680</v>
      </c>
      <c r="H8" s="172">
        <v>45237</v>
      </c>
      <c r="I8" s="172">
        <v>45241</v>
      </c>
      <c r="J8" s="171">
        <v>4</v>
      </c>
      <c r="K8" s="173"/>
      <c r="L8" s="174"/>
      <c r="M8" s="173"/>
      <c r="N8" s="173">
        <v>615.6</v>
      </c>
      <c r="O8" s="173"/>
      <c r="P8" s="173"/>
      <c r="Q8" s="173"/>
      <c r="R8" s="173">
        <v>205.2</v>
      </c>
      <c r="S8" s="111">
        <f t="shared" si="2"/>
        <v>820.8</v>
      </c>
      <c r="T8" s="111">
        <f t="shared" si="3"/>
        <v>0</v>
      </c>
      <c r="U8" s="109">
        <f>IF(J8=0,(S8+T8/EERR!$D$2/1.19),(S8+T8/EERR!$D$2/1.19)/J8)</f>
        <v>205.2</v>
      </c>
      <c r="V8" s="111">
        <f>T8+S8*EERR!$D$2</f>
        <v>727228.79999999993</v>
      </c>
      <c r="W8" s="27">
        <f ca="1">SUMIF(S!$A$5:$K$152,Nov!G8,S!$N$5:$N$152)</f>
        <v>4</v>
      </c>
      <c r="X8" s="176">
        <f>SUMIF(T!$A$4:$A$370,B8,T!$B$4:$B$370)+SUMIF(T!$A$4:$A$370,C8,T!$B$4:$B$370)+SUMIF(T!$A$4:$A$370,D8,T!$B$4:$B$370)+(K8+O8)+(L8+P8)*EERR!$D$2</f>
        <v>727228.79999999993</v>
      </c>
      <c r="Y8" s="177">
        <f>X8/EERR!$D$2</f>
        <v>820.8</v>
      </c>
      <c r="Z8" s="183">
        <f t="shared" si="1"/>
        <v>0</v>
      </c>
      <c r="AA8" s="238">
        <f ca="1">SUMIF(S!$A$5:$K$152,Nov!G8,S!$J$5:$J$152)*EERR!$D$2*1.19</f>
        <v>865402.27199999988</v>
      </c>
      <c r="AB8" s="238">
        <f t="shared" ca="1" si="4"/>
        <v>0</v>
      </c>
      <c r="AC8" s="213"/>
      <c r="AD8" s="213"/>
    </row>
    <row r="9" spans="1:31" ht="15" customHeight="1" x14ac:dyDescent="0.25">
      <c r="A9" s="170">
        <v>7453</v>
      </c>
      <c r="B9" s="196">
        <v>1677</v>
      </c>
      <c r="C9" s="196">
        <v>1726</v>
      </c>
      <c r="D9" s="196"/>
      <c r="E9" s="171" t="s">
        <v>726</v>
      </c>
      <c r="F9" s="171" t="s">
        <v>163</v>
      </c>
      <c r="G9" s="171">
        <v>2733779780</v>
      </c>
      <c r="H9" s="172">
        <v>45238</v>
      </c>
      <c r="I9" s="172">
        <v>45241</v>
      </c>
      <c r="J9" s="171">
        <v>3</v>
      </c>
      <c r="K9" s="173"/>
      <c r="L9" s="174"/>
      <c r="M9" s="173"/>
      <c r="N9" s="173">
        <v>395.02</v>
      </c>
      <c r="O9" s="173"/>
      <c r="P9" s="173"/>
      <c r="Q9" s="330"/>
      <c r="R9" s="173">
        <v>197.51</v>
      </c>
      <c r="S9" s="111">
        <f t="shared" si="2"/>
        <v>592.53</v>
      </c>
      <c r="T9" s="111">
        <f t="shared" si="3"/>
        <v>0</v>
      </c>
      <c r="U9" s="109">
        <f>IF(J9=0,(S9+T9/EERR!$D$2/1.19),(S9+T9/EERR!$D$2/1.19)/J9)</f>
        <v>197.51</v>
      </c>
      <c r="V9" s="111">
        <f>T9+S9*EERR!$D$2</f>
        <v>524981.57999999996</v>
      </c>
      <c r="W9" s="27">
        <f ca="1">SUMIF(S!$A$5:$K$152,Nov!G9,S!$N$5:$N$152)</f>
        <v>3</v>
      </c>
      <c r="X9" s="176">
        <f>SUMIF(T!$A$4:$A$370,B9,T!$B$4:$B$370)+SUMIF(T!$A$4:$A$370,C9,T!$B$4:$B$370)+SUMIF(T!$A$4:$A$370,D9,T!$B$4:$B$370)+(K9+O9)+(L9+P9)*EERR!$D$2</f>
        <v>524981.57999999996</v>
      </c>
      <c r="Y9" s="177">
        <f>X9/EERR!$D$2</f>
        <v>592.53</v>
      </c>
      <c r="Z9" s="183">
        <f t="shared" si="1"/>
        <v>0</v>
      </c>
      <c r="AA9" s="238">
        <f ca="1">SUMIF(S!$A$5:$K$152,Nov!G9,S!$J$5:$J$152)*EERR!$D$2*1.19</f>
        <v>624728.08019999997</v>
      </c>
      <c r="AB9" s="238">
        <f t="shared" ca="1" si="4"/>
        <v>0</v>
      </c>
      <c r="AC9" s="213"/>
      <c r="AD9" s="213"/>
    </row>
    <row r="10" spans="1:31" ht="15" customHeight="1" x14ac:dyDescent="0.25">
      <c r="A10" s="170">
        <v>7458</v>
      </c>
      <c r="B10" s="196">
        <v>1685</v>
      </c>
      <c r="C10" s="196">
        <v>1687</v>
      </c>
      <c r="D10" s="196">
        <v>1743</v>
      </c>
      <c r="E10" s="171" t="s">
        <v>731</v>
      </c>
      <c r="F10" s="171" t="s">
        <v>163</v>
      </c>
      <c r="G10" s="171">
        <v>2395795737</v>
      </c>
      <c r="H10" s="172">
        <v>45240</v>
      </c>
      <c r="I10" s="172">
        <v>45246</v>
      </c>
      <c r="J10" s="171">
        <v>6</v>
      </c>
      <c r="K10" s="173"/>
      <c r="L10" s="174"/>
      <c r="M10" s="173"/>
      <c r="N10" s="173">
        <v>942.65</v>
      </c>
      <c r="O10" s="173"/>
      <c r="P10" s="173"/>
      <c r="Q10" s="173"/>
      <c r="R10" s="173">
        <v>188.53</v>
      </c>
      <c r="S10" s="111">
        <f t="shared" si="2"/>
        <v>1131.18</v>
      </c>
      <c r="T10" s="111">
        <f t="shared" si="3"/>
        <v>0</v>
      </c>
      <c r="U10" s="109">
        <f>IF(J10=0,(S10+T10/EERR!$D$2/1.19),(S10+T10/EERR!$D$2/1.19)/J10)</f>
        <v>188.53</v>
      </c>
      <c r="V10" s="111">
        <f>T10+S10*EERR!$D$2</f>
        <v>1002225.4800000001</v>
      </c>
      <c r="W10" s="27">
        <f ca="1">SUMIF(S!$A$5:$K$152,Nov!G10,S!$N$5:$N$152)</f>
        <v>6</v>
      </c>
      <c r="X10" s="176">
        <f>SUMIF(T!$A$4:$A$370,B10,T!$B$4:$B$370)+SUMIF(T!$A$4:$A$370,C10,T!$B$4:$B$370)+SUMIF(T!$A$4:$A$370,D10,T!$B$4:$B$370)+(K10+O10)+(L10+P10)*EERR!$D$2</f>
        <v>1002225.48</v>
      </c>
      <c r="Y10" s="177">
        <f>X10/EERR!$D$2</f>
        <v>1131.18</v>
      </c>
      <c r="Z10" s="183">
        <f t="shared" si="1"/>
        <v>0</v>
      </c>
      <c r="AA10" s="238">
        <f ca="1">SUMIF(S!$A$5:$K$152,Nov!G10,S!$J$5:$J$152)*EERR!$D$2*1.19</f>
        <v>1192648.3212000001</v>
      </c>
      <c r="AB10" s="238">
        <f t="shared" ca="1" si="4"/>
        <v>0</v>
      </c>
      <c r="AC10" s="213"/>
      <c r="AD10" s="213"/>
    </row>
    <row r="11" spans="1:31" ht="15" customHeight="1" x14ac:dyDescent="0.25">
      <c r="A11" s="170">
        <v>7455</v>
      </c>
      <c r="B11" s="196">
        <v>1737</v>
      </c>
      <c r="C11" s="196">
        <v>1738</v>
      </c>
      <c r="D11" s="196"/>
      <c r="E11" s="171" t="s">
        <v>732</v>
      </c>
      <c r="F11" s="171" t="s">
        <v>163</v>
      </c>
      <c r="G11" s="171">
        <v>4033211758</v>
      </c>
      <c r="H11" s="172">
        <v>45240</v>
      </c>
      <c r="I11" s="172">
        <v>45241</v>
      </c>
      <c r="J11" s="171">
        <v>1</v>
      </c>
      <c r="K11" s="173"/>
      <c r="L11" s="174"/>
      <c r="M11" s="173"/>
      <c r="N11" s="173">
        <v>102.6</v>
      </c>
      <c r="O11" s="173"/>
      <c r="P11" s="173"/>
      <c r="Q11" s="173"/>
      <c r="R11" s="173">
        <v>102.6</v>
      </c>
      <c r="S11" s="111">
        <f t="shared" si="2"/>
        <v>205.2</v>
      </c>
      <c r="T11" s="111">
        <f t="shared" si="3"/>
        <v>0</v>
      </c>
      <c r="U11" s="109">
        <f>IF(J11=0,(S11+T11/EERR!$D$2/1.19),(S11+T11/EERR!$D$2/1.19)/J11)</f>
        <v>205.2</v>
      </c>
      <c r="V11" s="111">
        <f>T11+S11*EERR!$D$2</f>
        <v>181807.19999999998</v>
      </c>
      <c r="W11" s="27">
        <f ca="1">SUMIF(S!$A$5:$K$152,Nov!G11,S!$N$5:$N$152)</f>
        <v>1</v>
      </c>
      <c r="X11" s="176">
        <f>SUMIF(T!$A$4:$A$370,B11,T!$B$4:$B$370)+SUMIF(T!$A$4:$A$370,C11,T!$B$4:$B$370)+SUMIF(T!$A$4:$A$370,D11,T!$B$4:$B$370)+(K11+O11)+(L11+P11)*EERR!$D$2</f>
        <v>181807.19999999998</v>
      </c>
      <c r="Y11" s="177">
        <f>X11/EERR!$D$2</f>
        <v>205.2</v>
      </c>
      <c r="Z11" s="183">
        <f t="shared" si="1"/>
        <v>0</v>
      </c>
      <c r="AA11" s="238">
        <f ca="1">SUMIF(S!$A$5:$K$152,Nov!G11,S!$J$5:$J$152)*EERR!$D$2*1.19</f>
        <v>216350.56799999997</v>
      </c>
      <c r="AB11" s="238"/>
      <c r="AC11" s="213"/>
      <c r="AD11" s="213"/>
    </row>
    <row r="12" spans="1:31" ht="15" customHeight="1" x14ac:dyDescent="0.25">
      <c r="A12" s="170">
        <v>7461</v>
      </c>
      <c r="B12" s="196">
        <v>1691</v>
      </c>
      <c r="C12" s="196"/>
      <c r="D12" s="196"/>
      <c r="E12" s="171" t="s">
        <v>733</v>
      </c>
      <c r="F12" s="171" t="s">
        <v>163</v>
      </c>
      <c r="G12" s="171">
        <v>2582107427</v>
      </c>
      <c r="H12" s="172">
        <v>45241</v>
      </c>
      <c r="I12" s="172">
        <v>45242</v>
      </c>
      <c r="J12" s="171">
        <v>1</v>
      </c>
      <c r="K12" s="173"/>
      <c r="L12" s="174"/>
      <c r="M12" s="173"/>
      <c r="N12" s="173"/>
      <c r="O12" s="173"/>
      <c r="P12" s="173"/>
      <c r="Q12" s="173"/>
      <c r="R12" s="173">
        <v>219.45</v>
      </c>
      <c r="S12" s="111">
        <f t="shared" si="2"/>
        <v>219.45</v>
      </c>
      <c r="T12" s="111">
        <f t="shared" si="3"/>
        <v>0</v>
      </c>
      <c r="U12" s="109">
        <f>IF(J12=0,(S12+T12/EERR!$D$2/1.19),(S12+T12/EERR!$D$2/1.19)/J12)</f>
        <v>219.45</v>
      </c>
      <c r="V12" s="111">
        <f>T12+S12*EERR!$D$2</f>
        <v>194432.69999999998</v>
      </c>
      <c r="W12" s="27">
        <f ca="1">SUMIF(S!$A$5:$K$152,Nov!G12,S!$N$5:$N$152)</f>
        <v>1</v>
      </c>
      <c r="X12" s="176">
        <f>SUMIF(T!$A$4:$A$370,B12,T!$B$4:$B$370)+SUMIF(T!$A$4:$A$370,C12,T!$B$4:$B$370)+SUMIF(T!$A$4:$A$370,D12,T!$B$4:$B$370)+(K12+O12)+(L12+P12)*EERR!$D$2</f>
        <v>194432.69999999998</v>
      </c>
      <c r="Y12" s="177">
        <f>X12/EERR!$D$2</f>
        <v>219.45</v>
      </c>
      <c r="Z12" s="183">
        <f t="shared" si="1"/>
        <v>0</v>
      </c>
      <c r="AA12" s="238">
        <f ca="1">SUMIF(S!$A$5:$K$152,Nov!G12,S!$J$5:$J$152)*EERR!$D$2*1.19</f>
        <v>231374.91299999997</v>
      </c>
      <c r="AB12" s="238">
        <f t="shared" ca="1" si="4"/>
        <v>0</v>
      </c>
      <c r="AC12" s="213"/>
      <c r="AD12" s="213"/>
    </row>
    <row r="13" spans="1:31" ht="15" customHeight="1" x14ac:dyDescent="0.25">
      <c r="A13" s="170">
        <v>7459</v>
      </c>
      <c r="B13" s="196">
        <v>1744</v>
      </c>
      <c r="C13" s="196"/>
      <c r="D13" s="196"/>
      <c r="E13" s="171" t="s">
        <v>735</v>
      </c>
      <c r="F13" s="171" t="s">
        <v>163</v>
      </c>
      <c r="G13" s="171">
        <v>4234284486</v>
      </c>
      <c r="H13" s="172">
        <v>45241</v>
      </c>
      <c r="I13" s="172">
        <v>45242</v>
      </c>
      <c r="J13" s="171">
        <v>1</v>
      </c>
      <c r="K13" s="173"/>
      <c r="L13" s="174"/>
      <c r="M13" s="173"/>
      <c r="N13" s="173"/>
      <c r="O13" s="173"/>
      <c r="P13" s="173"/>
      <c r="Q13" s="173"/>
      <c r="R13" s="173">
        <v>228</v>
      </c>
      <c r="S13" s="111">
        <f t="shared" si="2"/>
        <v>228</v>
      </c>
      <c r="T13" s="111">
        <f t="shared" si="3"/>
        <v>0</v>
      </c>
      <c r="U13" s="109">
        <f>IF(J13=0,(S13+T13/EERR!$D$2/1.19),(S13+T13/EERR!$D$2/1.19)/J13)</f>
        <v>228</v>
      </c>
      <c r="V13" s="111">
        <f>T13+S13*EERR!$D$2</f>
        <v>202008</v>
      </c>
      <c r="W13" s="27">
        <f ca="1">SUMIF(S!$A$5:$K$152,Nov!G13,S!$N$5:$N$152)</f>
        <v>1</v>
      </c>
      <c r="X13" s="176">
        <f>SUMIF(T!$A$4:$A$370,B13,T!$B$4:$B$370)+SUMIF(T!$A$4:$A$370,C13,T!$B$4:$B$370)+SUMIF(T!$A$4:$A$370,D13,T!$B$4:$B$370)+(K13+O13)+(L13+P13)*EERR!$D$2</f>
        <v>202008</v>
      </c>
      <c r="Y13" s="177">
        <f>X13/EERR!$D$2</f>
        <v>228</v>
      </c>
      <c r="Z13" s="183">
        <f t="shared" si="1"/>
        <v>0</v>
      </c>
      <c r="AA13" s="238">
        <f ca="1">SUMIF(S!$A$5:$K$152,Nov!G13,S!$J$5:$J$152)*EERR!$D$2*1.19</f>
        <v>240389.52</v>
      </c>
      <c r="AB13" s="238">
        <f t="shared" ca="1" si="4"/>
        <v>0</v>
      </c>
      <c r="AC13" s="213"/>
      <c r="AD13" s="213"/>
    </row>
    <row r="14" spans="1:31" ht="15" customHeight="1" x14ac:dyDescent="0.25">
      <c r="A14" s="170">
        <v>7462</v>
      </c>
      <c r="B14" s="196">
        <v>1688</v>
      </c>
      <c r="C14" s="196">
        <v>1747</v>
      </c>
      <c r="D14" s="196"/>
      <c r="E14" s="171" t="s">
        <v>737</v>
      </c>
      <c r="F14" s="171" t="s">
        <v>163</v>
      </c>
      <c r="G14" s="171">
        <v>3168047844</v>
      </c>
      <c r="H14" s="172">
        <v>45241</v>
      </c>
      <c r="I14" s="172">
        <v>45245</v>
      </c>
      <c r="J14" s="171">
        <v>4</v>
      </c>
      <c r="K14" s="173"/>
      <c r="L14" s="174"/>
      <c r="M14" s="173"/>
      <c r="N14" s="173">
        <v>628.44000000000005</v>
      </c>
      <c r="O14" s="173"/>
      <c r="P14" s="173"/>
      <c r="Q14" s="173"/>
      <c r="R14" s="173">
        <v>209.48</v>
      </c>
      <c r="S14" s="111">
        <f t="shared" si="2"/>
        <v>837.92000000000007</v>
      </c>
      <c r="T14" s="111">
        <f t="shared" si="3"/>
        <v>0</v>
      </c>
      <c r="U14" s="109">
        <f>IF(J14=0,(S14+T14/EERR!$D$2/1.19),(S14+T14/EERR!$D$2/1.19)/J14)</f>
        <v>209.48000000000002</v>
      </c>
      <c r="V14" s="111">
        <f>T14+S14*EERR!$D$2</f>
        <v>742397.12000000011</v>
      </c>
      <c r="W14" s="27">
        <f ca="1">SUMIF(S!$A$5:$K$152,Nov!G14,S!$N$5:$N$152)</f>
        <v>4</v>
      </c>
      <c r="X14" s="176">
        <f>SUMIF(T!$A$4:$A$370,B14,T!$B$4:$B$370)+SUMIF(T!$A$4:$A$370,C14,T!$B$4:$B$370)+SUMIF(T!$A$4:$A$370,D14,T!$B$4:$B$370)+(K14+O14)+(L14+P14)*EERR!$D$2</f>
        <v>742397.12000000011</v>
      </c>
      <c r="Y14" s="177">
        <f>X14/EERR!$D$2</f>
        <v>837.92000000000007</v>
      </c>
      <c r="Z14" s="183">
        <f t="shared" si="1"/>
        <v>0</v>
      </c>
      <c r="AA14" s="238">
        <f ca="1">SUMIF(S!$A$5:$K$152,Nov!G14,S!$J$5:$J$152)*EERR!$D$2*1.19</f>
        <v>883452.57279999997</v>
      </c>
      <c r="AB14" s="238">
        <f t="shared" ca="1" si="4"/>
        <v>0</v>
      </c>
      <c r="AC14" s="213"/>
      <c r="AD14" s="213"/>
    </row>
    <row r="15" spans="1:31" ht="15" customHeight="1" x14ac:dyDescent="0.25">
      <c r="A15" s="170">
        <v>7463</v>
      </c>
      <c r="B15" s="196"/>
      <c r="C15" s="196"/>
      <c r="D15" s="196"/>
      <c r="E15" s="171" t="s">
        <v>738</v>
      </c>
      <c r="F15" s="171" t="s">
        <v>163</v>
      </c>
      <c r="G15" s="171">
        <v>3270145854</v>
      </c>
      <c r="H15" s="172">
        <v>45241</v>
      </c>
      <c r="I15" s="172">
        <v>45246</v>
      </c>
      <c r="J15" s="171">
        <v>5</v>
      </c>
      <c r="K15" s="173"/>
      <c r="L15" s="174"/>
      <c r="M15" s="173"/>
      <c r="N15" s="173"/>
      <c r="O15" s="173"/>
      <c r="P15" s="173">
        <v>942.65</v>
      </c>
      <c r="Q15" s="173"/>
      <c r="R15" s="173"/>
      <c r="S15" s="111">
        <f t="shared" si="2"/>
        <v>942.65</v>
      </c>
      <c r="T15" s="111">
        <f t="shared" si="3"/>
        <v>0</v>
      </c>
      <c r="U15" s="109">
        <f>IF(J15=0,(S15+T15/EERR!$D$2/1.19),(S15+T15/EERR!$D$2/1.19)/J15)</f>
        <v>188.53</v>
      </c>
      <c r="V15" s="111">
        <f>T15+S15*EERR!$D$2</f>
        <v>835187.9</v>
      </c>
      <c r="W15" s="27">
        <f ca="1">SUMIF(S!$A$5:$K$152,Nov!G15,S!$N$5:$N$152)</f>
        <v>5</v>
      </c>
      <c r="X15" s="176">
        <f>SUMIF(T!$A$4:$A$370,B15,T!$B$4:$B$370)+SUMIF(T!$A$4:$A$370,C15,T!$B$4:$B$370)+SUMIF(T!$A$4:$A$370,D15,T!$B$4:$B$370)+(K15+O15)+(L15+P15)*EERR!$D$2</f>
        <v>835187.9</v>
      </c>
      <c r="Y15" s="177">
        <f>X15/EERR!$D$2</f>
        <v>942.65</v>
      </c>
      <c r="Z15" s="183">
        <f t="shared" si="1"/>
        <v>0</v>
      </c>
      <c r="AA15" s="238">
        <f ca="1">SUMIF(S!$A$5:$K$152,Nov!G15,S!$J$5:$J$152)*EERR!$D$2*1.19</f>
        <v>993873.60100000002</v>
      </c>
      <c r="AB15" s="238">
        <f t="shared" ca="1" si="4"/>
        <v>0</v>
      </c>
      <c r="AC15" s="213"/>
      <c r="AD15" s="213"/>
    </row>
    <row r="16" spans="1:31" ht="15" customHeight="1" x14ac:dyDescent="0.25">
      <c r="A16" s="170">
        <v>7464</v>
      </c>
      <c r="B16" s="196">
        <v>1749</v>
      </c>
      <c r="C16" s="196"/>
      <c r="D16" s="196"/>
      <c r="E16" s="171" t="s">
        <v>739</v>
      </c>
      <c r="F16" s="171" t="s">
        <v>163</v>
      </c>
      <c r="G16" s="171">
        <v>3423462200</v>
      </c>
      <c r="H16" s="172">
        <v>45241</v>
      </c>
      <c r="I16" s="172">
        <v>45244</v>
      </c>
      <c r="J16" s="171">
        <v>3</v>
      </c>
      <c r="K16" s="173"/>
      <c r="L16" s="174"/>
      <c r="M16" s="173"/>
      <c r="N16" s="173"/>
      <c r="O16" s="173"/>
      <c r="P16" s="173"/>
      <c r="Q16" s="173"/>
      <c r="R16" s="173">
        <v>658.35</v>
      </c>
      <c r="S16" s="111">
        <f t="shared" si="2"/>
        <v>658.35</v>
      </c>
      <c r="T16" s="111">
        <f t="shared" si="3"/>
        <v>0</v>
      </c>
      <c r="U16" s="109">
        <f>IF(J16=0,(S16+T16/EERR!$D$2/1.19),(S16+T16/EERR!$D$2/1.19)/J16)</f>
        <v>219.45000000000002</v>
      </c>
      <c r="V16" s="111">
        <f>T16+S16*EERR!$D$2</f>
        <v>583298.1</v>
      </c>
      <c r="W16" s="27">
        <f ca="1">SUMIF(S!$A$5:$K$152,Nov!G16,S!$N$5:$N$152)</f>
        <v>3</v>
      </c>
      <c r="X16" s="176">
        <f>SUMIF(T!$A$4:$A$370,B16,T!$B$4:$B$370)+SUMIF(T!$A$4:$A$370,C16,T!$B$4:$B$370)+SUMIF(T!$A$4:$A$370,D16,T!$B$4:$B$370)+(K16+O16)+(L16+P16)*EERR!$D$2</f>
        <v>583298.1</v>
      </c>
      <c r="Y16" s="177">
        <f>X16/EERR!$D$2</f>
        <v>658.35</v>
      </c>
      <c r="Z16" s="183">
        <f t="shared" si="1"/>
        <v>0</v>
      </c>
      <c r="AA16" s="238">
        <f ca="1">SUMIF(S!$A$5:$K$152,Nov!G16,S!$J$5:$J$152)*EERR!$D$2*1.19</f>
        <v>694124.73899999994</v>
      </c>
      <c r="AB16" s="238">
        <f t="shared" ca="1" si="4"/>
        <v>0</v>
      </c>
    </row>
    <row r="17" spans="1:28" ht="15" customHeight="1" x14ac:dyDescent="0.25">
      <c r="A17" s="170">
        <v>7465</v>
      </c>
      <c r="B17" s="196">
        <v>1692</v>
      </c>
      <c r="C17" s="196"/>
      <c r="D17" s="196"/>
      <c r="E17" s="171" t="s">
        <v>740</v>
      </c>
      <c r="F17" s="171" t="s">
        <v>163</v>
      </c>
      <c r="G17" s="171">
        <v>3848141943</v>
      </c>
      <c r="H17" s="172">
        <v>45242</v>
      </c>
      <c r="I17" s="172">
        <v>45247</v>
      </c>
      <c r="J17" s="171">
        <v>5</v>
      </c>
      <c r="K17" s="173"/>
      <c r="L17" s="174">
        <v>790.04</v>
      </c>
      <c r="M17" s="173"/>
      <c r="N17" s="173"/>
      <c r="O17" s="173"/>
      <c r="P17" s="173"/>
      <c r="Q17" s="173"/>
      <c r="R17" s="173">
        <v>197.51</v>
      </c>
      <c r="S17" s="111">
        <f t="shared" si="2"/>
        <v>987.55</v>
      </c>
      <c r="T17" s="111">
        <f t="shared" si="3"/>
        <v>0</v>
      </c>
      <c r="U17" s="109">
        <f>IF(J17=0,(S17+T17/EERR!$D$2/1.19),(S17+T17/EERR!$D$2/1.19)/J17)</f>
        <v>197.51</v>
      </c>
      <c r="V17" s="111">
        <f>T17+S17*EERR!$D$2</f>
        <v>874969.29999999993</v>
      </c>
      <c r="W17" s="27">
        <f ca="1">SUMIF(S!$A$5:$K$152,Nov!G17,S!$N$5:$N$152)</f>
        <v>5</v>
      </c>
      <c r="X17" s="176">
        <f>SUMIF(T!$A$4:$A$370,B17,T!$B$4:$B$370)+SUMIF(T!$A$4:$A$370,C17,T!$B$4:$B$370)+SUMIF(T!$A$4:$A$370,D17,T!$B$4:$B$370)+(K17+O17)+(L17+P17)*EERR!$D$2</f>
        <v>874969.29999999993</v>
      </c>
      <c r="Y17" s="177">
        <f>X17/EERR!$D$2</f>
        <v>987.55</v>
      </c>
      <c r="Z17" s="183">
        <f t="shared" si="1"/>
        <v>0</v>
      </c>
      <c r="AA17" s="238">
        <f ca="1">SUMIF(S!$A$5:$K$152,Nov!G17,S!$J$5:$J$152)*EERR!$D$2*1.19</f>
        <v>1041213.4669999998</v>
      </c>
      <c r="AB17" s="238">
        <f t="shared" ca="1" si="4"/>
        <v>0</v>
      </c>
    </row>
    <row r="18" spans="1:28" ht="15" customHeight="1" x14ac:dyDescent="0.25">
      <c r="A18" s="170">
        <v>7466</v>
      </c>
      <c r="B18" s="196">
        <v>1736</v>
      </c>
      <c r="C18" s="196"/>
      <c r="D18" s="196"/>
      <c r="E18" s="171" t="s">
        <v>741</v>
      </c>
      <c r="F18" s="171" t="s">
        <v>163</v>
      </c>
      <c r="G18" s="171">
        <v>4135532356</v>
      </c>
      <c r="H18" s="172">
        <v>45242</v>
      </c>
      <c r="I18" s="172">
        <v>45243</v>
      </c>
      <c r="J18" s="171">
        <v>1</v>
      </c>
      <c r="K18" s="173"/>
      <c r="L18" s="174"/>
      <c r="M18" s="173"/>
      <c r="N18" s="173"/>
      <c r="O18" s="173"/>
      <c r="P18" s="173"/>
      <c r="Q18" s="173"/>
      <c r="R18" s="173">
        <v>205.2</v>
      </c>
      <c r="S18" s="111">
        <f t="shared" si="2"/>
        <v>205.2</v>
      </c>
      <c r="T18" s="111">
        <f t="shared" si="3"/>
        <v>0</v>
      </c>
      <c r="U18" s="109">
        <f>IF(J18=0,(S18+T18/EERR!$D$2/1.19),(S18+T18/EERR!$D$2/1.19)/J18)</f>
        <v>205.2</v>
      </c>
      <c r="V18" s="111">
        <f>T18+S18*EERR!$D$2</f>
        <v>181807.19999999998</v>
      </c>
      <c r="W18" s="27">
        <f ca="1">SUMIF(S!$A$5:$K$152,Nov!G18,S!$N$5:$N$152)</f>
        <v>1</v>
      </c>
      <c r="X18" s="176">
        <f>SUMIF(T!$A$4:$A$370,B18,T!$B$4:$B$370)+SUMIF(T!$A$4:$A$370,C18,T!$B$4:$B$370)+SUMIF(T!$A$4:$A$370,D18,T!$B$4:$B$370)+(K18+O18)+(L18+P18)*EERR!$D$2</f>
        <v>181807.19999999998</v>
      </c>
      <c r="Y18" s="177">
        <f>X18/EERR!$D$2</f>
        <v>205.2</v>
      </c>
      <c r="Z18" s="183">
        <f t="shared" si="1"/>
        <v>0</v>
      </c>
      <c r="AA18" s="238">
        <f ca="1">SUMIF(S!$A$5:$K$152,Nov!G18,S!$J$5:$J$152)*EERR!$D$2*1.19</f>
        <v>216350.56799999997</v>
      </c>
      <c r="AB18" s="238">
        <f t="shared" ca="1" si="4"/>
        <v>0</v>
      </c>
    </row>
    <row r="19" spans="1:28" ht="15" customHeight="1" x14ac:dyDescent="0.25">
      <c r="A19" s="170">
        <v>7468</v>
      </c>
      <c r="B19" s="196">
        <v>1748</v>
      </c>
      <c r="C19" s="196">
        <v>1753</v>
      </c>
      <c r="D19" s="196"/>
      <c r="E19" s="171" t="s">
        <v>742</v>
      </c>
      <c r="F19" s="171" t="s">
        <v>163</v>
      </c>
      <c r="G19" s="171">
        <v>4272508587</v>
      </c>
      <c r="H19" s="172">
        <v>45242</v>
      </c>
      <c r="I19" s="172">
        <v>45245</v>
      </c>
      <c r="J19" s="171">
        <v>3</v>
      </c>
      <c r="K19" s="173"/>
      <c r="L19" s="174"/>
      <c r="M19" s="173"/>
      <c r="N19" s="173">
        <v>410.4</v>
      </c>
      <c r="O19" s="173"/>
      <c r="P19" s="173"/>
      <c r="Q19" s="173"/>
      <c r="R19" s="173">
        <v>205.2</v>
      </c>
      <c r="S19" s="111">
        <f t="shared" si="2"/>
        <v>615.59999999999991</v>
      </c>
      <c r="T19" s="111">
        <f t="shared" si="3"/>
        <v>0</v>
      </c>
      <c r="U19" s="109">
        <f>IF(J19=0,(S19+T19/EERR!$D$2/1.19),(S19+T19/EERR!$D$2/1.19)/J19)</f>
        <v>205.19999999999996</v>
      </c>
      <c r="V19" s="111">
        <f>T19+S19*EERR!$D$2</f>
        <v>545421.6</v>
      </c>
      <c r="W19" s="27">
        <f ca="1">SUMIF(S!$A$5:$K$152,Nov!G19,S!$N$5:$N$152)</f>
        <v>3</v>
      </c>
      <c r="X19" s="176">
        <f>SUMIF(T!$A$4:$A$370,B19,T!$B$4:$B$370)+SUMIF(T!$A$4:$A$370,C19,T!$B$4:$B$370)+SUMIF(T!$A$4:$A$370,D19,T!$B$4:$B$370)+(K19+O19)+(L19+P19)*EERR!$D$2</f>
        <v>545421.6</v>
      </c>
      <c r="Y19" s="177">
        <f>X19/EERR!$D$2</f>
        <v>615.6</v>
      </c>
      <c r="Z19" s="183">
        <f t="shared" si="1"/>
        <v>0</v>
      </c>
      <c r="AA19" s="238">
        <f ca="1">SUMIF(S!$A$5:$K$152,Nov!G19,S!$J$5:$J$152)*EERR!$D$2*1.19</f>
        <v>649051.70399999991</v>
      </c>
      <c r="AB19" s="238">
        <f t="shared" ca="1" si="4"/>
        <v>0</v>
      </c>
    </row>
    <row r="20" spans="1:28" ht="15" customHeight="1" x14ac:dyDescent="0.25">
      <c r="A20" s="170">
        <v>7472</v>
      </c>
      <c r="B20" s="196">
        <v>1699</v>
      </c>
      <c r="C20" s="196">
        <v>1762</v>
      </c>
      <c r="D20" s="196"/>
      <c r="E20" s="171" t="s">
        <v>743</v>
      </c>
      <c r="F20" s="171" t="s">
        <v>163</v>
      </c>
      <c r="G20" s="171">
        <v>3834449399</v>
      </c>
      <c r="H20" s="172">
        <v>45244</v>
      </c>
      <c r="I20" s="172">
        <v>45251</v>
      </c>
      <c r="J20" s="171">
        <v>7</v>
      </c>
      <c r="K20" s="173"/>
      <c r="L20" s="174"/>
      <c r="M20" s="173"/>
      <c r="N20" s="173">
        <v>1256.8800000000001</v>
      </c>
      <c r="O20" s="173"/>
      <c r="P20" s="173"/>
      <c r="Q20" s="173"/>
      <c r="R20" s="173">
        <v>209.48</v>
      </c>
      <c r="S20" s="111">
        <f t="shared" si="2"/>
        <v>1466.3600000000001</v>
      </c>
      <c r="T20" s="111">
        <f t="shared" si="3"/>
        <v>0</v>
      </c>
      <c r="U20" s="109">
        <f>IF(J20=0,(S20+T20/EERR!$D$2/1.19),(S20+T20/EERR!$D$2/1.19)/J20)</f>
        <v>209.48000000000002</v>
      </c>
      <c r="V20" s="111">
        <f>T20+S20*EERR!$D$2</f>
        <v>1299194.9600000002</v>
      </c>
      <c r="W20" s="27">
        <f ca="1">SUMIF(S!$A$5:$K$152,Nov!G20,S!$N$5:$N$152)</f>
        <v>7</v>
      </c>
      <c r="X20" s="176">
        <f>SUMIF(T!$A$4:$A$370,B20,T!$B$4:$B$370)+SUMIF(T!$A$4:$A$370,C20,T!$B$4:$B$370)+SUMIF(T!$A$4:$A$370,D20,T!$B$4:$B$370)+(K20+O20)+(L20+P20)*EERR!$D$2</f>
        <v>1299194.9600000002</v>
      </c>
      <c r="Y20" s="177">
        <f>X20/EERR!$D$2</f>
        <v>1466.3600000000001</v>
      </c>
      <c r="Z20" s="183">
        <f t="shared" si="1"/>
        <v>0</v>
      </c>
      <c r="AA20" s="238">
        <f ca="1">SUMIF(S!$A$5:$K$152,Nov!G20,S!$J$5:$J$152)*EERR!$D$2*1.19</f>
        <v>1546042.0023999999</v>
      </c>
      <c r="AB20" s="238">
        <f t="shared" ca="1" si="4"/>
        <v>0</v>
      </c>
    </row>
    <row r="21" spans="1:28" ht="15" customHeight="1" x14ac:dyDescent="0.25">
      <c r="A21" s="170">
        <v>7475</v>
      </c>
      <c r="B21" s="196">
        <v>1503</v>
      </c>
      <c r="C21" s="196"/>
      <c r="D21" s="196"/>
      <c r="E21" s="171" t="s">
        <v>747</v>
      </c>
      <c r="F21" s="171" t="s">
        <v>163</v>
      </c>
      <c r="G21" s="171">
        <v>4089335429</v>
      </c>
      <c r="H21" s="172">
        <v>45245</v>
      </c>
      <c r="I21" s="172">
        <v>45249</v>
      </c>
      <c r="J21" s="171">
        <v>4</v>
      </c>
      <c r="K21" s="173"/>
      <c r="L21" s="174"/>
      <c r="M21" s="173"/>
      <c r="N21" s="173"/>
      <c r="O21" s="173"/>
      <c r="P21" s="173"/>
      <c r="Q21" s="173"/>
      <c r="R21" s="173">
        <v>738.72</v>
      </c>
      <c r="S21" s="111">
        <f t="shared" si="2"/>
        <v>738.72</v>
      </c>
      <c r="T21" s="111">
        <f t="shared" si="3"/>
        <v>0</v>
      </c>
      <c r="U21" s="109">
        <f>IF(J21=0,(S21+T21/EERR!$D$2/1.19),(S21+T21/EERR!$D$2/1.19)/J21)</f>
        <v>184.68</v>
      </c>
      <c r="V21" s="111">
        <f>T21+S21*EERR!$D$2</f>
        <v>654505.92000000004</v>
      </c>
      <c r="W21" s="27">
        <f ca="1">SUMIF(S!$A$5:$K$152,Nov!G21,S!$N$5:$N$152)</f>
        <v>4</v>
      </c>
      <c r="X21" s="176">
        <f>SUMIF(T!$A$4:$A$370,B21,T!$B$4:$B$370)+SUMIF(T!$A$4:$A$370,C21,T!$B$4:$B$370)+SUMIF(T!$A$4:$A$370,D21,T!$B$4:$B$370)+(K21+O21)+(L21+P21)*EERR!$D$2</f>
        <v>654505.92000000004</v>
      </c>
      <c r="Y21" s="177">
        <f>X21/EERR!$D$2</f>
        <v>738.72</v>
      </c>
      <c r="Z21" s="183">
        <f t="shared" si="1"/>
        <v>0</v>
      </c>
      <c r="AA21" s="238"/>
      <c r="AB21" s="238"/>
    </row>
    <row r="22" spans="1:28" ht="15" customHeight="1" x14ac:dyDescent="0.25">
      <c r="A22" s="170">
        <v>7473</v>
      </c>
      <c r="B22" s="196">
        <v>1704</v>
      </c>
      <c r="C22" s="196"/>
      <c r="D22" s="196"/>
      <c r="E22" s="171" t="s">
        <v>748</v>
      </c>
      <c r="F22" s="171" t="s">
        <v>163</v>
      </c>
      <c r="G22" s="171">
        <v>2681101883</v>
      </c>
      <c r="H22" s="172">
        <v>45245</v>
      </c>
      <c r="I22" s="172">
        <v>45249</v>
      </c>
      <c r="J22" s="171">
        <v>4</v>
      </c>
      <c r="K22" s="173"/>
      <c r="L22" s="174">
        <v>565.59</v>
      </c>
      <c r="M22" s="173"/>
      <c r="N22" s="173"/>
      <c r="O22" s="173"/>
      <c r="P22" s="173"/>
      <c r="Q22" s="173"/>
      <c r="R22" s="173">
        <v>188.53</v>
      </c>
      <c r="S22" s="111">
        <f t="shared" si="2"/>
        <v>754.12</v>
      </c>
      <c r="T22" s="111">
        <f t="shared" si="3"/>
        <v>0</v>
      </c>
      <c r="U22" s="109">
        <f>IF(J22=0,(S22+T22/EERR!$D$2/1.19),(S22+T22/EERR!$D$2/1.19)/J22)</f>
        <v>188.53</v>
      </c>
      <c r="V22" s="111">
        <f>T22+S22*EERR!$D$2</f>
        <v>668150.31999999995</v>
      </c>
      <c r="W22" s="27">
        <f ca="1">SUMIF(S!$A$5:$K$152,Nov!G22,S!$N$5:$N$152)</f>
        <v>4</v>
      </c>
      <c r="X22" s="176">
        <f>SUMIF(T!$A$4:$A$370,B22,T!$B$4:$B$370)+SUMIF(T!$A$4:$A$370,C22,T!$B$4:$B$370)+SUMIF(T!$A$4:$A$370,D22,T!$B$4:$B$370)+(K22+O22)+(L22+P22)*EERR!$D$2</f>
        <v>668150.32000000007</v>
      </c>
      <c r="Y22" s="177">
        <f>X22/EERR!$D$2</f>
        <v>754.12000000000012</v>
      </c>
      <c r="Z22" s="327">
        <f t="shared" si="1"/>
        <v>0</v>
      </c>
      <c r="AA22" s="238"/>
      <c r="AB22" s="238"/>
    </row>
    <row r="23" spans="1:28" ht="15" customHeight="1" x14ac:dyDescent="0.25">
      <c r="A23" s="170">
        <v>7471</v>
      </c>
      <c r="B23" s="196">
        <v>1702</v>
      </c>
      <c r="C23" s="196"/>
      <c r="D23" s="196"/>
      <c r="E23" s="171" t="s">
        <v>733</v>
      </c>
      <c r="F23" s="171" t="s">
        <v>163</v>
      </c>
      <c r="G23" s="171">
        <v>2879261020</v>
      </c>
      <c r="H23" s="172">
        <v>45245</v>
      </c>
      <c r="I23" s="172">
        <v>45246</v>
      </c>
      <c r="J23" s="171">
        <v>1</v>
      </c>
      <c r="K23" s="173"/>
      <c r="L23" s="174"/>
      <c r="M23" s="173"/>
      <c r="N23" s="173"/>
      <c r="O23" s="173"/>
      <c r="P23" s="173"/>
      <c r="Q23" s="173"/>
      <c r="R23" s="173">
        <v>219.45</v>
      </c>
      <c r="S23" s="111">
        <f t="shared" si="2"/>
        <v>219.45</v>
      </c>
      <c r="T23" s="111">
        <f t="shared" si="3"/>
        <v>0</v>
      </c>
      <c r="U23" s="109">
        <f>IF(J23=0,(S23+T23/EERR!$D$2/1.19),(S23+T23/EERR!$D$2/1.19)/J23)</f>
        <v>219.45</v>
      </c>
      <c r="V23" s="111">
        <f>T23+S23*EERR!$D$2</f>
        <v>194432.69999999998</v>
      </c>
      <c r="W23" s="27">
        <f ca="1">SUMIF(S!$A$5:$K$152,Nov!G23,S!$N$5:$N$152)</f>
        <v>1</v>
      </c>
      <c r="X23" s="176">
        <f>SUMIF(T!$A$4:$A$370,B23,T!$B$4:$B$370)+SUMIF(T!$A$4:$A$370,C23,T!$B$4:$B$370)+SUMIF(T!$A$4:$A$370,D23,T!$B$4:$B$370)+(K23+O23)+(L23+P23)*EERR!$D$2</f>
        <v>194432.69999999998</v>
      </c>
      <c r="Y23" s="177">
        <f>X23/EERR!$D$2</f>
        <v>219.45</v>
      </c>
      <c r="Z23" s="183">
        <f t="shared" si="1"/>
        <v>0</v>
      </c>
      <c r="AA23" s="238"/>
      <c r="AB23" s="238"/>
    </row>
    <row r="24" spans="1:28" ht="15" customHeight="1" x14ac:dyDescent="0.25">
      <c r="A24" s="170">
        <v>7474</v>
      </c>
      <c r="B24" s="196">
        <v>1703</v>
      </c>
      <c r="C24" s="196"/>
      <c r="D24" s="196"/>
      <c r="E24" s="171" t="s">
        <v>749</v>
      </c>
      <c r="F24" s="171" t="s">
        <v>163</v>
      </c>
      <c r="G24" s="171">
        <v>3283799949</v>
      </c>
      <c r="H24" s="172">
        <v>45245</v>
      </c>
      <c r="I24" s="172">
        <v>45249</v>
      </c>
      <c r="J24" s="171">
        <v>4</v>
      </c>
      <c r="K24" s="173"/>
      <c r="L24" s="174">
        <v>565.59</v>
      </c>
      <c r="M24" s="173"/>
      <c r="N24" s="173"/>
      <c r="O24" s="173"/>
      <c r="P24" s="173"/>
      <c r="Q24" s="173"/>
      <c r="R24" s="173">
        <v>188.53</v>
      </c>
      <c r="S24" s="111">
        <f t="shared" si="2"/>
        <v>754.12</v>
      </c>
      <c r="T24" s="111">
        <f t="shared" si="3"/>
        <v>0</v>
      </c>
      <c r="U24" s="109">
        <f>IF(J24=0,(S24+T24/EERR!$D$2/1.19),(S24+T24/EERR!$D$2/1.19)/J24)</f>
        <v>188.53</v>
      </c>
      <c r="V24" s="111">
        <f>T24+S24*EERR!$D$2</f>
        <v>668150.31999999995</v>
      </c>
      <c r="W24" s="27">
        <f ca="1">SUMIF(S!$A$5:$K$152,Nov!G24,S!$N$5:$N$152)</f>
        <v>4</v>
      </c>
      <c r="X24" s="176">
        <f>SUMIF(T!$A$4:$A$370,B24,T!$B$4:$B$370)+SUMIF(T!$A$4:$A$370,C24,T!$B$4:$B$370)+SUMIF(T!$A$4:$A$370,D24,T!$B$4:$B$370)+(K24+O24)+(L24+P24)*EERR!$D$2</f>
        <v>668150.32000000007</v>
      </c>
      <c r="Y24" s="177">
        <f>X24/EERR!$D$2</f>
        <v>754.12000000000012</v>
      </c>
      <c r="Z24" s="183">
        <f t="shared" si="1"/>
        <v>0</v>
      </c>
      <c r="AA24" s="238"/>
      <c r="AB24" s="238"/>
    </row>
    <row r="25" spans="1:28" ht="15" customHeight="1" x14ac:dyDescent="0.25">
      <c r="A25" s="170">
        <v>7470</v>
      </c>
      <c r="B25" s="196">
        <v>1710</v>
      </c>
      <c r="C25" s="196">
        <v>1765</v>
      </c>
      <c r="D25" s="196"/>
      <c r="E25" s="171" t="s">
        <v>750</v>
      </c>
      <c r="F25" s="171" t="s">
        <v>163</v>
      </c>
      <c r="G25" s="171">
        <v>2340654063</v>
      </c>
      <c r="H25" s="172">
        <v>45245</v>
      </c>
      <c r="I25" s="172">
        <v>45247</v>
      </c>
      <c r="J25" s="171">
        <v>2</v>
      </c>
      <c r="K25" s="173"/>
      <c r="L25" s="174"/>
      <c r="M25" s="173"/>
      <c r="N25" s="173">
        <v>209.48</v>
      </c>
      <c r="O25" s="173"/>
      <c r="P25" s="173"/>
      <c r="Q25" s="173"/>
      <c r="R25" s="173">
        <v>209.48</v>
      </c>
      <c r="S25" s="111">
        <f t="shared" si="2"/>
        <v>418.96</v>
      </c>
      <c r="T25" s="111">
        <f t="shared" si="3"/>
        <v>0</v>
      </c>
      <c r="U25" s="109">
        <f>IF(J25=0,(S25+T25/EERR!$D$2/1.19),(S25+T25/EERR!$D$2/1.19)/J25)</f>
        <v>209.48</v>
      </c>
      <c r="V25" s="111">
        <f>T25+S25*EERR!$D$2</f>
        <v>371198.56</v>
      </c>
      <c r="W25" s="27">
        <f ca="1">SUMIF(S!$A$5:$K$152,Nov!G25,S!$N$5:$N$152)</f>
        <v>2</v>
      </c>
      <c r="X25" s="176">
        <f>SUMIF(T!$A$4:$A$370,B25,T!$B$4:$B$370)+SUMIF(T!$A$4:$A$370,C25,T!$B$4:$B$370)+SUMIF(T!$A$4:$A$370,D25,T!$B$4:$B$370)+(K25+O25)+(L25+P25)*EERR!$D$2</f>
        <v>371198.56</v>
      </c>
      <c r="Y25" s="177">
        <f>X25/EERR!$D$2</f>
        <v>418.96</v>
      </c>
      <c r="Z25" s="183">
        <f t="shared" si="1"/>
        <v>0</v>
      </c>
      <c r="AA25" s="238"/>
      <c r="AB25" s="238"/>
    </row>
    <row r="26" spans="1:28" ht="15" customHeight="1" x14ac:dyDescent="0.25">
      <c r="A26" s="170">
        <v>7478</v>
      </c>
      <c r="B26" s="196">
        <v>1709</v>
      </c>
      <c r="C26" s="196"/>
      <c r="D26" s="196"/>
      <c r="E26" s="171" t="s">
        <v>754</v>
      </c>
      <c r="F26" s="171" t="s">
        <v>163</v>
      </c>
      <c r="G26" s="171">
        <v>2738067537</v>
      </c>
      <c r="H26" s="172">
        <v>45247</v>
      </c>
      <c r="I26" s="172">
        <v>45252</v>
      </c>
      <c r="J26" s="171">
        <v>5</v>
      </c>
      <c r="K26" s="173"/>
      <c r="L26" s="174">
        <v>754.12</v>
      </c>
      <c r="M26" s="173"/>
      <c r="N26" s="173"/>
      <c r="O26" s="173"/>
      <c r="P26" s="173"/>
      <c r="Q26" s="173"/>
      <c r="R26" s="173">
        <v>188.53</v>
      </c>
      <c r="S26" s="111">
        <f t="shared" ref="S26:S38" si="5">L26+N26+P26+R26</f>
        <v>942.65</v>
      </c>
      <c r="T26" s="111">
        <f t="shared" ref="T26:T38" si="6">M26+O26+K26+Q26</f>
        <v>0</v>
      </c>
      <c r="U26" s="109">
        <f>IF(J26=0,(S26+T26/EERR!$D$2/1.19),(S26+T26/EERR!$D$2/1.19)/J26)</f>
        <v>188.53</v>
      </c>
      <c r="V26" s="111">
        <f>T26+S26*EERR!$D$2</f>
        <v>835187.9</v>
      </c>
      <c r="W26" s="27">
        <f ca="1">SUMIF(S!$A$5:$K$152,Nov!G26,S!$N$5:$N$152)</f>
        <v>5</v>
      </c>
      <c r="X26" s="176">
        <f>SUMIF(T!$A$4:$A$370,B26,T!$B$4:$B$370)+SUMIF(T!$A$4:$A$370,C26,T!$B$4:$B$370)+SUMIF(T!$A$4:$A$370,D26,T!$B$4:$B$370)+(K26+O26)+(L26+P26)*EERR!$D$2</f>
        <v>835187.89999999991</v>
      </c>
      <c r="Y26" s="177">
        <f>X26/EERR!$D$2</f>
        <v>942.64999999999986</v>
      </c>
      <c r="Z26" s="183">
        <f t="shared" si="1"/>
        <v>0</v>
      </c>
      <c r="AA26" s="238"/>
      <c r="AB26" s="238"/>
    </row>
    <row r="27" spans="1:28" ht="15" customHeight="1" x14ac:dyDescent="0.25">
      <c r="A27" s="170">
        <v>7476</v>
      </c>
      <c r="B27" s="196"/>
      <c r="C27" s="196"/>
      <c r="D27" s="196"/>
      <c r="E27" s="171" t="s">
        <v>755</v>
      </c>
      <c r="F27" s="171" t="s">
        <v>163</v>
      </c>
      <c r="G27" s="171">
        <v>4012926190</v>
      </c>
      <c r="H27" s="172">
        <v>45247</v>
      </c>
      <c r="I27" s="172">
        <v>45248</v>
      </c>
      <c r="J27" s="171">
        <v>1</v>
      </c>
      <c r="K27" s="173"/>
      <c r="L27" s="174">
        <v>205.2</v>
      </c>
      <c r="M27" s="173"/>
      <c r="N27" s="173"/>
      <c r="O27" s="173"/>
      <c r="P27" s="173"/>
      <c r="Q27" s="173"/>
      <c r="R27" s="173"/>
      <c r="S27" s="111">
        <f t="shared" si="5"/>
        <v>205.2</v>
      </c>
      <c r="T27" s="111">
        <f t="shared" si="6"/>
        <v>0</v>
      </c>
      <c r="U27" s="109">
        <f>IF(J27=0,(S27+T27/EERR!$D$2/1.19),(S27+T27/EERR!$D$2/1.19)/J27)</f>
        <v>205.2</v>
      </c>
      <c r="V27" s="111">
        <f>T27+S27*EERR!$D$2</f>
        <v>181807.19999999998</v>
      </c>
      <c r="W27" s="27">
        <f ca="1">SUMIF(S!$A$5:$K$152,Nov!G27,S!$N$5:$N$152)</f>
        <v>1</v>
      </c>
      <c r="X27" s="176">
        <f>SUMIF(T!$A$4:$A$370,B27,T!$B$4:$B$370)+SUMIF(T!$A$4:$A$370,C27,T!$B$4:$B$370)+SUMIF(T!$A$4:$A$370,D27,T!$B$4:$B$370)+(K27+O27)+(L27+P27)*EERR!$D$2</f>
        <v>181807.19999999998</v>
      </c>
      <c r="Y27" s="177">
        <f>X27/EERR!$D$2</f>
        <v>205.2</v>
      </c>
      <c r="Z27" s="183">
        <f t="shared" si="1"/>
        <v>0</v>
      </c>
      <c r="AA27" s="238"/>
      <c r="AB27" s="238"/>
    </row>
    <row r="28" spans="1:28" ht="15" customHeight="1" x14ac:dyDescent="0.25">
      <c r="A28" s="170">
        <v>1831</v>
      </c>
      <c r="B28" s="196">
        <v>1771</v>
      </c>
      <c r="C28" s="196"/>
      <c r="D28" s="196"/>
      <c r="E28" s="171" t="s">
        <v>756</v>
      </c>
      <c r="F28" s="171" t="s">
        <v>163</v>
      </c>
      <c r="G28" s="171">
        <v>4064887200</v>
      </c>
      <c r="H28" s="172">
        <v>45247</v>
      </c>
      <c r="I28" s="172">
        <v>45248</v>
      </c>
      <c r="J28" s="171">
        <v>1</v>
      </c>
      <c r="K28" s="173"/>
      <c r="L28" s="174"/>
      <c r="M28" s="173"/>
      <c r="N28" s="173"/>
      <c r="O28" s="173"/>
      <c r="P28" s="173"/>
      <c r="Q28" s="173">
        <v>215171</v>
      </c>
      <c r="R28" s="173"/>
      <c r="S28" s="111">
        <f t="shared" si="5"/>
        <v>0</v>
      </c>
      <c r="T28" s="111">
        <f t="shared" si="6"/>
        <v>215171</v>
      </c>
      <c r="U28" s="109">
        <f>IF(J28=0,(S28+T28/EERR!$D$2/1.19),(S28+T28/EERR!$D$2/1.19)/J28)</f>
        <v>204.08122616992623</v>
      </c>
      <c r="V28" s="111">
        <f>T28+S28*EERR!$D$2</f>
        <v>215171</v>
      </c>
      <c r="W28" s="27">
        <f ca="1">SUMIF(S!$A$5:$K$152,Nov!G28,S!$N$5:$N$152)</f>
        <v>1</v>
      </c>
      <c r="X28" s="176">
        <f>SUMIF(T!$A$4:$A$370,B28,T!$B$4:$B$370)+SUMIF(T!$A$4:$A$370,C28,T!$B$4:$B$370)+SUMIF(T!$A$4:$A$370,D28,T!$B$4:$B$370)+(K28+O28)+(L28+P28)*EERR!$D$2</f>
        <v>215171</v>
      </c>
      <c r="Y28" s="177">
        <f>X28/EERR!$D$2</f>
        <v>242.85665914221218</v>
      </c>
      <c r="Z28" s="183">
        <f t="shared" si="1"/>
        <v>0</v>
      </c>
      <c r="AA28" s="238"/>
      <c r="AB28" s="238"/>
    </row>
    <row r="29" spans="1:28" ht="15" customHeight="1" x14ac:dyDescent="0.25">
      <c r="A29" s="170">
        <v>7477</v>
      </c>
      <c r="B29" s="196"/>
      <c r="C29" s="196"/>
      <c r="D29" s="196"/>
      <c r="E29" s="171" t="s">
        <v>755</v>
      </c>
      <c r="F29" s="171" t="s">
        <v>163</v>
      </c>
      <c r="G29" s="171">
        <v>4204352314</v>
      </c>
      <c r="H29" s="172">
        <v>45248</v>
      </c>
      <c r="I29" s="172">
        <v>45249</v>
      </c>
      <c r="J29" s="171">
        <v>1</v>
      </c>
      <c r="K29" s="173"/>
      <c r="L29" s="174">
        <v>205.2</v>
      </c>
      <c r="M29" s="173"/>
      <c r="N29" s="173"/>
      <c r="O29" s="173"/>
      <c r="P29" s="173"/>
      <c r="Q29" s="173"/>
      <c r="R29" s="173"/>
      <c r="S29" s="111">
        <f t="shared" si="5"/>
        <v>205.2</v>
      </c>
      <c r="T29" s="111">
        <f t="shared" si="6"/>
        <v>0</v>
      </c>
      <c r="U29" s="109">
        <f>IF(J29=0,(S29+T29/EERR!$D$2/1.19),(S29+T29/EERR!$D$2/1.19)/J29)</f>
        <v>205.2</v>
      </c>
      <c r="V29" s="111">
        <f>T29+S29*EERR!$D$2</f>
        <v>181807.19999999998</v>
      </c>
      <c r="W29" s="27">
        <f ca="1">SUMIF(S!$A$5:$K$152,Nov!G29,S!$N$5:$N$152)</f>
        <v>1</v>
      </c>
      <c r="X29" s="176">
        <f>SUMIF(T!$A$4:$A$370,B29,T!$B$4:$B$370)+SUMIF(T!$A$4:$A$370,C29,T!$B$4:$B$370)+SUMIF(T!$A$4:$A$370,D29,T!$B$4:$B$370)+(K29+O29)+(L29+P29)*EERR!$D$2</f>
        <v>181807.19999999998</v>
      </c>
      <c r="Y29" s="177">
        <f>X29/EERR!$D$2</f>
        <v>205.2</v>
      </c>
      <c r="Z29" s="183">
        <f t="shared" si="1"/>
        <v>0</v>
      </c>
      <c r="AA29" s="238">
        <f ca="1">SUMIF(S!$A$5:$K$152,Nov!G29,S!$J$5:$J$152)*EERR!$D$2*1.19</f>
        <v>216350.56799999997</v>
      </c>
      <c r="AB29" s="238">
        <f t="shared" ca="1" si="4"/>
        <v>0</v>
      </c>
    </row>
    <row r="30" spans="1:28" ht="15" customHeight="1" x14ac:dyDescent="0.25">
      <c r="A30" s="170">
        <v>7479</v>
      </c>
      <c r="B30" s="196">
        <v>1643</v>
      </c>
      <c r="C30" s="196"/>
      <c r="D30" s="196"/>
      <c r="E30" s="171" t="s">
        <v>759</v>
      </c>
      <c r="F30" s="171" t="s">
        <v>163</v>
      </c>
      <c r="G30" s="171">
        <v>4230716793</v>
      </c>
      <c r="H30" s="172">
        <v>45248</v>
      </c>
      <c r="I30" s="172">
        <v>45250</v>
      </c>
      <c r="J30" s="171">
        <v>2</v>
      </c>
      <c r="K30" s="173"/>
      <c r="L30" s="174"/>
      <c r="M30" s="173"/>
      <c r="N30" s="173"/>
      <c r="O30" s="173"/>
      <c r="P30" s="173"/>
      <c r="Q30" s="173"/>
      <c r="R30" s="173">
        <v>369.36</v>
      </c>
      <c r="S30" s="111">
        <f t="shared" si="5"/>
        <v>369.36</v>
      </c>
      <c r="T30" s="111">
        <f t="shared" si="6"/>
        <v>0</v>
      </c>
      <c r="U30" s="109">
        <f>IF(J30=0,(S30+T30/EERR!$D$2/1.19),(S30+T30/EERR!$D$2/1.19)/J30)</f>
        <v>184.68</v>
      </c>
      <c r="V30" s="111">
        <f>T30+S30*EERR!$D$2</f>
        <v>327252.96000000002</v>
      </c>
      <c r="W30" s="27">
        <f ca="1">SUMIF(S!$A$5:$K$152,Nov!G30,S!$N$5:$N$152)</f>
        <v>2</v>
      </c>
      <c r="X30" s="176">
        <f>SUMIF(T!$A$4:$A$370,B30,T!$B$4:$B$370)+SUMIF(T!$A$4:$A$370,C30,T!$B$4:$B$370)+SUMIF(T!$A$4:$A$370,D30,T!$B$4:$B$370)+(K30+O30)+(L30+P30)*EERR!$D$2</f>
        <v>327252.96000000002</v>
      </c>
      <c r="Y30" s="177">
        <f>X30/EERR!$D$2</f>
        <v>369.36</v>
      </c>
      <c r="Z30" s="327">
        <f t="shared" si="1"/>
        <v>0</v>
      </c>
      <c r="AA30" s="238">
        <f ca="1">SUMIF(S!$A$5:$K$152,Nov!G30,S!$J$5:$J$152)*EERR!$D$2*1.19</f>
        <v>389431.02240000002</v>
      </c>
      <c r="AB30" s="238">
        <f t="shared" ca="1" si="4"/>
        <v>0</v>
      </c>
    </row>
    <row r="31" spans="1:28" ht="15" customHeight="1" x14ac:dyDescent="0.25">
      <c r="A31" s="170">
        <v>7483</v>
      </c>
      <c r="B31" s="196">
        <v>1713</v>
      </c>
      <c r="C31" s="196">
        <v>1778</v>
      </c>
      <c r="D31" s="196"/>
      <c r="E31" s="171" t="s">
        <v>760</v>
      </c>
      <c r="F31" s="171" t="s">
        <v>163</v>
      </c>
      <c r="G31" s="171">
        <v>3343668352</v>
      </c>
      <c r="H31" s="172">
        <v>45249</v>
      </c>
      <c r="I31" s="172">
        <v>45252</v>
      </c>
      <c r="J31" s="171">
        <v>3</v>
      </c>
      <c r="K31" s="173"/>
      <c r="L31" s="174"/>
      <c r="M31" s="173"/>
      <c r="N31" s="174">
        <v>438.9</v>
      </c>
      <c r="O31" s="173"/>
      <c r="P31" s="173"/>
      <c r="Q31" s="173"/>
      <c r="R31" s="173">
        <v>219.45</v>
      </c>
      <c r="S31" s="111">
        <f>L31+N31+P31+R31</f>
        <v>658.34999999999991</v>
      </c>
      <c r="T31" s="111">
        <f t="shared" si="6"/>
        <v>0</v>
      </c>
      <c r="U31" s="109">
        <f>IF(J31=0,(S31+T31/EERR!$D$2/1.19),(S31+T31/EERR!$D$2/1.19)/J31)</f>
        <v>219.44999999999996</v>
      </c>
      <c r="V31" s="111">
        <f>T31+S31*EERR!$D$2</f>
        <v>583298.1</v>
      </c>
      <c r="W31" s="27">
        <f ca="1">SUMIF(S!$A$5:$K$152,Nov!G31,S!$N$5:$N$152)</f>
        <v>3</v>
      </c>
      <c r="X31" s="176">
        <f>SUMIF(T!$A$4:$A$370,B31,T!$B$4:$B$370)+SUMIF(T!$A$4:$A$370,C31,T!$B$4:$B$370)+SUMIF(T!$A$4:$A$370,D31,T!$B$4:$B$370)+(K31+O31)+(L31+P31)*EERR!$D$2</f>
        <v>583298.1</v>
      </c>
      <c r="Y31" s="177">
        <f>X31/EERR!$D$2</f>
        <v>658.35</v>
      </c>
      <c r="Z31" s="183">
        <f t="shared" ref="Z31:Z56" si="7">+X31-V31</f>
        <v>0</v>
      </c>
      <c r="AA31" s="238">
        <f ca="1">SUMIF(S!$A$5:$K$152,Nov!G31,S!$J$5:$J$152)*EERR!$D$2*1.19</f>
        <v>694124.73899999994</v>
      </c>
      <c r="AB31" s="238"/>
    </row>
    <row r="32" spans="1:28" ht="15" customHeight="1" x14ac:dyDescent="0.25">
      <c r="A32" s="170">
        <v>7482</v>
      </c>
      <c r="B32" s="196">
        <v>1716</v>
      </c>
      <c r="C32" s="196">
        <v>1779</v>
      </c>
      <c r="D32" s="196"/>
      <c r="E32" s="171" t="s">
        <v>763</v>
      </c>
      <c r="F32" s="171" t="s">
        <v>163</v>
      </c>
      <c r="G32" s="171">
        <v>3563020472</v>
      </c>
      <c r="H32" s="172">
        <v>45249</v>
      </c>
      <c r="I32" s="172">
        <v>45252</v>
      </c>
      <c r="J32" s="171">
        <v>3</v>
      </c>
      <c r="K32" s="173"/>
      <c r="L32" s="174"/>
      <c r="M32" s="173"/>
      <c r="N32" s="173">
        <v>438.9</v>
      </c>
      <c r="O32" s="173"/>
      <c r="P32" s="173"/>
      <c r="Q32" s="173"/>
      <c r="R32" s="173">
        <v>219.45</v>
      </c>
      <c r="S32" s="111">
        <f t="shared" si="5"/>
        <v>658.34999999999991</v>
      </c>
      <c r="T32" s="111">
        <f t="shared" si="6"/>
        <v>0</v>
      </c>
      <c r="U32" s="109">
        <f>IF(J32=0,(S32+T32/EERR!$D$2/1.19),(S32+T32/EERR!$D$2/1.19)/J32)</f>
        <v>219.44999999999996</v>
      </c>
      <c r="V32" s="111">
        <f>T32+S32*EERR!$D$2</f>
        <v>583298.1</v>
      </c>
      <c r="W32" s="27">
        <f ca="1">SUMIF(S!$A$5:$K$152,Nov!G32,S!$N$5:$N$152)</f>
        <v>3</v>
      </c>
      <c r="X32" s="176">
        <f>SUMIF(T!$A$4:$A$370,B32,T!$B$4:$B$370)+SUMIF(T!$A$4:$A$370,C32,T!$B$4:$B$370)+SUMIF(T!$A$4:$A$370,D32,T!$B$4:$B$370)+(K32+O32)+(L32+P32)*EERR!$D$2</f>
        <v>583298.1</v>
      </c>
      <c r="Y32" s="177">
        <f>X32/EERR!$D$2</f>
        <v>658.35</v>
      </c>
      <c r="Z32" s="183">
        <f t="shared" si="7"/>
        <v>0</v>
      </c>
      <c r="AA32" s="238">
        <f ca="1">SUMIF(S!$A$5:$K$152,Nov!G32,S!$J$5:$J$152)*EERR!$D$2*1.19</f>
        <v>694124.73899999994</v>
      </c>
      <c r="AB32" s="238"/>
    </row>
    <row r="33" spans="1:28" ht="15" customHeight="1" x14ac:dyDescent="0.25">
      <c r="A33" s="170">
        <v>7487</v>
      </c>
      <c r="B33" s="196">
        <v>1760</v>
      </c>
      <c r="C33" s="196"/>
      <c r="D33" s="196"/>
      <c r="E33" s="171" t="s">
        <v>764</v>
      </c>
      <c r="F33" s="171" t="s">
        <v>163</v>
      </c>
      <c r="G33" s="171">
        <v>4075628714</v>
      </c>
      <c r="H33" s="172">
        <v>45249</v>
      </c>
      <c r="I33" s="172">
        <v>45250</v>
      </c>
      <c r="J33" s="171">
        <v>1</v>
      </c>
      <c r="K33" s="173"/>
      <c r="L33" s="174"/>
      <c r="M33" s="173"/>
      <c r="N33" s="173"/>
      <c r="O33" s="173"/>
      <c r="P33" s="173"/>
      <c r="Q33" s="173"/>
      <c r="R33" s="173">
        <v>205.2</v>
      </c>
      <c r="S33" s="111">
        <f t="shared" si="5"/>
        <v>205.2</v>
      </c>
      <c r="T33" s="111">
        <f t="shared" si="6"/>
        <v>0</v>
      </c>
      <c r="U33" s="109">
        <f>IF(J33=0,(S33+T33/EERR!$D$2/1.19),(S33+T33/EERR!$D$2/1.19)/J33)</f>
        <v>205.2</v>
      </c>
      <c r="V33" s="111">
        <f>T33+S33*EERR!$D$2</f>
        <v>181807.19999999998</v>
      </c>
      <c r="W33" s="27">
        <f ca="1">SUMIF(S!$A$5:$K$152,Nov!G33,S!$N$5:$N$152)</f>
        <v>1</v>
      </c>
      <c r="X33" s="176">
        <f>SUMIF(T!$A$4:$A$370,B33,T!$B$4:$B$370)+SUMIF(T!$A$4:$A$370,C33,T!$B$4:$B$370)+SUMIF(T!$A$4:$A$370,D33,T!$B$4:$B$370)+(K33+O33)+(L33+P33)*EERR!$D$2</f>
        <v>181807.19999999998</v>
      </c>
      <c r="Y33" s="177">
        <f>X33/EERR!$D$2</f>
        <v>205.2</v>
      </c>
      <c r="Z33" s="183">
        <f t="shared" si="7"/>
        <v>0</v>
      </c>
      <c r="AA33" s="238">
        <f ca="1">SUMIF(S!$A$5:$K$152,Nov!G33,S!$J$5:$J$152)*EERR!$D$2*1.19</f>
        <v>216350.56799999997</v>
      </c>
      <c r="AB33" s="238"/>
    </row>
    <row r="34" spans="1:28" ht="15" customHeight="1" x14ac:dyDescent="0.25">
      <c r="A34" s="170">
        <v>7486</v>
      </c>
      <c r="B34" s="196">
        <v>1717</v>
      </c>
      <c r="C34" s="196">
        <v>1787</v>
      </c>
      <c r="D34" s="196"/>
      <c r="E34" s="171" t="s">
        <v>765</v>
      </c>
      <c r="F34" s="171" t="s">
        <v>163</v>
      </c>
      <c r="G34" s="171">
        <v>2824499815</v>
      </c>
      <c r="H34" s="172">
        <v>45250</v>
      </c>
      <c r="I34" s="172">
        <v>45254</v>
      </c>
      <c r="J34" s="171">
        <v>4</v>
      </c>
      <c r="K34" s="173"/>
      <c r="L34" s="174"/>
      <c r="M34" s="173"/>
      <c r="N34" s="173">
        <v>628.44000000000005</v>
      </c>
      <c r="O34" s="173"/>
      <c r="P34" s="173"/>
      <c r="Q34" s="173"/>
      <c r="R34" s="173">
        <v>209.48</v>
      </c>
      <c r="S34" s="111">
        <f t="shared" si="5"/>
        <v>837.92000000000007</v>
      </c>
      <c r="T34" s="111">
        <f t="shared" si="6"/>
        <v>0</v>
      </c>
      <c r="U34" s="109">
        <f>IF(J34=0,(S34+T34/EERR!$D$2/1.19),(S34+T34/EERR!$D$2/1.19)/J34)</f>
        <v>209.48000000000002</v>
      </c>
      <c r="V34" s="111">
        <f>T34+S34*EERR!$D$2</f>
        <v>742397.12000000011</v>
      </c>
      <c r="W34" s="27">
        <f ca="1">SUMIF(S!$A$5:$K$152,Nov!G34,S!$N$5:$N$152)</f>
        <v>4</v>
      </c>
      <c r="X34" s="176">
        <f>SUMIF(T!$A$4:$A$370,B34,T!$B$4:$B$370)+SUMIF(T!$A$4:$A$370,C34,T!$B$4:$B$370)+SUMIF(T!$A$4:$A$370,D34,T!$B$4:$B$370)+(K34+O34)+(L34+P34)*EERR!$D$2</f>
        <v>742397.12000000011</v>
      </c>
      <c r="Y34" s="177">
        <f>X34/EERR!$D$2</f>
        <v>837.92000000000007</v>
      </c>
      <c r="Z34" s="183">
        <f t="shared" si="7"/>
        <v>0</v>
      </c>
      <c r="AA34" s="238">
        <f ca="1">SUMIF(S!$A$5:$K$152,Nov!G34,S!$J$5:$J$152)*EERR!$D$2*1.19</f>
        <v>883452.57279999997</v>
      </c>
      <c r="AB34" s="238"/>
    </row>
    <row r="35" spans="1:28" ht="15" customHeight="1" x14ac:dyDescent="0.25">
      <c r="A35" s="170">
        <v>7489</v>
      </c>
      <c r="B35" s="196">
        <v>1720</v>
      </c>
      <c r="C35" s="196">
        <v>1791</v>
      </c>
      <c r="D35" s="196"/>
      <c r="E35" s="171" t="s">
        <v>766</v>
      </c>
      <c r="F35" s="171" t="s">
        <v>163</v>
      </c>
      <c r="G35" s="171">
        <v>3560339933</v>
      </c>
      <c r="H35" s="172">
        <v>45250</v>
      </c>
      <c r="I35" s="172">
        <v>45254</v>
      </c>
      <c r="J35" s="171">
        <v>4</v>
      </c>
      <c r="K35" s="173"/>
      <c r="L35" s="174"/>
      <c r="M35" s="173"/>
      <c r="N35" s="173">
        <v>628.44000000000005</v>
      </c>
      <c r="O35" s="173"/>
      <c r="P35" s="173"/>
      <c r="Q35" s="173"/>
      <c r="R35" s="173">
        <v>209.48</v>
      </c>
      <c r="S35" s="111">
        <f t="shared" si="5"/>
        <v>837.92000000000007</v>
      </c>
      <c r="T35" s="111">
        <f t="shared" si="6"/>
        <v>0</v>
      </c>
      <c r="U35" s="109">
        <f>IF(J35=0,(S35+T35/EERR!$D$2/1.19),(S35+T35/EERR!$D$2/1.19)/J35)</f>
        <v>209.48000000000002</v>
      </c>
      <c r="V35" s="111">
        <f>T35+S35*EERR!$D$2</f>
        <v>742397.12000000011</v>
      </c>
      <c r="W35" s="27">
        <f ca="1">SUMIF(S!$A$5:$K$152,Nov!G35,S!$N$5:$N$152)</f>
        <v>4</v>
      </c>
      <c r="X35" s="176">
        <f>SUMIF(T!$A$4:$A$370,B35,T!$B$4:$B$370)+SUMIF(T!$A$4:$A$370,C35,T!$B$4:$B$370)+SUMIF(T!$A$4:$A$370,D35,T!$B$4:$B$370)+(K35+O35)+(L35+P35)*EERR!$D$2</f>
        <v>742397.12000000011</v>
      </c>
      <c r="Y35" s="177">
        <f>X35/EERR!$D$2</f>
        <v>837.92000000000007</v>
      </c>
      <c r="Z35" s="183">
        <f t="shared" si="7"/>
        <v>0</v>
      </c>
      <c r="AA35" s="238">
        <f ca="1">SUMIF(S!$A$5:$K$152,Nov!G35,S!$J$5:$J$152)*EERR!$D$2*1.19</f>
        <v>883452.57279999997</v>
      </c>
      <c r="AB35" s="238"/>
    </row>
    <row r="36" spans="1:28" ht="15" customHeight="1" x14ac:dyDescent="0.25">
      <c r="A36" s="170">
        <v>7488</v>
      </c>
      <c r="B36" s="196">
        <v>1718</v>
      </c>
      <c r="C36" s="196"/>
      <c r="D36" s="196"/>
      <c r="E36" s="171" t="s">
        <v>767</v>
      </c>
      <c r="F36" s="171" t="s">
        <v>163</v>
      </c>
      <c r="G36" s="171">
        <v>2933626089</v>
      </c>
      <c r="H36" s="172">
        <v>45250</v>
      </c>
      <c r="I36" s="172">
        <v>45255</v>
      </c>
      <c r="J36" s="171">
        <v>5</v>
      </c>
      <c r="K36" s="173"/>
      <c r="L36" s="174">
        <v>790.04</v>
      </c>
      <c r="M36" s="173"/>
      <c r="N36" s="173"/>
      <c r="O36" s="173"/>
      <c r="P36" s="173"/>
      <c r="Q36" s="173"/>
      <c r="R36" s="173">
        <v>197.51</v>
      </c>
      <c r="S36" s="111">
        <f t="shared" si="5"/>
        <v>987.55</v>
      </c>
      <c r="T36" s="111">
        <f t="shared" si="6"/>
        <v>0</v>
      </c>
      <c r="U36" s="109">
        <f>IF(J36=0,(S36+T36/EERR!$D$2/1.19),(S36+T36/EERR!$D$2/1.19)/J36)</f>
        <v>197.51</v>
      </c>
      <c r="V36" s="111">
        <f>T36+S36*EERR!$D$2</f>
        <v>874969.29999999993</v>
      </c>
      <c r="W36" s="27">
        <f ca="1">SUMIF(S!$A$5:$K$152,Nov!G36,S!$N$5:$N$152)</f>
        <v>5</v>
      </c>
      <c r="X36" s="176">
        <f>SUMIF(T!$A$4:$A$370,B36,T!$B$4:$B$370)+SUMIF(T!$A$4:$A$370,C36,T!$B$4:$B$370)+SUMIF(T!$A$4:$A$370,D36,T!$B$4:$B$370)+(K36+O36)+(L36+P36)*EERR!$D$2</f>
        <v>874969.29999999993</v>
      </c>
      <c r="Y36" s="177">
        <f>X36/EERR!$D$2</f>
        <v>987.55</v>
      </c>
      <c r="Z36" s="183">
        <f t="shared" si="7"/>
        <v>0</v>
      </c>
      <c r="AA36" s="238">
        <f ca="1">SUMIF(S!$A$5:$K$152,Nov!G36,S!$J$5:$J$152)*EERR!$D$2*1.19</f>
        <v>1041213.4669999998</v>
      </c>
      <c r="AB36" s="238"/>
    </row>
    <row r="37" spans="1:28" ht="15" customHeight="1" x14ac:dyDescent="0.25">
      <c r="A37" s="170">
        <v>7495</v>
      </c>
      <c r="B37" s="196">
        <v>1727</v>
      </c>
      <c r="C37" s="196">
        <v>1799</v>
      </c>
      <c r="D37" s="196"/>
      <c r="E37" s="171" t="s">
        <v>774</v>
      </c>
      <c r="F37" s="171" t="s">
        <v>163</v>
      </c>
      <c r="G37" s="171">
        <v>3651502963</v>
      </c>
      <c r="H37" s="172">
        <v>45253</v>
      </c>
      <c r="I37" s="172">
        <v>45256</v>
      </c>
      <c r="J37" s="171">
        <v>3</v>
      </c>
      <c r="K37" s="173"/>
      <c r="L37" s="174"/>
      <c r="M37" s="173"/>
      <c r="N37" s="173">
        <v>393.73</v>
      </c>
      <c r="O37" s="173"/>
      <c r="P37" s="173"/>
      <c r="Q37" s="173"/>
      <c r="R37" s="173">
        <v>188.53</v>
      </c>
      <c r="S37" s="111">
        <f t="shared" si="5"/>
        <v>582.26</v>
      </c>
      <c r="T37" s="111">
        <f t="shared" si="6"/>
        <v>0</v>
      </c>
      <c r="U37" s="109">
        <f>IF(J37=0,(S37+T37/EERR!$D$2/1.19),(S37+T37/EERR!$D$2/1.19)/J37)</f>
        <v>194.08666666666667</v>
      </c>
      <c r="V37" s="111">
        <f>T37+S37*EERR!$D$2</f>
        <v>515882.36</v>
      </c>
      <c r="W37" s="27">
        <f ca="1">SUMIF(S!$A$5:$K$152,Nov!G37,S!$N$5:$N$152)</f>
        <v>3</v>
      </c>
      <c r="X37" s="176">
        <f>SUMIF(T!$A$4:$A$370,B37,T!$B$4:$B$370)+SUMIF(T!$A$4:$A$370,C37,T!$B$4:$B$370)+SUMIF(T!$A$4:$A$370,D37,T!$B$4:$B$370)+(K37+O37)+(L37+P37)*EERR!$D$2</f>
        <v>515882.36</v>
      </c>
      <c r="Y37" s="177">
        <f>X37/EERR!$D$2</f>
        <v>582.26</v>
      </c>
      <c r="Z37" s="183">
        <f t="shared" si="7"/>
        <v>0</v>
      </c>
      <c r="AA37" s="238">
        <f ca="1">SUMIF(S!$A$5:$K$152,Nov!G37,S!$J$5:$J$152)*EERR!$D$2*1.19</f>
        <v>613900.00839999993</v>
      </c>
      <c r="AB37" s="238"/>
    </row>
    <row r="38" spans="1:28" ht="15" customHeight="1" x14ac:dyDescent="0.25">
      <c r="A38" s="170">
        <v>7496</v>
      </c>
      <c r="B38" s="196">
        <v>1739</v>
      </c>
      <c r="C38" s="196"/>
      <c r="D38" s="196"/>
      <c r="E38" s="171" t="s">
        <v>780</v>
      </c>
      <c r="F38" s="171" t="s">
        <v>163</v>
      </c>
      <c r="G38" s="171">
        <v>3993549122</v>
      </c>
      <c r="H38" s="172">
        <v>45253</v>
      </c>
      <c r="I38" s="172">
        <v>45259</v>
      </c>
      <c r="J38" s="171">
        <v>12</v>
      </c>
      <c r="K38" s="173"/>
      <c r="L38" s="174">
        <v>2194.5</v>
      </c>
      <c r="M38" s="173"/>
      <c r="N38" s="173"/>
      <c r="O38" s="173"/>
      <c r="P38" s="173"/>
      <c r="Q38" s="173"/>
      <c r="R38" s="173">
        <v>438.9</v>
      </c>
      <c r="S38" s="111">
        <f t="shared" si="5"/>
        <v>2633.4</v>
      </c>
      <c r="T38" s="111">
        <f t="shared" si="6"/>
        <v>0</v>
      </c>
      <c r="U38" s="109">
        <f>IF(J38=0,(S38+T38/EERR!$D$2/1.19),(S38+T38/EERR!$D$2/1.19)/J38)</f>
        <v>219.45000000000002</v>
      </c>
      <c r="V38" s="111">
        <f>T38+S38*EERR!$D$2</f>
        <v>2333192.4</v>
      </c>
      <c r="W38" s="27">
        <f ca="1">SUMIF(S!$A$5:$K$152,Nov!G38,S!$N$5:$N$152)</f>
        <v>12</v>
      </c>
      <c r="X38" s="176">
        <f>SUMIF(T!$A$4:$A$370,B38,T!$B$4:$B$370)+SUMIF(T!$A$4:$A$370,C38,T!$B$4:$B$370)+SUMIF(T!$A$4:$A$370,D38,T!$B$4:$B$370)+(K38+O38)+(L38+P38)*EERR!$D$2</f>
        <v>2333192.4</v>
      </c>
      <c r="Y38" s="177">
        <f>X38/EERR!$D$2</f>
        <v>2633.4</v>
      </c>
      <c r="Z38" s="183">
        <f t="shared" si="7"/>
        <v>0</v>
      </c>
      <c r="AA38" s="238">
        <f ca="1">SUMIF(S!$A$5:$K$152,Nov!G38,S!$J$5:$J$152)*EERR!$D$2*1.19</f>
        <v>2776498.9559999998</v>
      </c>
      <c r="AB38" s="238"/>
    </row>
    <row r="39" spans="1:28" ht="15" customHeight="1" x14ac:dyDescent="0.25">
      <c r="A39" s="170">
        <v>7498</v>
      </c>
      <c r="B39" s="196">
        <v>1774</v>
      </c>
      <c r="C39" s="196">
        <v>1801</v>
      </c>
      <c r="D39" s="196"/>
      <c r="E39" s="171" t="s">
        <v>781</v>
      </c>
      <c r="F39" s="171" t="s">
        <v>163</v>
      </c>
      <c r="G39" s="171">
        <v>4071528463</v>
      </c>
      <c r="H39" s="172">
        <v>45254</v>
      </c>
      <c r="I39" s="172">
        <v>45256</v>
      </c>
      <c r="J39" s="171">
        <v>2</v>
      </c>
      <c r="K39" s="173"/>
      <c r="L39" s="174"/>
      <c r="M39" s="173"/>
      <c r="N39" s="173">
        <v>205.2</v>
      </c>
      <c r="O39" s="173"/>
      <c r="P39" s="173"/>
      <c r="Q39" s="173"/>
      <c r="R39" s="173">
        <v>205.2</v>
      </c>
      <c r="S39" s="111">
        <f t="shared" ref="S39:S62" si="8">L39+N39+P39+R39</f>
        <v>410.4</v>
      </c>
      <c r="T39" s="111">
        <f t="shared" ref="T39:T62" si="9">M39+O39+K39+Q39</f>
        <v>0</v>
      </c>
      <c r="U39" s="109">
        <f>IF(J39=0,(S39+T39/EERR!$D$2/1.19),(S39+T39/EERR!$D$2/1.19)/J39)</f>
        <v>205.2</v>
      </c>
      <c r="V39" s="111">
        <f>T39+S39*EERR!$D$2</f>
        <v>363614.39999999997</v>
      </c>
      <c r="W39" s="27">
        <f ca="1">SUMIF(S!$A$5:$K$152,Nov!G39,S!$N$5:$N$152)</f>
        <v>2</v>
      </c>
      <c r="X39" s="176">
        <f>SUMIF(T!$A$4:$A$370,B39,T!$B$4:$B$370)+SUMIF(T!$A$4:$A$370,C39,T!$B$4:$B$370)+SUMIF(T!$A$4:$A$370,D39,T!$B$4:$B$370)+(K39+O39)+(L39+P39)*EERR!$D$2</f>
        <v>363614.39999999997</v>
      </c>
      <c r="Y39" s="177">
        <f>X39/EERR!$D$2</f>
        <v>410.4</v>
      </c>
      <c r="Z39" s="183">
        <f t="shared" si="7"/>
        <v>0</v>
      </c>
      <c r="AA39" s="238">
        <f ca="1">SUMIF(S!$A$5:$K$152,Nov!G39,S!$J$5:$J$152)*EERR!$D$2*1.19</f>
        <v>432701.13599999994</v>
      </c>
      <c r="AB39" s="238"/>
    </row>
    <row r="40" spans="1:28" ht="15" customHeight="1" x14ac:dyDescent="0.25">
      <c r="A40" s="170">
        <v>7499</v>
      </c>
      <c r="B40" s="196">
        <v>1733</v>
      </c>
      <c r="C40" s="196">
        <v>1806</v>
      </c>
      <c r="D40" s="196"/>
      <c r="E40" s="171" t="s">
        <v>782</v>
      </c>
      <c r="F40" s="171" t="s">
        <v>163</v>
      </c>
      <c r="G40" s="171">
        <v>2624555902</v>
      </c>
      <c r="H40" s="172">
        <v>45254</v>
      </c>
      <c r="I40" s="172">
        <v>45261</v>
      </c>
      <c r="J40" s="171">
        <v>7</v>
      </c>
      <c r="K40" s="173"/>
      <c r="L40" s="174"/>
      <c r="M40" s="173"/>
      <c r="N40" s="173">
        <v>1266.8499999999999</v>
      </c>
      <c r="O40" s="173"/>
      <c r="P40" s="173"/>
      <c r="Q40" s="173"/>
      <c r="R40" s="173">
        <v>209.48</v>
      </c>
      <c r="S40" s="111">
        <f t="shared" si="8"/>
        <v>1476.33</v>
      </c>
      <c r="T40" s="111">
        <f t="shared" si="9"/>
        <v>0</v>
      </c>
      <c r="U40" s="109">
        <f>IF(J40=0,(S40+T40/EERR!$D$2/1.19),(S40+T40/EERR!$D$2/1.19)/J40)</f>
        <v>210.90428571428569</v>
      </c>
      <c r="V40" s="111">
        <f>T40+S40*EERR!$D$2</f>
        <v>1308028.3799999999</v>
      </c>
      <c r="W40" s="27">
        <f ca="1">SUMIF(S!$A$5:$K$152,Nov!G40,S!$N$5:$N$152)</f>
        <v>7</v>
      </c>
      <c r="X40" s="176">
        <f>SUMIF(T!$A$4:$A$370,B40,T!$B$4:$B$370)+SUMIF(T!$A$4:$A$370,C40,T!$B$4:$B$370)+SUMIF(T!$A$4:$A$370,D40,T!$B$4:$B$370)+(K40+O40)+(L40+P40)*EERR!$D$2</f>
        <v>1308028.3799999999</v>
      </c>
      <c r="Y40" s="177">
        <f>X40/EERR!$D$2</f>
        <v>1476.33</v>
      </c>
      <c r="Z40" s="183">
        <f t="shared" si="7"/>
        <v>0</v>
      </c>
      <c r="AA40" s="238">
        <f ca="1">SUMIF(S!$A$5:$K$152,Nov!G40,S!$J$5:$J$152)*EERR!$D$2*1.19</f>
        <v>1556553.7721999998</v>
      </c>
      <c r="AB40" s="238"/>
    </row>
    <row r="41" spans="1:28" ht="15" customHeight="1" x14ac:dyDescent="0.25">
      <c r="A41" s="170">
        <v>7500</v>
      </c>
      <c r="B41" s="196">
        <v>1742</v>
      </c>
      <c r="C41" s="196">
        <v>1808</v>
      </c>
      <c r="D41" s="196"/>
      <c r="E41" s="171" t="s">
        <v>783</v>
      </c>
      <c r="F41" s="171" t="s">
        <v>163</v>
      </c>
      <c r="G41" s="171">
        <v>4219697292</v>
      </c>
      <c r="H41" s="172">
        <v>45255</v>
      </c>
      <c r="I41" s="172">
        <v>45257</v>
      </c>
      <c r="J41" s="171">
        <v>2</v>
      </c>
      <c r="K41" s="173"/>
      <c r="L41" s="174"/>
      <c r="M41" s="173"/>
      <c r="N41" s="173">
        <v>205.2</v>
      </c>
      <c r="O41" s="173"/>
      <c r="P41" s="173"/>
      <c r="Q41" s="173"/>
      <c r="R41" s="173">
        <v>205.2</v>
      </c>
      <c r="S41" s="111">
        <f t="shared" ref="S41:S54" si="10">L41+N41+P41+R41</f>
        <v>410.4</v>
      </c>
      <c r="T41" s="111">
        <f t="shared" ref="T41:T54" si="11">M41+O41+K41+Q41</f>
        <v>0</v>
      </c>
      <c r="U41" s="109">
        <f>IF(J41=0,(S41+T41/EERR!$D$2/1.19),(S41+T41/EERR!$D$2/1.19)/J41)</f>
        <v>205.2</v>
      </c>
      <c r="V41" s="111">
        <f>T41+S41*EERR!$D$2</f>
        <v>363614.39999999997</v>
      </c>
      <c r="W41" s="27">
        <f ca="1">SUMIF(S!$A$5:$K$152,Nov!G41,S!$N$5:$N$152)</f>
        <v>2</v>
      </c>
      <c r="X41" s="176">
        <f>SUMIF(T!$A$4:$A$370,B41,T!$B$4:$B$370)+SUMIF(T!$A$4:$A$370,C41,T!$B$4:$B$370)+SUMIF(T!$A$4:$A$370,D41,T!$B$4:$B$370)+(K41+O41)+(L41+P41)*EERR!$D$2</f>
        <v>363614.39999999997</v>
      </c>
      <c r="Y41" s="177">
        <f>X41/EERR!$D$2</f>
        <v>410.4</v>
      </c>
      <c r="Z41" s="183"/>
      <c r="AA41" s="238"/>
      <c r="AB41" s="238"/>
    </row>
    <row r="42" spans="1:28" ht="15" customHeight="1" x14ac:dyDescent="0.25">
      <c r="A42" s="170">
        <v>7502</v>
      </c>
      <c r="B42" s="196">
        <v>1752</v>
      </c>
      <c r="C42" s="196">
        <v>1812</v>
      </c>
      <c r="D42" s="196"/>
      <c r="E42" s="171" t="s">
        <v>786</v>
      </c>
      <c r="F42" s="171" t="s">
        <v>163</v>
      </c>
      <c r="G42" s="171">
        <v>2641659427</v>
      </c>
      <c r="H42" s="172">
        <v>45256</v>
      </c>
      <c r="I42" s="172">
        <v>45260</v>
      </c>
      <c r="J42" s="171">
        <v>4</v>
      </c>
      <c r="K42" s="173"/>
      <c r="L42" s="174"/>
      <c r="M42" s="173"/>
      <c r="N42" s="173">
        <v>628.44000000000005</v>
      </c>
      <c r="O42" s="173"/>
      <c r="P42" s="173"/>
      <c r="Q42" s="173"/>
      <c r="R42" s="173">
        <v>209.48</v>
      </c>
      <c r="S42" s="111">
        <f t="shared" si="10"/>
        <v>837.92000000000007</v>
      </c>
      <c r="T42" s="111">
        <f t="shared" si="11"/>
        <v>0</v>
      </c>
      <c r="U42" s="109">
        <f>IF(J42=0,(S42+T42/EERR!$D$2/1.19),(S42+T42/EERR!$D$2/1.19)/J42)</f>
        <v>209.48000000000002</v>
      </c>
      <c r="V42" s="111">
        <f>T42+S42*EERR!$D$2</f>
        <v>742397.12000000011</v>
      </c>
      <c r="W42" s="27">
        <f ca="1">SUMIF(S!$A$5:$K$152,Nov!G42,S!$N$5:$N$152)</f>
        <v>4</v>
      </c>
      <c r="X42" s="176">
        <f>SUMIF(T!$A$4:$A$370,B42,T!$B$4:$B$370)+SUMIF(T!$A$4:$A$370,C42,T!$B$4:$B$370)+SUMIF(T!$A$4:$A$370,D42,T!$B$4:$B$370)+(K42+O42)+(L42+P42)*EERR!$D$2</f>
        <v>742397.12000000011</v>
      </c>
      <c r="Y42" s="177">
        <f>X42/EERR!$D$2</f>
        <v>837.92000000000007</v>
      </c>
      <c r="Z42" s="183"/>
      <c r="AA42" s="238"/>
      <c r="AB42" s="238"/>
    </row>
    <row r="43" spans="1:28" ht="15" customHeight="1" x14ac:dyDescent="0.25">
      <c r="A43" s="170">
        <v>1835</v>
      </c>
      <c r="B43" s="196">
        <v>1750</v>
      </c>
      <c r="C43" s="196"/>
      <c r="D43" s="196"/>
      <c r="E43" s="171" t="s">
        <v>787</v>
      </c>
      <c r="F43" s="171" t="s">
        <v>163</v>
      </c>
      <c r="G43" s="171">
        <v>2720618255</v>
      </c>
      <c r="H43" s="172">
        <v>45256</v>
      </c>
      <c r="I43" s="172">
        <v>45257</v>
      </c>
      <c r="J43" s="171">
        <v>2</v>
      </c>
      <c r="K43" s="173"/>
      <c r="L43" s="174"/>
      <c r="M43" s="173"/>
      <c r="N43" s="173"/>
      <c r="O43" s="173"/>
      <c r="P43" s="173"/>
      <c r="Q43" s="173">
        <v>471571</v>
      </c>
      <c r="R43" s="173"/>
      <c r="S43" s="111">
        <f t="shared" si="10"/>
        <v>0</v>
      </c>
      <c r="T43" s="111">
        <f t="shared" si="11"/>
        <v>471571</v>
      </c>
      <c r="U43" s="109">
        <f>IF(J43=0,(S43+T43/EERR!$D$2/1.19),(S43+T43/EERR!$D$2/1.19)/J43)</f>
        <v>223.63326820570214</v>
      </c>
      <c r="V43" s="111">
        <f>T43+S43*EERR!$D$2</f>
        <v>471571</v>
      </c>
      <c r="W43" s="27">
        <f ca="1">SUMIF(S!$A$5:$K$152,Nov!G43,S!$N$5:$N$152)</f>
        <v>2</v>
      </c>
      <c r="X43" s="176">
        <f>SUMIF(T!$A$4:$A$370,B43,T!$B$4:$B$370)+SUMIF(T!$A$4:$A$370,C43,T!$B$4:$B$370)+SUMIF(T!$A$4:$A$370,D43,T!$B$4:$B$370)+(K43+O43)+(L43+P43)*EERR!$D$2</f>
        <v>471571</v>
      </c>
      <c r="Y43" s="177">
        <f>X43/EERR!$D$2</f>
        <v>532.24717832957106</v>
      </c>
      <c r="Z43" s="183"/>
      <c r="AA43" s="238"/>
      <c r="AB43" s="238"/>
    </row>
    <row r="44" spans="1:28" ht="15" customHeight="1" x14ac:dyDescent="0.25">
      <c r="A44" s="170">
        <v>7503</v>
      </c>
      <c r="B44" s="196">
        <v>1790</v>
      </c>
      <c r="C44" s="196"/>
      <c r="D44" s="196"/>
      <c r="E44" s="171" t="s">
        <v>788</v>
      </c>
      <c r="F44" s="171" t="s">
        <v>163</v>
      </c>
      <c r="G44" s="171">
        <v>4067274727</v>
      </c>
      <c r="H44" s="172">
        <v>45257</v>
      </c>
      <c r="I44" s="172">
        <v>45259</v>
      </c>
      <c r="J44" s="171">
        <v>2</v>
      </c>
      <c r="K44" s="173"/>
      <c r="L44" s="174">
        <v>205.2</v>
      </c>
      <c r="M44" s="173"/>
      <c r="N44" s="173"/>
      <c r="O44" s="173"/>
      <c r="P44" s="173"/>
      <c r="Q44" s="173"/>
      <c r="R44" s="173">
        <v>205.2</v>
      </c>
      <c r="S44" s="111">
        <f t="shared" si="10"/>
        <v>410.4</v>
      </c>
      <c r="T44" s="111">
        <f t="shared" si="11"/>
        <v>0</v>
      </c>
      <c r="U44" s="109">
        <f>IF(J44=0,(S44+T44/EERR!$D$2/1.19),(S44+T44/EERR!$D$2/1.19)/J44)</f>
        <v>205.2</v>
      </c>
      <c r="V44" s="111">
        <f>T44+S44*EERR!$D$2</f>
        <v>363614.39999999997</v>
      </c>
      <c r="W44" s="27">
        <f ca="1">SUMIF(S!$A$5:$K$152,Nov!G44,S!$N$5:$N$152)</f>
        <v>2</v>
      </c>
      <c r="X44" s="176">
        <f>SUMIF(T!$A$4:$A$370,B44,T!$B$4:$B$370)+SUMIF(T!$A$4:$A$370,C44,T!$B$4:$B$370)+SUMIF(T!$A$4:$A$370,D44,T!$B$4:$B$370)+(K44+O44)+(L44+P44)*EERR!$D$2</f>
        <v>363614.39999999997</v>
      </c>
      <c r="Y44" s="177">
        <f>X44/EERR!$D$2</f>
        <v>410.4</v>
      </c>
      <c r="Z44" s="183"/>
      <c r="AA44" s="238"/>
      <c r="AB44" s="238"/>
    </row>
    <row r="45" spans="1:28" ht="15" customHeight="1" x14ac:dyDescent="0.25">
      <c r="A45" s="170">
        <v>7507</v>
      </c>
      <c r="B45" s="196">
        <v>1758</v>
      </c>
      <c r="C45" s="196">
        <v>1819</v>
      </c>
      <c r="D45" s="196"/>
      <c r="E45" s="171" t="s">
        <v>790</v>
      </c>
      <c r="F45" s="171" t="s">
        <v>163</v>
      </c>
      <c r="G45" s="171">
        <v>3938901869</v>
      </c>
      <c r="H45" s="172">
        <v>45259</v>
      </c>
      <c r="I45" s="172">
        <v>45262</v>
      </c>
      <c r="J45" s="171">
        <v>3</v>
      </c>
      <c r="K45" s="173"/>
      <c r="L45" s="174"/>
      <c r="M45" s="173"/>
      <c r="N45" s="173">
        <v>447.45</v>
      </c>
      <c r="O45" s="173"/>
      <c r="P45" s="173"/>
      <c r="Q45" s="173"/>
      <c r="R45" s="173">
        <v>219.45</v>
      </c>
      <c r="S45" s="111">
        <f t="shared" si="10"/>
        <v>666.9</v>
      </c>
      <c r="T45" s="111">
        <f t="shared" si="11"/>
        <v>0</v>
      </c>
      <c r="U45" s="109">
        <f>IF(J45=0,(S45+T45/EERR!$D$2/1.19),(S45+T45/EERR!$D$2/1.19)/J45)</f>
        <v>222.29999999999998</v>
      </c>
      <c r="V45" s="111">
        <f>T45+S45*EERR!$D$2</f>
        <v>590873.4</v>
      </c>
      <c r="W45" s="27">
        <f ca="1">SUMIF(S!$A$5:$K$152,Nov!G45,S!$N$5:$N$152)</f>
        <v>3</v>
      </c>
      <c r="X45" s="176">
        <f>SUMIF(T!$A$4:$A$370,B45,T!$B$4:$B$370)+SUMIF(T!$A$4:$A$370,C45,T!$B$4:$B$370)+SUMIF(T!$A$4:$A$370,D45,T!$B$4:$B$370)+(K45+O45)+(L45+P45)*EERR!$D$2</f>
        <v>590873.4</v>
      </c>
      <c r="Y45" s="177">
        <f>X45/EERR!$D$2</f>
        <v>666.9</v>
      </c>
      <c r="Z45" s="183"/>
      <c r="AA45" s="238"/>
      <c r="AB45" s="238"/>
    </row>
    <row r="46" spans="1:28" ht="15" customHeight="1" x14ac:dyDescent="0.25">
      <c r="A46" s="170">
        <v>7506</v>
      </c>
      <c r="B46" s="196">
        <v>1759</v>
      </c>
      <c r="C46" s="196">
        <v>1818</v>
      </c>
      <c r="D46" s="196"/>
      <c r="E46" s="171" t="s">
        <v>791</v>
      </c>
      <c r="F46" s="171" t="s">
        <v>163</v>
      </c>
      <c r="G46" s="171">
        <v>3809126082</v>
      </c>
      <c r="H46" s="172">
        <v>45259</v>
      </c>
      <c r="I46" s="172">
        <v>45261</v>
      </c>
      <c r="J46" s="171">
        <v>2</v>
      </c>
      <c r="K46" s="173"/>
      <c r="L46" s="174"/>
      <c r="M46" s="173"/>
      <c r="N46" s="173">
        <v>188.53</v>
      </c>
      <c r="O46" s="173"/>
      <c r="P46" s="173"/>
      <c r="Q46" s="173"/>
      <c r="R46" s="173">
        <v>188.53</v>
      </c>
      <c r="S46" s="111">
        <f t="shared" si="10"/>
        <v>377.06</v>
      </c>
      <c r="T46" s="111">
        <f t="shared" si="11"/>
        <v>0</v>
      </c>
      <c r="U46" s="109">
        <f>IF(J46=0,(S46+T46/EERR!$D$2/1.19),(S46+T46/EERR!$D$2/1.19)/J46)</f>
        <v>188.53</v>
      </c>
      <c r="V46" s="111">
        <f>T46+S46*EERR!$D$2</f>
        <v>334075.15999999997</v>
      </c>
      <c r="W46" s="27">
        <f ca="1">SUMIF(S!$A$5:$K$152,Nov!G46,S!$N$5:$N$152)</f>
        <v>2</v>
      </c>
      <c r="X46" s="176">
        <f>SUMIF(T!$A$4:$A$370,B46,T!$B$4:$B$370)+SUMIF(T!$A$4:$A$370,C46,T!$B$4:$B$370)+SUMIF(T!$A$4:$A$370,D46,T!$B$4:$B$370)+(K46+O46)+(L46+P46)*EERR!$D$2</f>
        <v>334075.15999999997</v>
      </c>
      <c r="Y46" s="177">
        <f>X46/EERR!$D$2</f>
        <v>377.05999999999995</v>
      </c>
      <c r="Z46" s="183"/>
      <c r="AA46" s="238"/>
      <c r="AB46" s="238"/>
    </row>
    <row r="47" spans="1:28" ht="15" customHeight="1" x14ac:dyDescent="0.25">
      <c r="A47" s="170">
        <v>7505</v>
      </c>
      <c r="B47" s="196">
        <v>1482</v>
      </c>
      <c r="C47" s="196"/>
      <c r="D47" s="196"/>
      <c r="E47" s="171" t="s">
        <v>792</v>
      </c>
      <c r="F47" s="171" t="s">
        <v>163</v>
      </c>
      <c r="G47" s="171">
        <v>2251997982</v>
      </c>
      <c r="H47" s="172">
        <v>45259</v>
      </c>
      <c r="I47" s="172">
        <v>45261</v>
      </c>
      <c r="J47" s="171">
        <v>2</v>
      </c>
      <c r="K47" s="173"/>
      <c r="L47" s="174"/>
      <c r="M47" s="173"/>
      <c r="N47" s="173"/>
      <c r="O47" s="173"/>
      <c r="P47" s="173"/>
      <c r="Q47" s="173"/>
      <c r="R47" s="173">
        <v>355.5</v>
      </c>
      <c r="S47" s="111">
        <f t="shared" si="10"/>
        <v>355.5</v>
      </c>
      <c r="T47" s="111">
        <f t="shared" si="11"/>
        <v>0</v>
      </c>
      <c r="U47" s="109">
        <f>IF(J47=0,(S47+T47/EERR!$D$2/1.19),(S47+T47/EERR!$D$2/1.19)/J47)</f>
        <v>177.75</v>
      </c>
      <c r="V47" s="111">
        <f>T47+S47*EERR!$D$2</f>
        <v>314973</v>
      </c>
      <c r="W47" s="27">
        <f ca="1">SUMIF(S!$A$5:$K$152,Nov!G47,S!$N$5:$N$152)</f>
        <v>2</v>
      </c>
      <c r="X47" s="176">
        <f>SUMIF(T!$A$4:$A$370,B47,T!$B$4:$B$370)+SUMIF(T!$A$4:$A$370,C47,T!$B$4:$B$370)+SUMIF(T!$A$4:$A$370,D47,T!$B$4:$B$370)+(K47+O47)+(L47+P47)*EERR!$D$2</f>
        <v>314973</v>
      </c>
      <c r="Y47" s="177">
        <f>X47/EERR!$D$2</f>
        <v>355.5</v>
      </c>
      <c r="Z47" s="183"/>
      <c r="AA47" s="238"/>
      <c r="AB47" s="238"/>
    </row>
    <row r="48" spans="1:28" ht="15" customHeight="1" x14ac:dyDescent="0.25">
      <c r="A48" s="170">
        <v>7509</v>
      </c>
      <c r="B48" s="196">
        <v>1804</v>
      </c>
      <c r="C48" s="196">
        <v>1821</v>
      </c>
      <c r="D48" s="196"/>
      <c r="E48" s="171" t="s">
        <v>793</v>
      </c>
      <c r="F48" s="171" t="s">
        <v>163</v>
      </c>
      <c r="G48" s="171">
        <v>4035012187</v>
      </c>
      <c r="H48" s="172">
        <v>45260</v>
      </c>
      <c r="I48" s="172">
        <v>45263</v>
      </c>
      <c r="J48" s="171">
        <v>6</v>
      </c>
      <c r="K48" s="173"/>
      <c r="L48" s="174"/>
      <c r="M48" s="173"/>
      <c r="N48" s="173">
        <v>820.8</v>
      </c>
      <c r="O48" s="173"/>
      <c r="P48" s="173"/>
      <c r="Q48" s="173"/>
      <c r="R48" s="173">
        <v>410.4</v>
      </c>
      <c r="S48" s="111">
        <f t="shared" si="10"/>
        <v>1231.1999999999998</v>
      </c>
      <c r="T48" s="111">
        <f t="shared" si="11"/>
        <v>0</v>
      </c>
      <c r="U48" s="109">
        <f>IF(J48=0,(S48+T48/EERR!$D$2/1.19),(S48+T48/EERR!$D$2/1.19)/J48)</f>
        <v>205.19999999999996</v>
      </c>
      <c r="V48" s="111">
        <f>T48+S48*EERR!$D$2</f>
        <v>1090843.2</v>
      </c>
      <c r="W48" s="27">
        <f ca="1">SUMIF(S!$A$5:$K$152,Nov!G48,S!$N$5:$N$152)</f>
        <v>6</v>
      </c>
      <c r="X48" s="176">
        <f>SUMIF(T!$A$4:$A$370,B48,T!$B$4:$B$370)+SUMIF(T!$A$4:$A$370,C48,T!$B$4:$B$370)+SUMIF(T!$A$4:$A$370,D48,T!$B$4:$B$370)+(K48+O48)+(L48+P48)*EERR!$D$2</f>
        <v>1090843.2</v>
      </c>
      <c r="Y48" s="177">
        <f>X48/EERR!$D$2</f>
        <v>1231.2</v>
      </c>
      <c r="Z48" s="183"/>
      <c r="AA48" s="238"/>
      <c r="AB48" s="238"/>
    </row>
    <row r="49" spans="1:28" ht="15" customHeight="1" x14ac:dyDescent="0.25">
      <c r="A49" s="170"/>
      <c r="B49" s="196"/>
      <c r="C49" s="196"/>
      <c r="D49" s="196"/>
      <c r="E49" s="171"/>
      <c r="F49" s="171"/>
      <c r="G49" s="171"/>
      <c r="H49" s="172"/>
      <c r="I49" s="172"/>
      <c r="J49" s="171"/>
      <c r="K49" s="173"/>
      <c r="L49" s="174"/>
      <c r="M49" s="173"/>
      <c r="N49" s="173"/>
      <c r="O49" s="173"/>
      <c r="P49" s="173"/>
      <c r="Q49" s="173"/>
      <c r="R49" s="173"/>
      <c r="S49" s="111">
        <f t="shared" si="10"/>
        <v>0</v>
      </c>
      <c r="T49" s="111">
        <f t="shared" si="11"/>
        <v>0</v>
      </c>
      <c r="U49" s="109">
        <f>IF(J49=0,(S49+T49/EERR!$D$2/1.19),(S49+T49/EERR!$D$2/1.19)/J49)</f>
        <v>0</v>
      </c>
      <c r="V49" s="111">
        <f>T49+S49*EERR!$D$2</f>
        <v>0</v>
      </c>
      <c r="W49" s="27">
        <f ca="1">SUMIF(S!$A$5:$K$152,Nov!G49,S!$N$5:$N$152)</f>
        <v>0</v>
      </c>
      <c r="X49" s="176">
        <f>SUMIF(T!$A$4:$A$370,B49,T!$B$4:$B$370)+SUMIF(T!$A$4:$A$370,C49,T!$B$4:$B$370)+SUMIF(T!$A$4:$A$370,D49,T!$B$4:$B$370)+(K49+O49)+(L49+P49)*EERR!$D$2</f>
        <v>0</v>
      </c>
      <c r="Y49" s="177">
        <f>X49/EERR!$D$2</f>
        <v>0</v>
      </c>
      <c r="Z49" s="183"/>
      <c r="AA49" s="238"/>
      <c r="AB49" s="238"/>
    </row>
    <row r="50" spans="1:28" ht="15" customHeight="1" x14ac:dyDescent="0.25">
      <c r="A50" s="170"/>
      <c r="B50" s="196"/>
      <c r="C50" s="196"/>
      <c r="D50" s="196"/>
      <c r="E50" s="171"/>
      <c r="F50" s="171"/>
      <c r="G50" s="171"/>
      <c r="H50" s="172"/>
      <c r="I50" s="172"/>
      <c r="J50" s="171"/>
      <c r="K50" s="173"/>
      <c r="L50" s="174"/>
      <c r="M50" s="173"/>
      <c r="N50" s="173"/>
      <c r="O50" s="173"/>
      <c r="P50" s="173"/>
      <c r="Q50" s="173"/>
      <c r="R50" s="173"/>
      <c r="S50" s="111">
        <f t="shared" si="10"/>
        <v>0</v>
      </c>
      <c r="T50" s="111">
        <f t="shared" si="11"/>
        <v>0</v>
      </c>
      <c r="U50" s="109">
        <f>IF(J50=0,(S50+T50/EERR!$D$2/1.19),(S50+T50/EERR!$D$2/1.19)/J50)</f>
        <v>0</v>
      </c>
      <c r="V50" s="111">
        <f>T50+S50*EERR!$D$2</f>
        <v>0</v>
      </c>
      <c r="W50" s="27">
        <f ca="1">SUMIF(S!$A$5:$K$152,Nov!G50,S!$N$5:$N$152)</f>
        <v>0</v>
      </c>
      <c r="X50" s="176">
        <f>SUMIF(T!$A$4:$A$370,B50,T!$B$4:$B$370)+SUMIF(T!$A$4:$A$370,C50,T!$B$4:$B$370)+SUMIF(T!$A$4:$A$370,D50,T!$B$4:$B$370)+(K50+O50)+(L50+P50)*EERR!$D$2</f>
        <v>0</v>
      </c>
      <c r="Y50" s="177">
        <f>X50/EERR!$D$2</f>
        <v>0</v>
      </c>
      <c r="Z50" s="183"/>
      <c r="AA50" s="238"/>
      <c r="AB50" s="238"/>
    </row>
    <row r="51" spans="1:28" ht="15" customHeight="1" x14ac:dyDescent="0.25">
      <c r="A51" s="170"/>
      <c r="B51" s="196"/>
      <c r="C51" s="196"/>
      <c r="D51" s="196"/>
      <c r="E51" s="171"/>
      <c r="F51" s="171"/>
      <c r="G51" s="171"/>
      <c r="H51" s="172"/>
      <c r="I51" s="172"/>
      <c r="J51" s="171"/>
      <c r="K51" s="173"/>
      <c r="L51" s="174"/>
      <c r="M51" s="173"/>
      <c r="N51" s="173"/>
      <c r="O51" s="173"/>
      <c r="P51" s="173"/>
      <c r="Q51" s="173"/>
      <c r="R51" s="173"/>
      <c r="S51" s="111">
        <f t="shared" si="10"/>
        <v>0</v>
      </c>
      <c r="T51" s="111">
        <f t="shared" si="11"/>
        <v>0</v>
      </c>
      <c r="U51" s="109">
        <f>IF(J51=0,(S51+T51/EERR!$D$2/1.19),(S51+T51/EERR!$D$2/1.19)/J51)</f>
        <v>0</v>
      </c>
      <c r="V51" s="111">
        <f>T51+S51*EERR!$D$2</f>
        <v>0</v>
      </c>
      <c r="W51" s="27">
        <f ca="1">SUMIF(S!$A$5:$K$152,Nov!G51,S!$N$5:$N$152)</f>
        <v>0</v>
      </c>
      <c r="X51" s="176">
        <f>SUMIF(T!$A$4:$A$370,B51,T!$B$4:$B$370)+SUMIF(T!$A$4:$A$370,C51,T!$B$4:$B$370)+SUMIF(T!$A$4:$A$370,D51,T!$B$4:$B$370)+(K51+O51)+(L51+P51)*EERR!$D$2</f>
        <v>0</v>
      </c>
      <c r="Y51" s="177">
        <f>X51/EERR!$D$2</f>
        <v>0</v>
      </c>
      <c r="Z51" s="183"/>
      <c r="AA51" s="238"/>
      <c r="AB51" s="238"/>
    </row>
    <row r="52" spans="1:28" ht="15" customHeight="1" x14ac:dyDescent="0.25">
      <c r="A52" s="170"/>
      <c r="B52" s="196"/>
      <c r="C52" s="196"/>
      <c r="D52" s="196"/>
      <c r="E52" s="171"/>
      <c r="F52" s="171"/>
      <c r="G52" s="171"/>
      <c r="H52" s="172"/>
      <c r="I52" s="172"/>
      <c r="J52" s="171"/>
      <c r="K52" s="173"/>
      <c r="L52" s="174"/>
      <c r="M52" s="173"/>
      <c r="N52" s="173"/>
      <c r="O52" s="173"/>
      <c r="P52" s="173"/>
      <c r="Q52" s="173"/>
      <c r="R52" s="173"/>
      <c r="S52" s="111">
        <f t="shared" si="10"/>
        <v>0</v>
      </c>
      <c r="T52" s="111">
        <f t="shared" si="11"/>
        <v>0</v>
      </c>
      <c r="U52" s="109">
        <f>IF(J52=0,(S52+T52/EERR!$D$2/1.19),(S52+T52/EERR!$D$2/1.19)/J52)</f>
        <v>0</v>
      </c>
      <c r="V52" s="111">
        <f>T52+S52*EERR!$D$2</f>
        <v>0</v>
      </c>
      <c r="W52" s="27">
        <f ca="1">SUMIF(S!$A$5:$K$152,Nov!G52,S!$N$5:$N$152)</f>
        <v>0</v>
      </c>
      <c r="X52" s="176">
        <f>SUMIF(T!$A$4:$A$370,B52,T!$B$4:$B$370)+SUMIF(T!$A$4:$A$370,C52,T!$B$4:$B$370)+SUMIF(T!$A$4:$A$370,D52,T!$B$4:$B$370)+(K52+O52)+(L52+P52)*EERR!$D$2</f>
        <v>0</v>
      </c>
      <c r="Y52" s="177">
        <f>X52/EERR!$D$2</f>
        <v>0</v>
      </c>
      <c r="Z52" s="183"/>
      <c r="AA52" s="238"/>
      <c r="AB52" s="238"/>
    </row>
    <row r="53" spans="1:28" ht="15" customHeight="1" x14ac:dyDescent="0.25">
      <c r="A53" s="170"/>
      <c r="B53" s="196"/>
      <c r="C53" s="196"/>
      <c r="D53" s="196"/>
      <c r="E53" s="171"/>
      <c r="F53" s="171"/>
      <c r="G53" s="171"/>
      <c r="H53" s="172"/>
      <c r="I53" s="172"/>
      <c r="J53" s="171"/>
      <c r="K53" s="173"/>
      <c r="L53" s="174"/>
      <c r="M53" s="173"/>
      <c r="N53" s="173"/>
      <c r="O53" s="173"/>
      <c r="P53" s="173"/>
      <c r="Q53" s="173"/>
      <c r="R53" s="173"/>
      <c r="S53" s="111">
        <f t="shared" si="10"/>
        <v>0</v>
      </c>
      <c r="T53" s="111">
        <f t="shared" si="11"/>
        <v>0</v>
      </c>
      <c r="U53" s="109">
        <f>IF(J53=0,(S53+T53/EERR!$D$2/1.19),(S53+T53/EERR!$D$2/1.19)/J53)</f>
        <v>0</v>
      </c>
      <c r="V53" s="111">
        <f>T53+S53*EERR!$D$2</f>
        <v>0</v>
      </c>
      <c r="W53" s="27">
        <f ca="1">SUMIF(S!$A$5:$K$152,Nov!G53,S!$N$5:$N$152)</f>
        <v>0</v>
      </c>
      <c r="X53" s="176">
        <f>SUMIF(T!$A$4:$A$370,B53,T!$B$4:$B$370)+SUMIF(T!$A$4:$A$370,C53,T!$B$4:$B$370)+SUMIF(T!$A$4:$A$370,D53,T!$B$4:$B$370)+(K53+O53)+(L53+P53)*EERR!$D$2</f>
        <v>0</v>
      </c>
      <c r="Y53" s="177">
        <f>X53/EERR!$D$2</f>
        <v>0</v>
      </c>
      <c r="Z53" s="183"/>
      <c r="AA53" s="238"/>
      <c r="AB53" s="238"/>
    </row>
    <row r="54" spans="1:28" ht="15" customHeight="1" x14ac:dyDescent="0.25">
      <c r="A54" s="170"/>
      <c r="B54" s="196"/>
      <c r="C54" s="196"/>
      <c r="D54" s="196"/>
      <c r="E54" s="171"/>
      <c r="F54" s="171"/>
      <c r="G54" s="171"/>
      <c r="H54" s="172"/>
      <c r="I54" s="172"/>
      <c r="J54" s="171"/>
      <c r="K54" s="173"/>
      <c r="L54" s="174"/>
      <c r="M54" s="173"/>
      <c r="N54" s="173"/>
      <c r="O54" s="173"/>
      <c r="P54" s="173"/>
      <c r="Q54" s="173"/>
      <c r="R54" s="173"/>
      <c r="S54" s="111">
        <f t="shared" si="10"/>
        <v>0</v>
      </c>
      <c r="T54" s="111">
        <f t="shared" si="11"/>
        <v>0</v>
      </c>
      <c r="U54" s="109">
        <f>IF(J54=0,(S54+T54/EERR!$D$2/1.19),(S54+T54/EERR!$D$2/1.19)/J54)</f>
        <v>0</v>
      </c>
      <c r="V54" s="111">
        <f>T54+S54*EERR!$D$2</f>
        <v>0</v>
      </c>
      <c r="W54" s="27">
        <f ca="1">SUMIF(S!$A$5:$K$152,Nov!G54,S!$N$5:$N$152)</f>
        <v>0</v>
      </c>
      <c r="X54" s="176">
        <f>SUMIF(T!$A$4:$A$370,B54,T!$B$4:$B$370)+SUMIF(T!$A$4:$A$370,C54,T!$B$4:$B$370)+SUMIF(T!$A$4:$A$370,D54,T!$B$4:$B$370)+(K54+O54)+(L54+P54)*EERR!$D$2</f>
        <v>0</v>
      </c>
      <c r="Y54" s="177">
        <f>X54/EERR!$D$2</f>
        <v>0</v>
      </c>
      <c r="Z54" s="183"/>
      <c r="AA54" s="238"/>
      <c r="AB54" s="238"/>
    </row>
    <row r="55" spans="1:28" ht="15" customHeight="1" x14ac:dyDescent="0.25">
      <c r="A55" s="170"/>
      <c r="B55" s="196"/>
      <c r="C55" s="196"/>
      <c r="D55" s="196"/>
      <c r="E55" s="171"/>
      <c r="F55" s="171"/>
      <c r="G55" s="171"/>
      <c r="H55" s="172"/>
      <c r="I55" s="172"/>
      <c r="J55" s="171"/>
      <c r="K55" s="173"/>
      <c r="L55" s="174"/>
      <c r="M55" s="173"/>
      <c r="N55" s="173"/>
      <c r="O55" s="173"/>
      <c r="P55" s="173"/>
      <c r="Q55" s="173"/>
      <c r="R55" s="173"/>
      <c r="S55" s="111">
        <f t="shared" si="8"/>
        <v>0</v>
      </c>
      <c r="T55" s="111">
        <f t="shared" si="9"/>
        <v>0</v>
      </c>
      <c r="U55" s="109">
        <f>IF(J55=0,(S55+T55/EERR!$D$2/1.19),(S55+T55/EERR!$D$2/1.19)/J55)</f>
        <v>0</v>
      </c>
      <c r="V55" s="111">
        <f>T55+S55*EERR!$D$2</f>
        <v>0</v>
      </c>
      <c r="W55" s="27">
        <f ca="1">SUMIF(S!$A$5:$K$152,Nov!G55,S!$N$5:$N$152)</f>
        <v>0</v>
      </c>
      <c r="X55" s="176">
        <f>SUMIF(T!$A$4:$A$370,B55,T!$B$4:$B$370)+SUMIF(T!$A$4:$A$370,C55,T!$B$4:$B$370)+SUMIF(T!$A$4:$A$370,D55,T!$B$4:$B$370)+(K55+O55)+(L55+P55)*EERR!$D$2</f>
        <v>0</v>
      </c>
      <c r="Y55" s="177">
        <f>X55/EERR!$D$2</f>
        <v>0</v>
      </c>
      <c r="Z55" s="183">
        <f t="shared" si="7"/>
        <v>0</v>
      </c>
      <c r="AA55" s="238">
        <f ca="1">SUMIF(S!$A$5:$K$152,Nov!G55,S!$J$5:$J$152)*EERR!$D$2*1.19</f>
        <v>0</v>
      </c>
      <c r="AB55" s="238"/>
    </row>
    <row r="56" spans="1:28" ht="15" customHeight="1" x14ac:dyDescent="0.25">
      <c r="A56" s="170"/>
      <c r="B56" s="196"/>
      <c r="C56" s="196"/>
      <c r="D56" s="196"/>
      <c r="E56" s="171"/>
      <c r="F56" s="171"/>
      <c r="G56" s="171"/>
      <c r="H56" s="172"/>
      <c r="I56" s="172"/>
      <c r="J56" s="171"/>
      <c r="K56" s="173"/>
      <c r="L56" s="174"/>
      <c r="M56" s="173"/>
      <c r="N56" s="173"/>
      <c r="O56" s="173"/>
      <c r="P56" s="173"/>
      <c r="Q56" s="173"/>
      <c r="R56" s="173"/>
      <c r="S56" s="111">
        <f t="shared" si="8"/>
        <v>0</v>
      </c>
      <c r="T56" s="111">
        <f t="shared" si="9"/>
        <v>0</v>
      </c>
      <c r="U56" s="109">
        <f>IF(J56=0,(S56+T56/EERR!$D$2/1.19),(S56+T56/EERR!$D$2/1.19)/J56)</f>
        <v>0</v>
      </c>
      <c r="V56" s="111">
        <f>T56+S56*EERR!$D$2</f>
        <v>0</v>
      </c>
      <c r="W56" s="27">
        <f ca="1">SUMIF(S!$A$5:$K$152,Nov!G56,S!$N$5:$N$152)</f>
        <v>0</v>
      </c>
      <c r="X56" s="176">
        <f>SUMIF(T!$A$4:$A$370,B56,T!$B$4:$B$370)+SUMIF(T!$A$4:$A$370,C56,T!$B$4:$B$370)+SUMIF(T!$A$4:$A$370,D56,T!$B$4:$B$370)+(K56+O56)+(L56+P56)*EERR!$D$2</f>
        <v>0</v>
      </c>
      <c r="Y56" s="177">
        <f>X56/EERR!$D$2</f>
        <v>0</v>
      </c>
      <c r="Z56" s="183">
        <f t="shared" si="7"/>
        <v>0</v>
      </c>
      <c r="AA56" s="238">
        <f ca="1">SUMIF(S!$A$5:$K$152,Nov!G56,S!$J$5:$J$152)*EERR!$D$2*1.19</f>
        <v>0</v>
      </c>
      <c r="AB56" s="238"/>
    </row>
    <row r="57" spans="1:28" ht="15" customHeight="1" x14ac:dyDescent="0.25">
      <c r="A57" s="170"/>
      <c r="B57" s="196"/>
      <c r="C57" s="196"/>
      <c r="D57" s="196"/>
      <c r="E57" s="171"/>
      <c r="F57" s="171"/>
      <c r="G57" s="171"/>
      <c r="H57" s="172"/>
      <c r="I57" s="172"/>
      <c r="J57" s="171"/>
      <c r="K57" s="173"/>
      <c r="L57" s="174"/>
      <c r="M57" s="173"/>
      <c r="N57" s="173"/>
      <c r="O57" s="173"/>
      <c r="P57" s="173"/>
      <c r="Q57" s="173"/>
      <c r="R57" s="173"/>
      <c r="S57" s="111">
        <f t="shared" si="8"/>
        <v>0</v>
      </c>
      <c r="T57" s="111">
        <f t="shared" si="9"/>
        <v>0</v>
      </c>
      <c r="U57" s="109">
        <f>IF(J57=0,(S57+T57/EERR!$D$2/1.19),(S57+T57/EERR!$D$2/1.19)/J57)</f>
        <v>0</v>
      </c>
      <c r="V57" s="111">
        <f>T57+S57*EERR!$D$2</f>
        <v>0</v>
      </c>
      <c r="W57" s="27">
        <f ca="1">SUMIF(S!$A$5:$K$152,Nov!G57,S!$N$5:$N$152)</f>
        <v>0</v>
      </c>
      <c r="X57" s="176">
        <f>SUMIF(T!$A$4:$A$370,B57,T!$B$4:$B$370)+SUMIF(T!$A$4:$A$370,C57,T!$B$4:$B$370)+SUMIF(T!$A$4:$A$370,D57,T!$B$4:$B$370)+(K57+O57)+(L57+P57)*EERR!$D$2</f>
        <v>0</v>
      </c>
      <c r="Y57" s="177">
        <f>X57/EERR!$D$2</f>
        <v>0</v>
      </c>
      <c r="Z57" s="183"/>
      <c r="AA57" s="238"/>
      <c r="AB57" s="238"/>
    </row>
    <row r="58" spans="1:28" ht="15" customHeight="1" x14ac:dyDescent="0.25">
      <c r="A58" s="170"/>
      <c r="B58" s="196"/>
      <c r="C58" s="196"/>
      <c r="D58" s="196"/>
      <c r="E58" s="171"/>
      <c r="F58" s="171"/>
      <c r="G58" s="171"/>
      <c r="H58" s="172"/>
      <c r="I58" s="172"/>
      <c r="J58" s="171"/>
      <c r="K58" s="173"/>
      <c r="L58" s="174"/>
      <c r="M58" s="173"/>
      <c r="N58" s="173"/>
      <c r="O58" s="173"/>
      <c r="P58" s="173"/>
      <c r="Q58" s="173"/>
      <c r="R58" s="173"/>
      <c r="S58" s="111">
        <f t="shared" si="8"/>
        <v>0</v>
      </c>
      <c r="T58" s="111">
        <f t="shared" si="9"/>
        <v>0</v>
      </c>
      <c r="U58" s="109">
        <f>IF(J58=0,(S58+T58/EERR!$D$2/1.19),(S58+T58/EERR!$D$2/1.19)/J58)</f>
        <v>0</v>
      </c>
      <c r="V58" s="111">
        <f>T58+S58*EERR!$D$2</f>
        <v>0</v>
      </c>
      <c r="W58" s="27">
        <f ca="1">SUMIF(S!$A$5:$K$152,Nov!G58,S!$N$5:$N$152)</f>
        <v>0</v>
      </c>
      <c r="X58" s="176">
        <f>SUMIF(T!$A$4:$A$370,B58,T!$B$4:$B$370)+SUMIF(T!$A$4:$A$370,C58,T!$B$4:$B$370)+SUMIF(T!$A$4:$A$370,D58,T!$B$4:$B$370)+(K58+O58)+(L58+P58)*EERR!$D$2</f>
        <v>0</v>
      </c>
      <c r="Y58" s="177">
        <f>X58/EERR!$D$2</f>
        <v>0</v>
      </c>
      <c r="Z58" s="183"/>
      <c r="AA58" s="238"/>
      <c r="AB58" s="238"/>
    </row>
    <row r="59" spans="1:28" ht="15" customHeight="1" x14ac:dyDescent="0.25">
      <c r="A59" s="170"/>
      <c r="B59" s="196"/>
      <c r="C59" s="196"/>
      <c r="D59" s="196"/>
      <c r="E59" s="171"/>
      <c r="F59" s="171"/>
      <c r="G59" s="171"/>
      <c r="H59" s="172"/>
      <c r="I59" s="172"/>
      <c r="J59" s="171"/>
      <c r="K59" s="173"/>
      <c r="L59" s="174"/>
      <c r="M59" s="173"/>
      <c r="N59" s="173"/>
      <c r="O59" s="173"/>
      <c r="P59" s="173"/>
      <c r="Q59" s="173"/>
      <c r="R59" s="173"/>
      <c r="S59" s="111">
        <f t="shared" si="8"/>
        <v>0</v>
      </c>
      <c r="T59" s="111">
        <f t="shared" si="9"/>
        <v>0</v>
      </c>
      <c r="U59" s="109">
        <f>IF(J59=0,(S59+T59/EERR!$D$2/1.19),(S59+T59/EERR!$D$2/1.19)/J59)</f>
        <v>0</v>
      </c>
      <c r="V59" s="111">
        <f>T59+S59*EERR!$D$2</f>
        <v>0</v>
      </c>
      <c r="W59" s="27">
        <f ca="1">SUMIF(S!$A$5:$K$152,Nov!G59,S!$N$5:$N$152)</f>
        <v>0</v>
      </c>
      <c r="X59" s="176">
        <f>SUMIF(T!$A$4:$A$370,B59,T!$B$4:$B$370)+SUMIF(T!$A$4:$A$370,C59,T!$B$4:$B$370)+SUMIF(T!$A$4:$A$370,D59,T!$B$4:$B$370)+(K59+O59)+(L59+P59)*EERR!$D$2</f>
        <v>0</v>
      </c>
      <c r="Y59" s="177">
        <f>X59/EERR!$D$2</f>
        <v>0</v>
      </c>
      <c r="Z59" s="183"/>
      <c r="AA59" s="238"/>
      <c r="AB59" s="238"/>
    </row>
    <row r="60" spans="1:28" ht="15" customHeight="1" x14ac:dyDescent="0.25">
      <c r="A60" s="170"/>
      <c r="B60" s="196"/>
      <c r="C60" s="196"/>
      <c r="D60" s="196"/>
      <c r="E60" s="171"/>
      <c r="F60" s="171"/>
      <c r="G60" s="171"/>
      <c r="H60" s="172"/>
      <c r="I60" s="172"/>
      <c r="J60" s="171"/>
      <c r="K60" s="173"/>
      <c r="L60" s="174"/>
      <c r="M60" s="173"/>
      <c r="N60" s="173"/>
      <c r="O60" s="173"/>
      <c r="P60" s="173"/>
      <c r="Q60" s="173"/>
      <c r="R60" s="173"/>
      <c r="S60" s="111"/>
      <c r="T60" s="111"/>
      <c r="U60" s="109"/>
      <c r="V60" s="111"/>
      <c r="X60" s="176"/>
      <c r="Y60" s="177"/>
      <c r="Z60" s="183"/>
      <c r="AA60" s="238"/>
      <c r="AB60" s="238"/>
    </row>
    <row r="61" spans="1:28" ht="15" customHeight="1" x14ac:dyDescent="0.25">
      <c r="A61" s="170"/>
      <c r="B61" s="196"/>
      <c r="C61" s="196"/>
      <c r="D61" s="196"/>
      <c r="E61" s="171"/>
      <c r="F61" s="171"/>
      <c r="G61" s="171"/>
      <c r="H61" s="172"/>
      <c r="I61" s="172"/>
      <c r="J61" s="171"/>
      <c r="K61" s="173"/>
      <c r="L61" s="174"/>
      <c r="M61" s="173"/>
      <c r="N61" s="173"/>
      <c r="O61" s="173"/>
      <c r="P61" s="173"/>
      <c r="Q61" s="173"/>
      <c r="R61" s="173"/>
      <c r="S61" s="111"/>
      <c r="T61" s="111"/>
      <c r="U61" s="109"/>
      <c r="V61" s="111"/>
      <c r="X61" s="176"/>
      <c r="Y61" s="177"/>
      <c r="Z61" s="183"/>
      <c r="AA61" s="238"/>
      <c r="AB61" s="238"/>
    </row>
    <row r="62" spans="1:28" ht="15" customHeight="1" x14ac:dyDescent="0.25">
      <c r="A62" s="170"/>
      <c r="B62" s="196"/>
      <c r="C62" s="196"/>
      <c r="D62" s="196"/>
      <c r="E62" s="171"/>
      <c r="F62" s="171"/>
      <c r="G62" s="171"/>
      <c r="H62" s="172"/>
      <c r="I62" s="172"/>
      <c r="J62" s="171"/>
      <c r="K62" s="173"/>
      <c r="L62" s="174"/>
      <c r="M62" s="173"/>
      <c r="N62" s="173"/>
      <c r="O62" s="173"/>
      <c r="P62" s="173"/>
      <c r="Q62" s="173"/>
      <c r="R62" s="173"/>
      <c r="S62" s="111">
        <f t="shared" si="8"/>
        <v>0</v>
      </c>
      <c r="T62" s="111">
        <f t="shared" si="9"/>
        <v>0</v>
      </c>
      <c r="U62" s="109">
        <f>IF(J62=0,(S62+T62/EERR!$D$2/1.19),(S62+T62/EERR!$D$2/1.19)/J62)</f>
        <v>0</v>
      </c>
      <c r="V62" s="111">
        <f>T62+S62*EERR!$D$2</f>
        <v>0</v>
      </c>
      <c r="W62" s="27">
        <f ca="1">SUMIF(S!$A$5:$K$152,Nov!G62,S!$N$5:$N$152)</f>
        <v>0</v>
      </c>
      <c r="X62" s="176">
        <f>SUMIF(T!$A$4:$A$370,B62,T!$B$4:$B$370)+SUMIF(T!$A$4:$A$370,C62,T!$B$4:$B$370)+SUMIF(T!$A$4:$A$370,D62,T!$B$4:$B$370)+(K62+O62)+(L62+P62)*EERR!$D$2</f>
        <v>0</v>
      </c>
      <c r="Y62" s="177">
        <f>X62/EERR!$D$2</f>
        <v>0</v>
      </c>
      <c r="Z62" s="183">
        <f t="shared" si="1"/>
        <v>0</v>
      </c>
      <c r="AA62" s="238">
        <f ca="1">SUMIF(S!$A$5:$K$152,Nov!G62,S!$J$5:$J$152)*EERR!$D$2*1.19</f>
        <v>0</v>
      </c>
      <c r="AB62" s="238">
        <f t="shared" ca="1" si="4"/>
        <v>0</v>
      </c>
    </row>
    <row r="63" spans="1:28" ht="12.75" x14ac:dyDescent="0.2">
      <c r="A63" s="155"/>
      <c r="B63" s="155"/>
      <c r="C63" s="155"/>
      <c r="D63" s="155"/>
      <c r="E63" s="155"/>
      <c r="F63" s="155"/>
      <c r="G63" s="155"/>
      <c r="H63" s="160"/>
      <c r="I63" s="160"/>
      <c r="J63" s="161">
        <f t="shared" ref="J63:T63" si="12">SUM(J3:J62)</f>
        <v>146</v>
      </c>
      <c r="K63" s="161">
        <f t="shared" si="12"/>
        <v>0</v>
      </c>
      <c r="L63" s="161">
        <f t="shared" si="12"/>
        <v>6480.48</v>
      </c>
      <c r="M63" s="161">
        <f t="shared" si="12"/>
        <v>0</v>
      </c>
      <c r="N63" s="161">
        <f t="shared" si="12"/>
        <v>10851.95</v>
      </c>
      <c r="O63" s="161">
        <f t="shared" si="12"/>
        <v>0</v>
      </c>
      <c r="P63" s="161">
        <f t="shared" si="12"/>
        <v>942.65</v>
      </c>
      <c r="Q63" s="161">
        <f t="shared" si="12"/>
        <v>686742</v>
      </c>
      <c r="R63" s="161">
        <f t="shared" si="12"/>
        <v>10777.73</v>
      </c>
      <c r="S63" s="161">
        <f t="shared" si="12"/>
        <v>29052.810000000012</v>
      </c>
      <c r="T63" s="161">
        <f t="shared" si="12"/>
        <v>686742</v>
      </c>
      <c r="U63" s="161">
        <f>IF(J63=0,(S63+T63/EERR!$D$2/1.19),(S63+T63/EERR!$D$2/1.19)/J63)</f>
        <v>203.45313536014621</v>
      </c>
      <c r="V63" s="161">
        <f>SUM(V3:V62)</f>
        <v>26427531.659999993</v>
      </c>
      <c r="W63" s="161">
        <f ca="1">SUM(W3:W62)</f>
        <v>146</v>
      </c>
      <c r="X63" s="317">
        <f>SUM(X3:X62)</f>
        <v>26427531.659999993</v>
      </c>
      <c r="Y63" s="161">
        <f>SUM(Y3:Y62)</f>
        <v>29827.913837471788</v>
      </c>
      <c r="Z63" s="183">
        <f t="shared" si="1"/>
        <v>0</v>
      </c>
      <c r="AA63" s="238">
        <f ca="1">SUMIF(S!$A$5:$K$152,Nov!G63,S!$J$5:$J$152)*EERR!$D$2*1.19</f>
        <v>0</v>
      </c>
      <c r="AB63" s="238"/>
    </row>
    <row r="64" spans="1:28" x14ac:dyDescent="0.25">
      <c r="A64" s="170">
        <v>7446</v>
      </c>
      <c r="B64" s="196"/>
      <c r="C64" s="196"/>
      <c r="D64" s="196"/>
      <c r="E64" s="171" t="s">
        <v>711</v>
      </c>
      <c r="F64" s="171" t="s">
        <v>236</v>
      </c>
      <c r="G64" s="182" t="s">
        <v>710</v>
      </c>
      <c r="H64" s="172">
        <v>45232</v>
      </c>
      <c r="I64" s="172">
        <v>45234</v>
      </c>
      <c r="J64" s="171">
        <v>2</v>
      </c>
      <c r="K64" s="173"/>
      <c r="L64" s="174"/>
      <c r="M64" s="173"/>
      <c r="N64" s="173"/>
      <c r="O64" s="173"/>
      <c r="P64" s="173">
        <v>380</v>
      </c>
      <c r="Q64" s="173"/>
      <c r="R64" s="173"/>
      <c r="S64" s="111">
        <f t="shared" ref="S64" si="13">L64+N64+P64+R64</f>
        <v>380</v>
      </c>
      <c r="T64" s="111">
        <f t="shared" ref="T64" si="14">M64+O64+K64+Q64</f>
        <v>0</v>
      </c>
      <c r="U64" s="109">
        <f>IF(J64=0,(S64+T64/EERR!$D$2/1.19),(S64+T64/EERR!$D$2/1.19)/J64)</f>
        <v>190</v>
      </c>
      <c r="V64" s="111">
        <f>T64+S64*EERR!$D$2</f>
        <v>336680</v>
      </c>
      <c r="W64" s="27">
        <f ca="1">SUMIF(S!$A$5:$K$152,Nov!G64,S!$N$5:$N$152)</f>
        <v>2</v>
      </c>
      <c r="X64" s="176">
        <f>SUMIF(T!$A$4:$A$370,B64,T!$B$4:$B$370)+SUMIF(T!$A$4:$A$370,C64,T!$B$4:$B$370)+SUMIF(T!$A$4:$A$370,D64,T!$B$4:$B$370)+(K64+O64)+(L64+P64)*EERR!$D$2</f>
        <v>336680</v>
      </c>
      <c r="Y64" s="177">
        <f>X64/EERR!$D$2</f>
        <v>380</v>
      </c>
      <c r="Z64" s="183">
        <f t="shared" si="1"/>
        <v>0</v>
      </c>
      <c r="AA64" s="238">
        <f ca="1">SUMIF(S!$A$5:$K$152,Nov!G64,S!$J$5:$J$152)*EERR!$D$2*1.19</f>
        <v>400649.19999999995</v>
      </c>
      <c r="AB64" s="238">
        <f t="shared" ca="1" si="4"/>
        <v>0</v>
      </c>
    </row>
    <row r="65" spans="1:31" x14ac:dyDescent="0.25">
      <c r="A65" s="170">
        <v>7450</v>
      </c>
      <c r="B65" s="196"/>
      <c r="C65" s="196"/>
      <c r="D65" s="196"/>
      <c r="E65" s="171" t="s">
        <v>717</v>
      </c>
      <c r="F65" s="171" t="s">
        <v>236</v>
      </c>
      <c r="G65" s="182" t="s">
        <v>716</v>
      </c>
      <c r="H65" s="172">
        <v>45234</v>
      </c>
      <c r="I65" s="172">
        <v>45237</v>
      </c>
      <c r="J65" s="171">
        <v>9</v>
      </c>
      <c r="K65" s="173"/>
      <c r="L65" s="174">
        <v>370</v>
      </c>
      <c r="M65" s="173"/>
      <c r="N65" s="173"/>
      <c r="O65" s="173"/>
      <c r="P65" s="173">
        <v>1340</v>
      </c>
      <c r="Q65" s="173"/>
      <c r="R65" s="173"/>
      <c r="S65" s="111">
        <f t="shared" ref="S65:S94" si="15">L65+N65+P65+R65</f>
        <v>1710</v>
      </c>
      <c r="T65" s="111">
        <f t="shared" ref="T65:T94" si="16">M65+O65+K65+Q65</f>
        <v>0</v>
      </c>
      <c r="U65" s="109">
        <f>IF(J65=0,(S65+T65/EERR!$D$2/1.19),(S65+T65/EERR!$D$2/1.19)/J65)</f>
        <v>190</v>
      </c>
      <c r="V65" s="111">
        <f>T65+S65*EERR!$D$2</f>
        <v>1515060</v>
      </c>
      <c r="W65" s="27">
        <f ca="1">SUMIF(S!$A$5:$K$152,Nov!G65,S!$N$5:$N$152)</f>
        <v>9</v>
      </c>
      <c r="X65" s="176">
        <f>SUMIF(T!$A$4:$A$370,B65,T!$B$4:$B$370)+SUMIF(T!$A$4:$A$370,C65,T!$B$4:$B$370)+SUMIF(T!$A$4:$A$370,D65,T!$B$4:$B$370)+(K65+O65)+(L65+P65)*EERR!$D$2</f>
        <v>1515060</v>
      </c>
      <c r="Y65" s="177">
        <f>X65/EERR!$D$2</f>
        <v>1710</v>
      </c>
      <c r="Z65" s="183">
        <f t="shared" si="1"/>
        <v>0</v>
      </c>
      <c r="AA65" s="238">
        <f ca="1">SUMIF(S!$A$5:$K$152,Nov!G65,S!$J$5:$J$152)*EERR!$D$2*1.19</f>
        <v>1802921.4</v>
      </c>
      <c r="AB65" s="238">
        <f t="shared" ref="AB65:AB124" ca="1" si="17">IF(X65-AA65&lt;1000,0,X65-AA65)</f>
        <v>0</v>
      </c>
    </row>
    <row r="66" spans="1:31" x14ac:dyDescent="0.25">
      <c r="A66" s="170">
        <v>7447</v>
      </c>
      <c r="B66" s="196"/>
      <c r="C66" s="196"/>
      <c r="D66" s="196"/>
      <c r="E66" s="171" t="s">
        <v>711</v>
      </c>
      <c r="F66" s="171" t="s">
        <v>236</v>
      </c>
      <c r="G66" s="182" t="s">
        <v>718</v>
      </c>
      <c r="H66" s="172">
        <v>45234</v>
      </c>
      <c r="I66" s="172">
        <v>45237</v>
      </c>
      <c r="J66" s="171">
        <v>9</v>
      </c>
      <c r="K66" s="173"/>
      <c r="L66" s="174"/>
      <c r="M66" s="173"/>
      <c r="N66" s="173"/>
      <c r="O66" s="173"/>
      <c r="P66" s="173">
        <v>1710</v>
      </c>
      <c r="Q66" s="173"/>
      <c r="R66" s="173"/>
      <c r="S66" s="111">
        <f t="shared" si="15"/>
        <v>1710</v>
      </c>
      <c r="T66" s="111">
        <f t="shared" si="16"/>
        <v>0</v>
      </c>
      <c r="U66" s="109">
        <f>IF(J66=0,(S66+T66/EERR!$D$2/1.19),(S66+T66/EERR!$D$2/1.19)/J66)</f>
        <v>190</v>
      </c>
      <c r="V66" s="111">
        <f>T66+S66*EERR!$D$2</f>
        <v>1515060</v>
      </c>
      <c r="W66" s="27">
        <f ca="1">SUMIF(S!$A$5:$K$152,Nov!G66,S!$N$5:$N$152)</f>
        <v>9</v>
      </c>
      <c r="X66" s="176">
        <f>SUMIF(T!$A$4:$A$370,B66,T!$B$4:$B$370)+SUMIF(T!$A$4:$A$370,C66,T!$B$4:$B$370)+SUMIF(T!$A$4:$A$370,D66,T!$B$4:$B$370)+(K66+O66)+(L66+P66)*EERR!$D$2</f>
        <v>1515060</v>
      </c>
      <c r="Y66" s="177">
        <f>X66/EERR!$D$2</f>
        <v>1710</v>
      </c>
      <c r="Z66" s="183">
        <f t="shared" si="1"/>
        <v>0</v>
      </c>
      <c r="AA66" s="238">
        <f ca="1">SUMIF(S!$A$5:$K$152,Nov!G66,S!$J$5:$J$152)*EERR!$D$2*1.19</f>
        <v>1802921.4</v>
      </c>
      <c r="AB66" s="238">
        <f t="shared" ca="1" si="17"/>
        <v>0</v>
      </c>
    </row>
    <row r="67" spans="1:31" x14ac:dyDescent="0.25">
      <c r="A67" s="170">
        <v>7448</v>
      </c>
      <c r="B67" s="196"/>
      <c r="C67" s="196"/>
      <c r="D67" s="196"/>
      <c r="E67" s="171" t="s">
        <v>711</v>
      </c>
      <c r="F67" s="171" t="s">
        <v>236</v>
      </c>
      <c r="G67" s="182" t="s">
        <v>719</v>
      </c>
      <c r="H67" s="172">
        <v>45234</v>
      </c>
      <c r="I67" s="172">
        <v>45237</v>
      </c>
      <c r="J67" s="171">
        <v>6</v>
      </c>
      <c r="K67" s="173"/>
      <c r="L67" s="174"/>
      <c r="M67" s="173"/>
      <c r="N67" s="173"/>
      <c r="O67" s="173"/>
      <c r="P67" s="173">
        <v>1140</v>
      </c>
      <c r="Q67" s="173"/>
      <c r="R67" s="173"/>
      <c r="S67" s="111">
        <f t="shared" si="15"/>
        <v>1140</v>
      </c>
      <c r="T67" s="111">
        <f t="shared" si="16"/>
        <v>0</v>
      </c>
      <c r="U67" s="109">
        <f>IF(J67=0,(S67+T67/EERR!$D$2/1.19),(S67+T67/EERR!$D$2/1.19)/J67)</f>
        <v>190</v>
      </c>
      <c r="V67" s="111">
        <f>T67+S67*EERR!$D$2</f>
        <v>1010040</v>
      </c>
      <c r="W67" s="27">
        <f ca="1">SUMIF(S!$A$5:$K$152,Nov!G67,S!$N$5:$N$152)</f>
        <v>6</v>
      </c>
      <c r="X67" s="176">
        <f>SUMIF(T!$A$4:$A$370,B67,T!$B$4:$B$370)+SUMIF(T!$A$4:$A$370,C67,T!$B$4:$B$370)+SUMIF(T!$A$4:$A$370,D67,T!$B$4:$B$370)+(K67+O67)+(L67+P67)*EERR!$D$2</f>
        <v>1010040</v>
      </c>
      <c r="Y67" s="177">
        <f>X67/EERR!$D$2</f>
        <v>1140</v>
      </c>
      <c r="Z67" s="183">
        <f t="shared" si="1"/>
        <v>0</v>
      </c>
      <c r="AA67" s="238">
        <f ca="1">SUMIF(S!$A$5:$K$152,Nov!G67,S!$J$5:$J$152)*EERR!$D$2*1.19</f>
        <v>1201947.5999999999</v>
      </c>
      <c r="AB67" s="238">
        <f t="shared" ca="1" si="17"/>
        <v>0</v>
      </c>
    </row>
    <row r="68" spans="1:31" x14ac:dyDescent="0.25">
      <c r="A68" s="170">
        <v>7449</v>
      </c>
      <c r="B68" s="196"/>
      <c r="C68" s="196"/>
      <c r="D68" s="196"/>
      <c r="E68" s="171" t="s">
        <v>717</v>
      </c>
      <c r="F68" s="171" t="s">
        <v>236</v>
      </c>
      <c r="G68" s="182" t="s">
        <v>720</v>
      </c>
      <c r="H68" s="172">
        <v>45234</v>
      </c>
      <c r="I68" s="172">
        <v>45237</v>
      </c>
      <c r="J68" s="171">
        <v>6</v>
      </c>
      <c r="K68" s="173"/>
      <c r="L68" s="174"/>
      <c r="M68" s="173"/>
      <c r="N68" s="173"/>
      <c r="O68" s="173"/>
      <c r="P68" s="173">
        <v>1140</v>
      </c>
      <c r="Q68" s="173"/>
      <c r="R68" s="173"/>
      <c r="S68" s="111">
        <f t="shared" ref="S68:S75" si="18">L68+N68+P68+R68</f>
        <v>1140</v>
      </c>
      <c r="T68" s="111">
        <f t="shared" ref="T68:T75" si="19">M68+O68+K68+Q68</f>
        <v>0</v>
      </c>
      <c r="U68" s="109">
        <f>IF(J68=0,(S68+T68/EERR!$D$2/1.19),(S68+T68/EERR!$D$2/1.19)/J68)</f>
        <v>190</v>
      </c>
      <c r="V68" s="111">
        <f>T68+S68*EERR!$D$2</f>
        <v>1010040</v>
      </c>
      <c r="W68" s="27">
        <f ca="1">SUMIF(S!$A$5:$K$152,Nov!G68,S!$N$5:$N$152)</f>
        <v>6</v>
      </c>
      <c r="X68" s="176">
        <f>SUMIF(T!$A$4:$A$370,B68,T!$B$4:$B$370)+SUMIF(T!$A$4:$A$370,C68,T!$B$4:$B$370)+SUMIF(T!$A$4:$A$370,D68,T!$B$4:$B$370)+(K68+O68)+(L68+P68)*EERR!$D$2</f>
        <v>1010040</v>
      </c>
      <c r="Y68" s="177">
        <f>X68/EERR!$D$2</f>
        <v>1140</v>
      </c>
      <c r="Z68" s="183">
        <f t="shared" si="1"/>
        <v>0</v>
      </c>
      <c r="AA68" s="238">
        <f ca="1">SUMIF(S!$A$5:$K$152,Nov!G68,S!$J$5:$J$152)*EERR!$D$2*1.19</f>
        <v>1201947.5999999999</v>
      </c>
      <c r="AB68" s="238">
        <f t="shared" ca="1" si="17"/>
        <v>0</v>
      </c>
    </row>
    <row r="69" spans="1:31" x14ac:dyDescent="0.25">
      <c r="A69" s="170">
        <v>1822</v>
      </c>
      <c r="B69" s="196">
        <v>1700</v>
      </c>
      <c r="C69" s="196"/>
      <c r="D69" s="196"/>
      <c r="E69" s="171" t="s">
        <v>728</v>
      </c>
      <c r="F69" s="171" t="s">
        <v>236</v>
      </c>
      <c r="G69" s="182" t="s">
        <v>727</v>
      </c>
      <c r="H69" s="172">
        <v>45238</v>
      </c>
      <c r="I69" s="172">
        <v>45241</v>
      </c>
      <c r="J69" s="171">
        <v>6</v>
      </c>
      <c r="K69" s="173"/>
      <c r="L69" s="174"/>
      <c r="M69" s="173"/>
      <c r="N69" s="173"/>
      <c r="O69" s="173"/>
      <c r="P69" s="173"/>
      <c r="Q69" s="173">
        <v>1231831</v>
      </c>
      <c r="R69" s="173"/>
      <c r="S69" s="111">
        <f t="shared" si="18"/>
        <v>0</v>
      </c>
      <c r="T69" s="111">
        <f t="shared" si="19"/>
        <v>1231831</v>
      </c>
      <c r="U69" s="109">
        <f>IF(J69=0,(S69+T69/EERR!$D$2/1.19),(S69+T69/EERR!$D$2/1.19)/J69)</f>
        <v>194.72387148990524</v>
      </c>
      <c r="V69" s="111">
        <f>T69+S69*EERR!$D$2</f>
        <v>1231831</v>
      </c>
      <c r="W69" s="27">
        <f ca="1">SUMIF(S!$A$5:$K$152,Nov!G69,S!$N$5:$N$152)</f>
        <v>6</v>
      </c>
      <c r="X69" s="176">
        <f>SUMIF(T!$A$4:$A$370,B69,T!$B$4:$B$370)+SUMIF(T!$A$4:$A$370,C69,T!$B$4:$B$370)+SUMIF(T!$A$4:$A$370,D69,T!$B$4:$B$370)+(K69+O69)+(L69+P69)*EERR!$D$2</f>
        <v>1231831</v>
      </c>
      <c r="Y69" s="177">
        <f>X69/EERR!$D$2</f>
        <v>1390.3284424379233</v>
      </c>
      <c r="Z69" s="183">
        <f t="shared" si="1"/>
        <v>0</v>
      </c>
      <c r="AA69" s="238">
        <f ca="1">SUMIF(S!$A$5:$K$152,Nov!G69,S!$J$5:$J$152)*EERR!$D$2*1.19</f>
        <v>1198974.3612000002</v>
      </c>
      <c r="AB69" s="238">
        <f t="shared" ca="1" si="17"/>
        <v>32856.638799999841</v>
      </c>
    </row>
    <row r="70" spans="1:31" x14ac:dyDescent="0.25">
      <c r="A70" s="170">
        <v>7469</v>
      </c>
      <c r="B70" s="196">
        <v>1732</v>
      </c>
      <c r="C70" s="196">
        <v>1757</v>
      </c>
      <c r="D70" s="196"/>
      <c r="E70" s="171" t="s">
        <v>745</v>
      </c>
      <c r="F70" s="171" t="s">
        <v>236</v>
      </c>
      <c r="G70" s="182" t="s">
        <v>744</v>
      </c>
      <c r="H70" s="172">
        <v>45244</v>
      </c>
      <c r="I70" s="172">
        <v>45248</v>
      </c>
      <c r="J70" s="171">
        <v>4</v>
      </c>
      <c r="K70" s="173"/>
      <c r="L70" s="174"/>
      <c r="M70" s="173"/>
      <c r="N70" s="173">
        <v>598.5</v>
      </c>
      <c r="O70" s="173"/>
      <c r="P70" s="173"/>
      <c r="Q70" s="173"/>
      <c r="R70" s="173">
        <v>199.5</v>
      </c>
      <c r="S70" s="111">
        <f t="shared" si="18"/>
        <v>798</v>
      </c>
      <c r="T70" s="111">
        <f t="shared" si="19"/>
        <v>0</v>
      </c>
      <c r="U70" s="109">
        <f>IF(J70=0,(S70+T70/EERR!$D$2/1.19),(S70+T70/EERR!$D$2/1.19)/J70)</f>
        <v>199.5</v>
      </c>
      <c r="V70" s="111">
        <f>T70+S70*EERR!$D$2</f>
        <v>707028</v>
      </c>
      <c r="W70" s="27">
        <f ca="1">SUMIF(S!$A$5:$K$152,Nov!G70,S!$N$5:$N$152)</f>
        <v>4</v>
      </c>
      <c r="X70" s="176">
        <f>SUMIF(T!$A$4:$A$370,B70,T!$B$4:$B$370)+SUMIF(T!$A$4:$A$370,C70,T!$B$4:$B$370)+SUMIF(T!$A$4:$A$370,D70,T!$B$4:$B$370)+(K70+O70)+(L70+P70)*EERR!$D$2</f>
        <v>707028</v>
      </c>
      <c r="Y70" s="177">
        <f>X70/EERR!$D$2</f>
        <v>798</v>
      </c>
      <c r="Z70" s="183"/>
      <c r="AA70" s="238">
        <f ca="1">SUMIF(S!$A$5:$K$152,Nov!G70,S!$J$5:$J$152)*EERR!$D$2*1.19</f>
        <v>841363.32</v>
      </c>
      <c r="AB70" s="238">
        <f t="shared" ca="1" si="17"/>
        <v>0</v>
      </c>
    </row>
    <row r="71" spans="1:31" x14ac:dyDescent="0.25">
      <c r="A71" s="170">
        <v>7480</v>
      </c>
      <c r="B71" s="196">
        <v>1706</v>
      </c>
      <c r="C71" s="196">
        <v>1768</v>
      </c>
      <c r="D71" s="196"/>
      <c r="E71" s="171" t="s">
        <v>752</v>
      </c>
      <c r="F71" s="171" t="s">
        <v>236</v>
      </c>
      <c r="G71" s="182" t="s">
        <v>751</v>
      </c>
      <c r="H71" s="172">
        <v>45246</v>
      </c>
      <c r="I71" s="172">
        <v>45249</v>
      </c>
      <c r="J71" s="171">
        <v>6</v>
      </c>
      <c r="K71" s="173"/>
      <c r="L71" s="174"/>
      <c r="M71" s="173"/>
      <c r="N71" s="173">
        <v>744</v>
      </c>
      <c r="O71" s="173"/>
      <c r="P71" s="173"/>
      <c r="Q71" s="173"/>
      <c r="R71" s="173">
        <v>372</v>
      </c>
      <c r="S71" s="111">
        <f t="shared" si="18"/>
        <v>1116</v>
      </c>
      <c r="T71" s="111">
        <f t="shared" si="19"/>
        <v>0</v>
      </c>
      <c r="U71" s="109">
        <f>IF(J71=0,(S71+T71/EERR!$D$2/1.19),(S71+T71/EERR!$D$2/1.19)/J71)</f>
        <v>186</v>
      </c>
      <c r="V71" s="111">
        <f>T71+S71*EERR!$D$2</f>
        <v>988776</v>
      </c>
      <c r="W71" s="27">
        <f ca="1">SUMIF(S!$A$5:$K$152,Nov!G71,S!$N$5:$N$152)</f>
        <v>6</v>
      </c>
      <c r="X71" s="176">
        <f>SUMIF(T!$A$4:$A$370,B71,T!$B$4:$B$370)+SUMIF(T!$A$4:$A$370,C71,T!$B$4:$B$370)+SUMIF(T!$A$4:$A$370,D71,T!$B$4:$B$370)+(K71+O71)+(L71+P71)*EERR!$D$2</f>
        <v>988776</v>
      </c>
      <c r="Y71" s="177">
        <f>X71/EERR!$D$2</f>
        <v>1116</v>
      </c>
      <c r="Z71" s="183"/>
      <c r="AA71" s="238">
        <f ca="1">SUMIF(S!$A$5:$K$152,Nov!G71,S!$J$5:$J$152)*EERR!$D$2*1.19</f>
        <v>1176643.44</v>
      </c>
      <c r="AB71" s="238">
        <f t="shared" ca="1" si="17"/>
        <v>0</v>
      </c>
    </row>
    <row r="72" spans="1:31" x14ac:dyDescent="0.25">
      <c r="A72" s="170">
        <v>7481</v>
      </c>
      <c r="B72" s="196">
        <v>1711</v>
      </c>
      <c r="C72" s="196">
        <v>1777</v>
      </c>
      <c r="D72" s="196">
        <v>1785</v>
      </c>
      <c r="E72" s="171" t="s">
        <v>758</v>
      </c>
      <c r="F72" s="171" t="s">
        <v>236</v>
      </c>
      <c r="G72" s="182" t="s">
        <v>757</v>
      </c>
      <c r="H72" s="172">
        <v>45248</v>
      </c>
      <c r="I72" s="172">
        <v>45252</v>
      </c>
      <c r="J72" s="171">
        <v>4</v>
      </c>
      <c r="K72" s="173"/>
      <c r="L72" s="174"/>
      <c r="M72" s="173"/>
      <c r="N72" s="173">
        <v>570</v>
      </c>
      <c r="O72" s="173"/>
      <c r="P72" s="173"/>
      <c r="Q72" s="173"/>
      <c r="R72" s="173">
        <v>190</v>
      </c>
      <c r="S72" s="111">
        <f t="shared" si="18"/>
        <v>760</v>
      </c>
      <c r="T72" s="111">
        <f t="shared" si="19"/>
        <v>0</v>
      </c>
      <c r="U72" s="109">
        <f>IF(J72=0,(S72+T72/EERR!$D$2/1.19),(S72+T72/EERR!$D$2/1.19)/J72)</f>
        <v>190</v>
      </c>
      <c r="V72" s="111">
        <f>T72+S72*EERR!$D$2</f>
        <v>673360</v>
      </c>
      <c r="W72" s="27">
        <f ca="1">SUMIF(S!$A$5:$K$152,Nov!G72,S!$N$5:$N$152)</f>
        <v>4</v>
      </c>
      <c r="X72" s="176">
        <f>SUMIF(T!$A$4:$A$370,B72,T!$B$4:$B$370)+SUMIF(T!$A$4:$A$370,C72,T!$B$4:$B$370)+SUMIF(T!$A$4:$A$370,D72,T!$B$4:$B$370)+(K72+O72)+(L72+P72)*EERR!$D$2</f>
        <v>673360</v>
      </c>
      <c r="Y72" s="177">
        <f>X72/EERR!$D$2</f>
        <v>760</v>
      </c>
      <c r="Z72" s="183"/>
      <c r="AA72" s="238">
        <f ca="1">SUMIF(S!$A$5:$K$152,Nov!G72,S!$J$5:$J$152)*EERR!$D$2*1.19</f>
        <v>801298.39999999991</v>
      </c>
      <c r="AB72" s="238">
        <f t="shared" ca="1" si="17"/>
        <v>0</v>
      </c>
    </row>
    <row r="73" spans="1:31" x14ac:dyDescent="0.25">
      <c r="A73" s="170">
        <v>7490</v>
      </c>
      <c r="B73" s="196">
        <v>1789</v>
      </c>
      <c r="C73" s="196"/>
      <c r="D73" s="196"/>
      <c r="E73" s="171" t="s">
        <v>769</v>
      </c>
      <c r="F73" s="171" t="s">
        <v>236</v>
      </c>
      <c r="G73" s="182" t="s">
        <v>768</v>
      </c>
      <c r="H73" s="172">
        <v>45251</v>
      </c>
      <c r="I73" s="172">
        <v>45253</v>
      </c>
      <c r="J73" s="171">
        <v>2</v>
      </c>
      <c r="K73" s="173"/>
      <c r="L73" s="174"/>
      <c r="M73" s="173"/>
      <c r="N73" s="173"/>
      <c r="O73" s="173"/>
      <c r="P73" s="173"/>
      <c r="Q73" s="173"/>
      <c r="R73" s="173">
        <v>399</v>
      </c>
      <c r="S73" s="111">
        <f t="shared" si="18"/>
        <v>399</v>
      </c>
      <c r="T73" s="111">
        <f t="shared" si="19"/>
        <v>0</v>
      </c>
      <c r="U73" s="109">
        <f>IF(J73=0,(S73+T73/EERR!$D$2/1.19),(S73+T73/EERR!$D$2/1.19)/J73)</f>
        <v>199.5</v>
      </c>
      <c r="V73" s="111">
        <f>T73+S73*EERR!$D$2</f>
        <v>353514</v>
      </c>
      <c r="W73" s="27">
        <f ca="1">SUMIF(S!$A$5:$K$152,Nov!G73,S!$N$5:$N$152)</f>
        <v>2</v>
      </c>
      <c r="X73" s="176">
        <f>SUMIF(T!$A$4:$A$370,B73,T!$B$4:$B$370)+SUMIF(T!$A$4:$A$370,C73,T!$B$4:$B$370)+SUMIF(T!$A$4:$A$370,D73,T!$B$4:$B$370)+(K73+O73)+(L73+P73)*EERR!$D$2</f>
        <v>353514</v>
      </c>
      <c r="Y73" s="177">
        <f>X73/EERR!$D$2</f>
        <v>399</v>
      </c>
      <c r="Z73" s="183">
        <f t="shared" si="1"/>
        <v>0</v>
      </c>
      <c r="AA73" s="238">
        <f ca="1">SUMIF(S!$A$5:$K$152,Nov!G73,S!$J$5:$J$152)*EERR!$D$2*1.19</f>
        <v>420681.66</v>
      </c>
      <c r="AB73" s="238">
        <f t="shared" ca="1" si="17"/>
        <v>0</v>
      </c>
      <c r="AE73" s="27">
        <f>+O73/750</f>
        <v>0</v>
      </c>
    </row>
    <row r="74" spans="1:31" x14ac:dyDescent="0.25">
      <c r="A74" s="170">
        <v>7493</v>
      </c>
      <c r="B74" s="196">
        <v>1725</v>
      </c>
      <c r="C74" s="196">
        <v>1797</v>
      </c>
      <c r="D74" s="196"/>
      <c r="E74" s="171" t="s">
        <v>772</v>
      </c>
      <c r="F74" s="171" t="s">
        <v>236</v>
      </c>
      <c r="G74" s="182" t="s">
        <v>771</v>
      </c>
      <c r="H74" s="172">
        <v>45252</v>
      </c>
      <c r="I74" s="172">
        <v>45256</v>
      </c>
      <c r="J74" s="171">
        <v>4</v>
      </c>
      <c r="K74" s="173"/>
      <c r="L74" s="174"/>
      <c r="M74" s="173"/>
      <c r="N74" s="173">
        <v>598.5</v>
      </c>
      <c r="O74" s="173"/>
      <c r="P74" s="173"/>
      <c r="Q74" s="173"/>
      <c r="R74" s="173">
        <v>199.5</v>
      </c>
      <c r="S74" s="111">
        <f t="shared" si="18"/>
        <v>798</v>
      </c>
      <c r="T74" s="111">
        <f t="shared" si="19"/>
        <v>0</v>
      </c>
      <c r="U74" s="109">
        <f>IF(J74=0,(S74+T74/EERR!$D$2/1.19),(S74+T74/EERR!$D$2/1.19)/J74)</f>
        <v>199.5</v>
      </c>
      <c r="V74" s="111">
        <f>T74+S74*EERR!$D$2</f>
        <v>707028</v>
      </c>
      <c r="W74" s="27">
        <f ca="1">SUMIF(S!$A$5:$K$152,Nov!G74,S!$N$5:$N$152)</f>
        <v>4</v>
      </c>
      <c r="X74" s="176">
        <f>SUMIF(T!$A$4:$A$370,B74,T!$B$4:$B$370)+SUMIF(T!$A$4:$A$370,C74,T!$B$4:$B$370)+SUMIF(T!$A$4:$A$370,D74,T!$B$4:$B$370)+(K74+O74)+(L74+P74)*EERR!$D$2</f>
        <v>707028</v>
      </c>
      <c r="Y74" s="177">
        <f>X74/EERR!$D$2</f>
        <v>798</v>
      </c>
      <c r="Z74" s="183">
        <f t="shared" si="1"/>
        <v>0</v>
      </c>
      <c r="AA74" s="238">
        <f ca="1">SUMIF(S!$A$5:$K$152,Nov!G74,S!$J$5:$J$152)*EERR!$D$2*1.19</f>
        <v>841363.32</v>
      </c>
      <c r="AB74" s="238">
        <f t="shared" ca="1" si="17"/>
        <v>0</v>
      </c>
      <c r="AE74" s="27">
        <f t="shared" ref="AE74:AE78" si="20">+O74/750</f>
        <v>0</v>
      </c>
    </row>
    <row r="75" spans="1:31" x14ac:dyDescent="0.25">
      <c r="A75" s="170">
        <v>7497</v>
      </c>
      <c r="B75" s="196">
        <v>1800</v>
      </c>
      <c r="C75" s="196"/>
      <c r="D75" s="196"/>
      <c r="E75" s="171" t="s">
        <v>776</v>
      </c>
      <c r="F75" s="171" t="s">
        <v>236</v>
      </c>
      <c r="G75" s="182" t="s">
        <v>775</v>
      </c>
      <c r="H75" s="172">
        <v>45253</v>
      </c>
      <c r="I75" s="172">
        <v>45259</v>
      </c>
      <c r="J75" s="171">
        <v>6</v>
      </c>
      <c r="K75" s="173"/>
      <c r="L75" s="174"/>
      <c r="M75" s="173"/>
      <c r="N75" s="173"/>
      <c r="O75" s="173"/>
      <c r="P75" s="173"/>
      <c r="Q75" s="173"/>
      <c r="R75" s="173">
        <v>1140</v>
      </c>
      <c r="S75" s="111">
        <f t="shared" si="18"/>
        <v>1140</v>
      </c>
      <c r="T75" s="111">
        <f t="shared" si="19"/>
        <v>0</v>
      </c>
      <c r="U75" s="109">
        <f>IF(J75=0,(S75+T75/EERR!$D$2/1.19),(S75+T75/EERR!$D$2/1.19)/J75)</f>
        <v>190</v>
      </c>
      <c r="V75" s="111">
        <f>T75+S75*EERR!$D$2</f>
        <v>1010040</v>
      </c>
      <c r="W75" s="27">
        <f ca="1">SUMIF(S!$A$5:$K$152,Nov!G75,S!$N$5:$N$152)</f>
        <v>6</v>
      </c>
      <c r="X75" s="176">
        <f>SUMIF(T!$A$4:$A$370,B75,T!$B$4:$B$370)+SUMIF(T!$A$4:$A$370,C75,T!$B$4:$B$370)+SUMIF(T!$A$4:$A$370,D75,T!$B$4:$B$370)+(K75+O75)+(L75+P75)*EERR!$D$2</f>
        <v>1010040</v>
      </c>
      <c r="Y75" s="177">
        <f>X75/EERR!$D$2</f>
        <v>1140</v>
      </c>
      <c r="Z75" s="183">
        <f t="shared" si="1"/>
        <v>0</v>
      </c>
      <c r="AA75" s="238">
        <f ca="1">SUMIF(S!$A$5:$K$152,Nov!G75,S!$J$5:$J$152)*EERR!$D$2*1.19</f>
        <v>1201947.5999999999</v>
      </c>
      <c r="AB75" s="238">
        <f t="shared" ca="1" si="17"/>
        <v>0</v>
      </c>
      <c r="AE75" s="27">
        <f t="shared" si="20"/>
        <v>0</v>
      </c>
    </row>
    <row r="76" spans="1:31" x14ac:dyDescent="0.25">
      <c r="A76" s="170">
        <v>7501</v>
      </c>
      <c r="B76" s="196">
        <v>1754</v>
      </c>
      <c r="C76" s="196">
        <v>1811</v>
      </c>
      <c r="D76" s="196"/>
      <c r="E76" s="171" t="s">
        <v>785</v>
      </c>
      <c r="F76" s="171" t="s">
        <v>236</v>
      </c>
      <c r="G76" s="182" t="s">
        <v>784</v>
      </c>
      <c r="H76" s="172">
        <v>45256</v>
      </c>
      <c r="I76" s="172">
        <v>45259</v>
      </c>
      <c r="J76" s="171">
        <v>3</v>
      </c>
      <c r="K76" s="173"/>
      <c r="L76" s="174"/>
      <c r="M76" s="173"/>
      <c r="N76" s="173">
        <v>399</v>
      </c>
      <c r="O76" s="173"/>
      <c r="P76" s="173"/>
      <c r="Q76" s="173"/>
      <c r="R76" s="173">
        <v>199.5</v>
      </c>
      <c r="S76" s="111">
        <f t="shared" ref="S76" si="21">L76+N76+P76+R76</f>
        <v>598.5</v>
      </c>
      <c r="T76" s="111">
        <f t="shared" ref="T76" si="22">M76+O76+K76+Q76</f>
        <v>0</v>
      </c>
      <c r="U76" s="109">
        <f>IF(J76=0,(S76+T76/EERR!$D$2/1.19),(S76+T76/EERR!$D$2/1.19)/J76)</f>
        <v>199.5</v>
      </c>
      <c r="V76" s="111">
        <f>T76+S76*EERR!$D$2</f>
        <v>530271</v>
      </c>
      <c r="W76" s="27">
        <f ca="1">SUMIF(S!$A$5:$K$152,Nov!G76,S!$N$5:$N$152)</f>
        <v>3</v>
      </c>
      <c r="X76" s="176">
        <f>SUMIF(T!$A$4:$A$370,B76,T!$B$4:$B$370)+SUMIF(T!$A$4:$A$370,C76,T!$B$4:$B$370)+SUMIF(T!$A$4:$A$370,D76,T!$B$4:$B$370)+(K76+O76)+(L76+P76)*EERR!$D$2</f>
        <v>530271</v>
      </c>
      <c r="Y76" s="177">
        <f>X76/EERR!$D$2</f>
        <v>598.5</v>
      </c>
      <c r="Z76" s="183">
        <f t="shared" si="1"/>
        <v>0</v>
      </c>
      <c r="AA76" s="238">
        <f ca="1">SUMIF(S!$A$5:$K$152,Nov!G76,S!$J$5:$J$152)*EERR!$D$2*1.19</f>
        <v>631022.49</v>
      </c>
      <c r="AB76" s="238">
        <f t="shared" ca="1" si="17"/>
        <v>0</v>
      </c>
      <c r="AE76" s="27">
        <f t="shared" si="20"/>
        <v>0</v>
      </c>
    </row>
    <row r="77" spans="1:31" x14ac:dyDescent="0.25">
      <c r="A77" s="170"/>
      <c r="B77" s="196"/>
      <c r="C77" s="196"/>
      <c r="D77" s="196"/>
      <c r="E77" s="171"/>
      <c r="F77" s="171"/>
      <c r="G77" s="182"/>
      <c r="H77" s="172"/>
      <c r="I77" s="172"/>
      <c r="J77" s="171"/>
      <c r="K77" s="173"/>
      <c r="L77" s="174"/>
      <c r="M77" s="173"/>
      <c r="N77" s="173"/>
      <c r="O77" s="173"/>
      <c r="P77" s="173"/>
      <c r="Q77" s="173"/>
      <c r="R77" s="173"/>
      <c r="S77" s="111"/>
      <c r="T77" s="111"/>
      <c r="U77" s="109">
        <f>IF(J77=0,(S77+T77/EERR!$D$2/1.19),(S77+T77/EERR!$D$2/1.19)/J77)</f>
        <v>0</v>
      </c>
      <c r="V77" s="111">
        <f>T77+S77*EERR!$D$2</f>
        <v>0</v>
      </c>
      <c r="W77" s="27">
        <f ca="1">SUMIF(S!$A$5:$K$152,Nov!G77,S!$N$5:$N$152)</f>
        <v>0</v>
      </c>
      <c r="X77" s="176">
        <f>SUMIF(T!$A$4:$A$370,B77,T!$B$4:$B$370)+SUMIF(T!$A$4:$A$370,C77,T!$B$4:$B$370)+SUMIF(T!$A$4:$A$370,D77,T!$B$4:$B$370)+(K77+O77)+(L77+P77)*EERR!$D$2</f>
        <v>0</v>
      </c>
      <c r="Y77" s="177">
        <f>X77/EERR!$D$2</f>
        <v>0</v>
      </c>
      <c r="Z77" s="183">
        <f t="shared" si="1"/>
        <v>0</v>
      </c>
      <c r="AA77" s="238">
        <f ca="1">SUMIF(S!$A$5:$K$152,Nov!G77,S!$J$5:$J$152)*EERR!$D$2*1.19</f>
        <v>0</v>
      </c>
      <c r="AB77" s="238">
        <f t="shared" ca="1" si="17"/>
        <v>0</v>
      </c>
      <c r="AE77" s="27">
        <f t="shared" si="20"/>
        <v>0</v>
      </c>
    </row>
    <row r="78" spans="1:31" x14ac:dyDescent="0.25">
      <c r="A78" s="170"/>
      <c r="B78" s="196"/>
      <c r="C78" s="196"/>
      <c r="D78" s="196"/>
      <c r="E78" s="171"/>
      <c r="F78" s="171"/>
      <c r="G78" s="182"/>
      <c r="H78" s="172"/>
      <c r="I78" s="172"/>
      <c r="J78" s="171"/>
      <c r="K78" s="173"/>
      <c r="L78" s="174"/>
      <c r="M78" s="173"/>
      <c r="N78" s="173"/>
      <c r="O78" s="173"/>
      <c r="P78" s="173"/>
      <c r="Q78" s="173"/>
      <c r="R78" s="173"/>
      <c r="S78" s="111"/>
      <c r="T78" s="111"/>
      <c r="U78" s="109">
        <f>IF(J78=0,(S78+T78/EERR!$D$2/1.19),(S78+T78/EERR!$D$2/1.19)/J78)</f>
        <v>0</v>
      </c>
      <c r="V78" s="111">
        <f>T78+S78*EERR!$D$2</f>
        <v>0</v>
      </c>
      <c r="W78" s="27">
        <f ca="1">SUMIF(S!$A$5:$K$152,Nov!G78,S!$N$5:$N$152)</f>
        <v>0</v>
      </c>
      <c r="X78" s="176">
        <f>SUMIF(T!$A$4:$A$370,B78,T!$B$4:$B$370)+SUMIF(T!$A$4:$A$370,C78,T!$B$4:$B$370)+SUMIF(T!$A$4:$A$370,D78,T!$B$4:$B$370)+(K78+O78)+(L78+P78)*EERR!$D$2</f>
        <v>0</v>
      </c>
      <c r="Y78" s="177">
        <f>X78/EERR!$D$2</f>
        <v>0</v>
      </c>
      <c r="Z78" s="183">
        <f t="shared" si="1"/>
        <v>0</v>
      </c>
      <c r="AA78" s="238">
        <f ca="1">SUMIF(S!$A$5:$K$152,Nov!G78,S!$J$5:$J$152)*EERR!$D$2*1.19</f>
        <v>0</v>
      </c>
      <c r="AB78" s="238">
        <f t="shared" ca="1" si="17"/>
        <v>0</v>
      </c>
      <c r="AE78" s="27">
        <f t="shared" si="20"/>
        <v>0</v>
      </c>
    </row>
    <row r="79" spans="1:31" x14ac:dyDescent="0.25">
      <c r="A79" s="170"/>
      <c r="B79" s="196"/>
      <c r="C79" s="196"/>
      <c r="D79" s="196"/>
      <c r="E79" s="171"/>
      <c r="F79" s="171"/>
      <c r="G79" s="182"/>
      <c r="H79" s="172"/>
      <c r="I79" s="172"/>
      <c r="J79" s="171"/>
      <c r="K79" s="173"/>
      <c r="L79" s="174"/>
      <c r="M79" s="173"/>
      <c r="N79" s="173"/>
      <c r="O79" s="173"/>
      <c r="P79" s="173"/>
      <c r="Q79" s="173"/>
      <c r="R79" s="173"/>
      <c r="S79" s="111"/>
      <c r="T79" s="111"/>
      <c r="U79" s="109">
        <f>IF(J79=0,(S79+T79/EERR!$D$2/1.19),(S79+T79/EERR!$D$2/1.19)/J79)</f>
        <v>0</v>
      </c>
      <c r="V79" s="111">
        <f>T79+S79*EERR!$D$2</f>
        <v>0</v>
      </c>
      <c r="W79" s="27">
        <f ca="1">SUMIF(S!$A$5:$K$152,Nov!G79,S!$N$5:$N$152)</f>
        <v>0</v>
      </c>
      <c r="X79" s="176">
        <f>SUMIF(T!$A$4:$A$370,B79,T!$B$4:$B$370)+SUMIF(T!$A$4:$A$370,C79,T!$B$4:$B$370)+SUMIF(T!$A$4:$A$370,D79,T!$B$4:$B$370)+(K79+O79)+(L79+P79)*EERR!$D$2</f>
        <v>0</v>
      </c>
      <c r="Y79" s="177">
        <f>X79/EERR!$D$2</f>
        <v>0</v>
      </c>
      <c r="Z79" s="183">
        <f t="shared" si="1"/>
        <v>0</v>
      </c>
      <c r="AA79" s="238">
        <f ca="1">SUMIF(S!$A$5:$K$152,Nov!G79,S!$J$5:$J$152)*EERR!$D$2*1.19</f>
        <v>0</v>
      </c>
      <c r="AB79" s="238">
        <f t="shared" ca="1" si="17"/>
        <v>0</v>
      </c>
    </row>
    <row r="80" spans="1:31" x14ac:dyDescent="0.25">
      <c r="A80" s="170"/>
      <c r="B80" s="196"/>
      <c r="C80" s="196"/>
      <c r="D80" s="196"/>
      <c r="E80" s="171"/>
      <c r="F80" s="171"/>
      <c r="G80" s="182"/>
      <c r="H80" s="172"/>
      <c r="I80" s="172"/>
      <c r="J80" s="171"/>
      <c r="K80" s="173"/>
      <c r="L80" s="174"/>
      <c r="M80" s="173"/>
      <c r="N80" s="173"/>
      <c r="O80" s="173"/>
      <c r="P80" s="173"/>
      <c r="Q80" s="173"/>
      <c r="R80" s="173"/>
      <c r="S80" s="111"/>
      <c r="T80" s="111"/>
      <c r="U80" s="109">
        <f>IF(J80=0,(S80+T80/EERR!$D$2/1.19),(S80+T80/EERR!$D$2/1.19)/J80)</f>
        <v>0</v>
      </c>
      <c r="V80" s="111">
        <f>T80+S80*EERR!$D$2</f>
        <v>0</v>
      </c>
      <c r="W80" s="27">
        <f ca="1">SUMIF(S!$A$5:$K$152,Nov!G80,S!$N$5:$N$152)</f>
        <v>0</v>
      </c>
      <c r="X80" s="176">
        <f>SUMIF(T!$A$4:$A$370,B80,T!$B$4:$B$370)+SUMIF(T!$A$4:$A$370,C80,T!$B$4:$B$370)+SUMIF(T!$A$4:$A$370,D80,T!$B$4:$B$370)+(K80+O80)+(L80+P80)*EERR!$D$2</f>
        <v>0</v>
      </c>
      <c r="Y80" s="177">
        <f>X80/EERR!$D$2</f>
        <v>0</v>
      </c>
      <c r="Z80" s="183">
        <f t="shared" si="1"/>
        <v>0</v>
      </c>
      <c r="AA80" s="238">
        <f ca="1">SUMIF(S!$A$5:$K$152,Nov!G80,S!$J$5:$J$152)*EERR!$D$2*1.19</f>
        <v>0</v>
      </c>
      <c r="AB80" s="238">
        <f t="shared" ca="1" si="17"/>
        <v>0</v>
      </c>
    </row>
    <row r="81" spans="1:28" x14ac:dyDescent="0.25">
      <c r="A81" s="170"/>
      <c r="B81" s="196"/>
      <c r="C81" s="196"/>
      <c r="D81" s="196"/>
      <c r="E81" s="171"/>
      <c r="F81" s="171"/>
      <c r="G81" s="182"/>
      <c r="H81" s="172"/>
      <c r="I81" s="172"/>
      <c r="J81" s="171"/>
      <c r="K81" s="173"/>
      <c r="L81" s="174"/>
      <c r="M81" s="173"/>
      <c r="N81" s="173"/>
      <c r="O81" s="173"/>
      <c r="P81" s="173"/>
      <c r="Q81" s="173"/>
      <c r="R81" s="173"/>
      <c r="S81" s="111"/>
      <c r="T81" s="111"/>
      <c r="U81" s="109">
        <f>IF(J81=0,(S81+T81/EERR!$D$2/1.19),(S81+T81/EERR!$D$2/1.19)/J81)</f>
        <v>0</v>
      </c>
      <c r="V81" s="111">
        <f>T81+S81*EERR!$D$2</f>
        <v>0</v>
      </c>
      <c r="W81" s="27">
        <f ca="1">SUMIF(S!$A$5:$K$152,Nov!G81,S!$N$5:$N$152)</f>
        <v>0</v>
      </c>
      <c r="X81" s="176">
        <f>SUMIF(T!$A$4:$A$370,B81,T!$B$4:$B$370)+SUMIF(T!$A$4:$A$370,C81,T!$B$4:$B$370)+SUMIF(T!$A$4:$A$370,D81,T!$B$4:$B$370)+(K81+O81)+(L81+P81)*EERR!$D$2</f>
        <v>0</v>
      </c>
      <c r="Y81" s="177">
        <f>X81/EERR!$D$2</f>
        <v>0</v>
      </c>
      <c r="Z81" s="183">
        <f t="shared" si="1"/>
        <v>0</v>
      </c>
      <c r="AA81" s="238"/>
      <c r="AB81" s="238"/>
    </row>
    <row r="82" spans="1:28" x14ac:dyDescent="0.25">
      <c r="A82" s="170"/>
      <c r="B82" s="196"/>
      <c r="C82" s="196"/>
      <c r="D82" s="196"/>
      <c r="E82" s="171"/>
      <c r="F82" s="171"/>
      <c r="G82" s="182"/>
      <c r="H82" s="172"/>
      <c r="I82" s="172"/>
      <c r="J82" s="171"/>
      <c r="K82" s="173"/>
      <c r="L82" s="174"/>
      <c r="M82" s="173"/>
      <c r="N82" s="173"/>
      <c r="O82" s="173"/>
      <c r="P82" s="173"/>
      <c r="Q82" s="173"/>
      <c r="R82" s="173"/>
      <c r="S82" s="111"/>
      <c r="T82" s="111"/>
      <c r="U82" s="109">
        <f>IF(J82=0,(S82+T82/EERR!$D$2/1.19),(S82+T82/EERR!$D$2/1.19)/J82)</f>
        <v>0</v>
      </c>
      <c r="V82" s="111">
        <f>T82+S82*EERR!$D$2</f>
        <v>0</v>
      </c>
      <c r="W82" s="27">
        <f ca="1">SUMIF(S!$A$5:$K$152,Nov!G82,S!$N$5:$N$152)</f>
        <v>0</v>
      </c>
      <c r="X82" s="176">
        <f>SUMIF(T!$A$4:$A$370,B82,T!$B$4:$B$370)+SUMIF(T!$A$4:$A$370,C82,T!$B$4:$B$370)+SUMIF(T!$A$4:$A$370,D82,T!$B$4:$B$370)+(K82+O82)+(L82+P82)*EERR!$D$2</f>
        <v>0</v>
      </c>
      <c r="Y82" s="177">
        <f>X82/EERR!$D$2</f>
        <v>0</v>
      </c>
      <c r="Z82" s="183">
        <f t="shared" si="1"/>
        <v>0</v>
      </c>
      <c r="AA82" s="238"/>
      <c r="AB82" s="238"/>
    </row>
    <row r="83" spans="1:28" x14ac:dyDescent="0.25">
      <c r="A83" s="170"/>
      <c r="B83" s="196"/>
      <c r="C83" s="196"/>
      <c r="D83" s="196"/>
      <c r="E83" s="171"/>
      <c r="F83" s="171"/>
      <c r="G83" s="182"/>
      <c r="H83" s="172"/>
      <c r="I83" s="172"/>
      <c r="J83" s="171"/>
      <c r="K83" s="173"/>
      <c r="L83" s="174"/>
      <c r="M83" s="173"/>
      <c r="N83" s="173"/>
      <c r="O83" s="173"/>
      <c r="P83" s="173"/>
      <c r="Q83" s="173"/>
      <c r="R83" s="173"/>
      <c r="S83" s="111"/>
      <c r="T83" s="111"/>
      <c r="U83" s="109">
        <f>IF(J83=0,(S83+T83/EERR!$D$2/1.19),(S83+T83/EERR!$D$2/1.19)/J83)</f>
        <v>0</v>
      </c>
      <c r="V83" s="111">
        <f>T83+S83*EERR!$D$2</f>
        <v>0</v>
      </c>
      <c r="W83" s="27">
        <f ca="1">SUMIF(S!$A$5:$K$152,Nov!G83,S!$N$5:$N$152)</f>
        <v>0</v>
      </c>
      <c r="X83" s="176">
        <f>SUMIF(T!$A$4:$A$370,B83,T!$B$4:$B$370)+SUMIF(T!$A$4:$A$370,C83,T!$B$4:$B$370)+SUMIF(T!$A$4:$A$370,D83,T!$B$4:$B$370)+(K83+O83)+(L83+P83)*EERR!$D$2</f>
        <v>0</v>
      </c>
      <c r="Y83" s="177">
        <f>X83/EERR!$D$2</f>
        <v>0</v>
      </c>
      <c r="Z83" s="183">
        <f t="shared" si="1"/>
        <v>0</v>
      </c>
      <c r="AA83" s="238"/>
      <c r="AB83" s="238"/>
    </row>
    <row r="84" spans="1:28" x14ac:dyDescent="0.25">
      <c r="A84" s="170"/>
      <c r="B84" s="196"/>
      <c r="C84" s="196"/>
      <c r="D84" s="196"/>
      <c r="E84" s="171"/>
      <c r="F84" s="171"/>
      <c r="G84" s="182"/>
      <c r="H84" s="172"/>
      <c r="I84" s="172"/>
      <c r="J84" s="171"/>
      <c r="K84" s="173"/>
      <c r="L84" s="174"/>
      <c r="M84" s="173"/>
      <c r="N84" s="173"/>
      <c r="O84" s="173"/>
      <c r="P84" s="173"/>
      <c r="Q84" s="173"/>
      <c r="R84" s="173"/>
      <c r="S84" s="111"/>
      <c r="T84" s="111"/>
      <c r="U84" s="109">
        <f>IF(J84=0,(S84+T84/EERR!$D$2/1.19),(S84+T84/EERR!$D$2/1.19)/J84)</f>
        <v>0</v>
      </c>
      <c r="V84" s="111">
        <f>T84+S84*EERR!$D$2</f>
        <v>0</v>
      </c>
      <c r="W84" s="27">
        <f ca="1">SUMIF(S!$A$5:$K$152,Nov!G84,S!$N$5:$N$152)</f>
        <v>0</v>
      </c>
      <c r="X84" s="176">
        <f>SUMIF(T!$A$4:$A$370,B84,T!$B$4:$B$370)+SUMIF(T!$A$4:$A$370,C84,T!$B$4:$B$370)+SUMIF(T!$A$4:$A$370,D84,T!$B$4:$B$370)+(K84+O84)+(L84+P84)*EERR!$D$2</f>
        <v>0</v>
      </c>
      <c r="Y84" s="177">
        <f>X84/EERR!$D$2</f>
        <v>0</v>
      </c>
      <c r="Z84" s="183">
        <f t="shared" si="1"/>
        <v>0</v>
      </c>
      <c r="AA84" s="238"/>
      <c r="AB84" s="238"/>
    </row>
    <row r="85" spans="1:28" x14ac:dyDescent="0.25">
      <c r="A85" s="170"/>
      <c r="B85" s="196"/>
      <c r="C85" s="196"/>
      <c r="D85" s="196"/>
      <c r="E85" s="171"/>
      <c r="F85" s="171"/>
      <c r="G85" s="182"/>
      <c r="H85" s="172"/>
      <c r="I85" s="172"/>
      <c r="J85" s="171"/>
      <c r="K85" s="173"/>
      <c r="L85" s="174"/>
      <c r="M85" s="173"/>
      <c r="N85" s="173"/>
      <c r="O85" s="173"/>
      <c r="P85" s="173"/>
      <c r="Q85" s="173"/>
      <c r="R85" s="173"/>
      <c r="S85" s="111"/>
      <c r="T85" s="111"/>
      <c r="U85" s="109">
        <f>IF(J85=0,(S85+T85/EERR!$D$2/1.19),(S85+T85/EERR!$D$2/1.19)/J85)</f>
        <v>0</v>
      </c>
      <c r="V85" s="111">
        <f>T85+S85*EERR!$D$2</f>
        <v>0</v>
      </c>
      <c r="W85" s="27">
        <f ca="1">SUMIF(S!$A$5:$K$152,Nov!G85,S!$N$5:$N$152)</f>
        <v>0</v>
      </c>
      <c r="X85" s="176">
        <f>SUMIF(T!$A$4:$A$370,B85,T!$B$4:$B$370)+SUMIF(T!$A$4:$A$370,C85,T!$B$4:$B$370)+SUMIF(T!$A$4:$A$370,D85,T!$B$4:$B$370)+(K85+O85)+(L85+P85)*EERR!$D$2</f>
        <v>0</v>
      </c>
      <c r="Y85" s="177">
        <f>X85/EERR!$D$2</f>
        <v>0</v>
      </c>
      <c r="Z85" s="183">
        <f t="shared" si="1"/>
        <v>0</v>
      </c>
      <c r="AA85" s="238"/>
      <c r="AB85" s="238"/>
    </row>
    <row r="86" spans="1:28" x14ac:dyDescent="0.25">
      <c r="A86" s="170"/>
      <c r="B86" s="196"/>
      <c r="C86" s="196"/>
      <c r="D86" s="196"/>
      <c r="E86" s="171"/>
      <c r="F86" s="171"/>
      <c r="G86" s="182"/>
      <c r="H86" s="172"/>
      <c r="I86" s="172"/>
      <c r="J86" s="171"/>
      <c r="K86" s="173"/>
      <c r="L86" s="174"/>
      <c r="M86" s="173"/>
      <c r="N86" s="173"/>
      <c r="O86" s="173"/>
      <c r="P86" s="173"/>
      <c r="Q86" s="173"/>
      <c r="R86" s="173"/>
      <c r="S86" s="111"/>
      <c r="T86" s="111"/>
      <c r="U86" s="109">
        <f>IF(J86=0,(S86+T86/EERR!$D$2/1.19),(S86+T86/EERR!$D$2/1.19)/J86)</f>
        <v>0</v>
      </c>
      <c r="V86" s="111">
        <f>T86+S86*EERR!$D$2</f>
        <v>0</v>
      </c>
      <c r="W86" s="27">
        <f ca="1">SUMIF(S!$A$5:$K$152,Nov!G86,S!$N$5:$N$152)</f>
        <v>0</v>
      </c>
      <c r="X86" s="176">
        <f>SUMIF(T!$A$4:$A$370,B86,T!$B$4:$B$370)+SUMIF(T!$A$4:$A$370,C86,T!$B$4:$B$370)+SUMIF(T!$A$4:$A$370,D86,T!$B$4:$B$370)+(K86+O86)+(L86+P86)*EERR!$D$2</f>
        <v>0</v>
      </c>
      <c r="Y86" s="177">
        <f>X86/EERR!$D$2</f>
        <v>0</v>
      </c>
      <c r="Z86" s="183">
        <f t="shared" si="1"/>
        <v>0</v>
      </c>
      <c r="AA86" s="238"/>
      <c r="AB86" s="238"/>
    </row>
    <row r="87" spans="1:28" x14ac:dyDescent="0.25">
      <c r="A87" s="170"/>
      <c r="B87" s="196"/>
      <c r="C87" s="196"/>
      <c r="D87" s="196"/>
      <c r="E87" s="171"/>
      <c r="F87" s="171"/>
      <c r="G87" s="182"/>
      <c r="H87" s="172"/>
      <c r="I87" s="172"/>
      <c r="J87" s="171"/>
      <c r="K87" s="173"/>
      <c r="L87" s="174"/>
      <c r="M87" s="173"/>
      <c r="N87" s="173"/>
      <c r="O87" s="173"/>
      <c r="P87" s="173"/>
      <c r="Q87" s="173"/>
      <c r="R87" s="173"/>
      <c r="S87" s="111"/>
      <c r="T87" s="111"/>
      <c r="U87" s="109">
        <f>IF(J87=0,(S87+T87/EERR!$D$2/1.19),(S87+T87/EERR!$D$2/1.19)/J87)</f>
        <v>0</v>
      </c>
      <c r="V87" s="111">
        <f>T87+S87*EERR!$D$2</f>
        <v>0</v>
      </c>
      <c r="W87" s="27">
        <f ca="1">SUMIF(S!$A$5:$K$152,Nov!G87,S!$N$5:$N$152)</f>
        <v>0</v>
      </c>
      <c r="X87" s="176">
        <f>SUMIF(T!$A$4:$A$370,B87,T!$B$4:$B$370)+SUMIF(T!$A$4:$A$370,C87,T!$B$4:$B$370)+SUMIF(T!$A$4:$A$370,D87,T!$B$4:$B$370)+(K87+O87)+(L87+P87)*EERR!$D$2</f>
        <v>0</v>
      </c>
      <c r="Y87" s="177">
        <f>X87/EERR!$D$2</f>
        <v>0</v>
      </c>
      <c r="Z87" s="183">
        <f t="shared" si="1"/>
        <v>0</v>
      </c>
      <c r="AA87" s="238"/>
      <c r="AB87" s="238"/>
    </row>
    <row r="88" spans="1:28" x14ac:dyDescent="0.25">
      <c r="A88" s="170"/>
      <c r="B88" s="196"/>
      <c r="C88" s="196"/>
      <c r="D88" s="196"/>
      <c r="E88" s="171"/>
      <c r="F88" s="171"/>
      <c r="G88" s="182"/>
      <c r="H88" s="172"/>
      <c r="I88" s="172"/>
      <c r="J88" s="171"/>
      <c r="K88" s="173"/>
      <c r="L88" s="174"/>
      <c r="M88" s="173"/>
      <c r="N88" s="173"/>
      <c r="O88" s="173"/>
      <c r="P88" s="173"/>
      <c r="Q88" s="173"/>
      <c r="R88" s="173"/>
      <c r="S88" s="111"/>
      <c r="T88" s="111"/>
      <c r="U88" s="109">
        <f>IF(J88=0,(S88+T88/EERR!$D$2/1.19),(S88+T88/EERR!$D$2/1.19)/J88)</f>
        <v>0</v>
      </c>
      <c r="V88" s="111">
        <f>T88+S88*EERR!$D$2</f>
        <v>0</v>
      </c>
      <c r="W88" s="27">
        <f ca="1">SUMIF(S!$A$5:$K$152,Nov!G88,S!$N$5:$N$152)</f>
        <v>0</v>
      </c>
      <c r="X88" s="176">
        <f>SUMIF(T!$A$4:$A$370,B88,T!$B$4:$B$370)+SUMIF(T!$A$4:$A$370,C88,T!$B$4:$B$370)+SUMIF(T!$A$4:$A$370,D88,T!$B$4:$B$370)+(K88+O88)+(L88+P88)*EERR!$D$2</f>
        <v>0</v>
      </c>
      <c r="Y88" s="177">
        <f>X88/EERR!$D$2</f>
        <v>0</v>
      </c>
      <c r="Z88" s="183">
        <f t="shared" si="1"/>
        <v>0</v>
      </c>
      <c r="AA88" s="238"/>
      <c r="AB88" s="238"/>
    </row>
    <row r="89" spans="1:28" x14ac:dyDescent="0.25">
      <c r="A89" s="170"/>
      <c r="B89" s="196"/>
      <c r="C89" s="196"/>
      <c r="D89" s="196"/>
      <c r="E89" s="171"/>
      <c r="F89" s="171"/>
      <c r="G89" s="182"/>
      <c r="H89" s="172"/>
      <c r="I89" s="172"/>
      <c r="J89" s="171"/>
      <c r="K89" s="173"/>
      <c r="L89" s="174"/>
      <c r="M89" s="173"/>
      <c r="N89" s="173"/>
      <c r="O89" s="173"/>
      <c r="P89" s="173"/>
      <c r="Q89" s="173"/>
      <c r="R89" s="173"/>
      <c r="S89" s="111"/>
      <c r="T89" s="111"/>
      <c r="U89" s="109">
        <f>IF(J89=0,(S89+T89/EERR!$D$2/1.19),(S89+T89/EERR!$D$2/1.19)/J89)</f>
        <v>0</v>
      </c>
      <c r="V89" s="111">
        <f>T89+S89*EERR!$D$2</f>
        <v>0</v>
      </c>
      <c r="W89" s="27">
        <f ca="1">SUMIF(S!$A$5:$K$152,Nov!G89,S!$N$5:$N$152)</f>
        <v>0</v>
      </c>
      <c r="X89" s="176">
        <f>SUMIF(T!$A$4:$A$370,B89,T!$B$4:$B$370)+SUMIF(T!$A$4:$A$370,C89,T!$B$4:$B$370)+SUMIF(T!$A$4:$A$370,D89,T!$B$4:$B$370)+(K89+O89)+(L89+P89)*EERR!$D$2</f>
        <v>0</v>
      </c>
      <c r="Y89" s="177">
        <f>X89/EERR!$D$2</f>
        <v>0</v>
      </c>
      <c r="Z89" s="183">
        <f t="shared" si="1"/>
        <v>0</v>
      </c>
      <c r="AA89" s="238"/>
      <c r="AB89" s="238"/>
    </row>
    <row r="90" spans="1:28" x14ac:dyDescent="0.25">
      <c r="A90" s="170"/>
      <c r="B90" s="196"/>
      <c r="C90" s="196"/>
      <c r="D90" s="196"/>
      <c r="E90" s="171"/>
      <c r="F90" s="171"/>
      <c r="G90" s="182"/>
      <c r="H90" s="172"/>
      <c r="I90" s="172"/>
      <c r="J90" s="171"/>
      <c r="K90" s="173"/>
      <c r="L90" s="174"/>
      <c r="M90" s="173"/>
      <c r="N90" s="173"/>
      <c r="O90" s="173"/>
      <c r="P90" s="173"/>
      <c r="Q90" s="173"/>
      <c r="R90" s="173"/>
      <c r="S90" s="111"/>
      <c r="T90" s="111"/>
      <c r="U90" s="109">
        <f>IF(J90=0,(S90+T90/EERR!$D$2/1.19),(S90+T90/EERR!$D$2/1.19)/J90)</f>
        <v>0</v>
      </c>
      <c r="V90" s="111">
        <f>T90+S90*EERR!$D$2</f>
        <v>0</v>
      </c>
      <c r="W90" s="27">
        <f ca="1">SUMIF(S!$A$5:$K$152,Nov!G90,S!$N$5:$N$152)</f>
        <v>0</v>
      </c>
      <c r="X90" s="176">
        <f>SUMIF(T!$A$4:$A$370,B90,T!$B$4:$B$370)+SUMIF(T!$A$4:$A$370,C90,T!$B$4:$B$370)+SUMIF(T!$A$4:$A$370,D90,T!$B$4:$B$370)+(K90+O90)+(L90+P90)*EERR!$D$2</f>
        <v>0</v>
      </c>
      <c r="Y90" s="177">
        <f>X90/EERR!$D$2</f>
        <v>0</v>
      </c>
      <c r="Z90" s="183">
        <f t="shared" si="1"/>
        <v>0</v>
      </c>
      <c r="AA90" s="238"/>
      <c r="AB90" s="238"/>
    </row>
    <row r="91" spans="1:28" x14ac:dyDescent="0.25">
      <c r="A91" s="170"/>
      <c r="B91" s="196"/>
      <c r="C91" s="196"/>
      <c r="D91" s="196"/>
      <c r="E91" s="171"/>
      <c r="F91" s="171"/>
      <c r="G91" s="182"/>
      <c r="H91" s="172"/>
      <c r="I91" s="172"/>
      <c r="J91" s="171"/>
      <c r="K91" s="173"/>
      <c r="L91" s="174"/>
      <c r="M91" s="173"/>
      <c r="N91" s="173"/>
      <c r="O91" s="173"/>
      <c r="P91" s="173"/>
      <c r="Q91" s="173"/>
      <c r="R91" s="173"/>
      <c r="S91" s="111"/>
      <c r="T91" s="111"/>
      <c r="U91" s="109">
        <f>IF(J91=0,(S91+T91/EERR!$D$2/1.19),(S91+T91/EERR!$D$2/1.19)/J91)</f>
        <v>0</v>
      </c>
      <c r="V91" s="111">
        <f>T91+S91*EERR!$D$2</f>
        <v>0</v>
      </c>
      <c r="W91" s="27">
        <f ca="1">SUMIF(S!$A$5:$K$152,Nov!G91,S!$N$5:$N$152)</f>
        <v>0</v>
      </c>
      <c r="X91" s="176">
        <f>SUMIF(T!$A$4:$A$370,B91,T!$B$4:$B$370)+SUMIF(T!$A$4:$A$370,C91,T!$B$4:$B$370)+SUMIF(T!$A$4:$A$370,D91,T!$B$4:$B$370)+(K91+O91)+(L91+P91)*EERR!$D$2</f>
        <v>0</v>
      </c>
      <c r="Y91" s="177">
        <f>X91/EERR!$D$2</f>
        <v>0</v>
      </c>
      <c r="Z91" s="183">
        <f t="shared" si="1"/>
        <v>0</v>
      </c>
      <c r="AA91" s="238"/>
      <c r="AB91" s="238"/>
    </row>
    <row r="92" spans="1:28" x14ac:dyDescent="0.25">
      <c r="A92" s="170"/>
      <c r="B92" s="196"/>
      <c r="C92" s="196"/>
      <c r="D92" s="196"/>
      <c r="E92" s="171"/>
      <c r="F92" s="171"/>
      <c r="G92" s="182"/>
      <c r="H92" s="172"/>
      <c r="I92" s="172"/>
      <c r="J92" s="171"/>
      <c r="K92" s="173"/>
      <c r="L92" s="174"/>
      <c r="M92" s="173"/>
      <c r="N92" s="173"/>
      <c r="O92" s="173"/>
      <c r="P92" s="173"/>
      <c r="Q92" s="173"/>
      <c r="R92" s="173"/>
      <c r="S92" s="111">
        <f t="shared" si="15"/>
        <v>0</v>
      </c>
      <c r="T92" s="111">
        <f t="shared" si="16"/>
        <v>0</v>
      </c>
      <c r="U92" s="109">
        <f>IF(J92=0,(S92+T92/EERR!$D$2/1.19),(S92+T92/EERR!$D$2/1.19)/J92)</f>
        <v>0</v>
      </c>
      <c r="V92" s="111">
        <f>T92+S92*EERR!$D$2</f>
        <v>0</v>
      </c>
      <c r="W92" s="27">
        <f ca="1">SUMIF(S!$A$5:$K$152,Nov!G92,S!$N$5:$N$152)</f>
        <v>0</v>
      </c>
      <c r="X92" s="176">
        <f>SUMIF(T!$A$4:$A$370,B92,T!$B$4:$B$370)+SUMIF(T!$A$4:$A$370,C92,T!$B$4:$B$370)+SUMIF(T!$A$4:$A$370,D92,T!$B$4:$B$370)+(K92+O92)+(L92+P92)*EERR!$D$2</f>
        <v>0</v>
      </c>
      <c r="Y92" s="177">
        <f>X92/EERR!$D$2</f>
        <v>0</v>
      </c>
      <c r="Z92" s="183">
        <f t="shared" ref="Z92:Z93" si="23">+X92-V92</f>
        <v>0</v>
      </c>
      <c r="AA92" s="238"/>
      <c r="AB92" s="238"/>
    </row>
    <row r="93" spans="1:28" x14ac:dyDescent="0.25">
      <c r="A93" s="170"/>
      <c r="B93" s="196"/>
      <c r="C93" s="196"/>
      <c r="D93" s="196"/>
      <c r="E93" s="171"/>
      <c r="F93" s="171"/>
      <c r="G93" s="182"/>
      <c r="H93" s="172"/>
      <c r="I93" s="172"/>
      <c r="J93" s="171"/>
      <c r="K93" s="173"/>
      <c r="L93" s="174"/>
      <c r="M93" s="173"/>
      <c r="N93" s="173"/>
      <c r="O93" s="173"/>
      <c r="P93" s="173"/>
      <c r="Q93" s="173"/>
      <c r="R93" s="173"/>
      <c r="S93" s="111">
        <f t="shared" si="15"/>
        <v>0</v>
      </c>
      <c r="T93" s="111">
        <f t="shared" si="16"/>
        <v>0</v>
      </c>
      <c r="U93" s="109">
        <f>IF(J93=0,(S93+T93/EERR!$D$2/1.19),(S93+T93/EERR!$D$2/1.19)/J93)</f>
        <v>0</v>
      </c>
      <c r="V93" s="111">
        <f>T93+S93*EERR!$D$2</f>
        <v>0</v>
      </c>
      <c r="W93" s="27">
        <f ca="1">SUMIF(S!$A$5:$K$152,Nov!G93,S!$N$5:$N$152)</f>
        <v>0</v>
      </c>
      <c r="X93" s="176">
        <f>SUMIF(T!$A$4:$A$370,B93,T!$B$4:$B$370)+SUMIF(T!$A$4:$A$370,C93,T!$B$4:$B$370)+SUMIF(T!$A$4:$A$370,D93,T!$B$4:$B$370)+(K93+O93)+(L93+P93)*EERR!$D$2</f>
        <v>0</v>
      </c>
      <c r="Y93" s="177">
        <f>X93/EERR!$D$2</f>
        <v>0</v>
      </c>
      <c r="Z93" s="183">
        <f t="shared" si="23"/>
        <v>0</v>
      </c>
      <c r="AA93" s="238">
        <f ca="1">SUMIF(S!$A$5:$K$152,Nov!G93,S!$J$5:$J$152)*EERR!$D$2*1.19</f>
        <v>0</v>
      </c>
      <c r="AB93" s="238">
        <f t="shared" ca="1" si="17"/>
        <v>0</v>
      </c>
    </row>
    <row r="94" spans="1:28" x14ac:dyDescent="0.25">
      <c r="A94" s="170"/>
      <c r="B94" s="196"/>
      <c r="C94" s="196"/>
      <c r="D94" s="196"/>
      <c r="E94" s="171"/>
      <c r="F94" s="171"/>
      <c r="G94" s="182"/>
      <c r="H94" s="172"/>
      <c r="I94" s="172"/>
      <c r="J94" s="171"/>
      <c r="K94" s="173"/>
      <c r="L94" s="174"/>
      <c r="M94" s="173"/>
      <c r="N94" s="173"/>
      <c r="O94" s="173"/>
      <c r="P94" s="173"/>
      <c r="Q94" s="173"/>
      <c r="R94" s="173"/>
      <c r="S94" s="111">
        <f t="shared" si="15"/>
        <v>0</v>
      </c>
      <c r="T94" s="111">
        <f t="shared" si="16"/>
        <v>0</v>
      </c>
      <c r="U94" s="109">
        <f>IF(J94=0,(S94+T94/EERR!$D$2/1.19),(S94+T94/EERR!$D$2/1.19)/J94)</f>
        <v>0</v>
      </c>
      <c r="V94" s="111">
        <f>T94+S94*EERR!$D$2</f>
        <v>0</v>
      </c>
      <c r="W94" s="27">
        <f ca="1">SUMIF(S!$A$5:$K$152,Nov!G94,S!$N$5:$N$152)</f>
        <v>0</v>
      </c>
      <c r="X94" s="176">
        <f>SUMIF(T!$A$4:$A$370,B94,T!$B$4:$B$370)+SUMIF(T!$A$4:$A$370,C94,T!$B$4:$B$370)+SUMIF(T!$A$4:$A$370,D94,T!$B$4:$B$370)+(K94+O94)+(L94+P94)*EERR!$D$2</f>
        <v>0</v>
      </c>
      <c r="Y94" s="177">
        <f>X94/EERR!$D$2</f>
        <v>0</v>
      </c>
      <c r="Z94" s="183"/>
      <c r="AA94" s="238">
        <f ca="1">SUMIF(S!$A$5:$K$152,Nov!G94,S!$J$5:$J$152)*EERR!$D$2*1.19</f>
        <v>0</v>
      </c>
      <c r="AB94" s="238">
        <f t="shared" ca="1" si="17"/>
        <v>0</v>
      </c>
    </row>
    <row r="95" spans="1:28" ht="12.75" x14ac:dyDescent="0.2">
      <c r="A95" s="155"/>
      <c r="B95" s="155"/>
      <c r="C95" s="155"/>
      <c r="D95" s="155"/>
      <c r="E95" s="155"/>
      <c r="F95" s="155"/>
      <c r="G95" s="155"/>
      <c r="H95" s="160"/>
      <c r="I95" s="160"/>
      <c r="J95" s="161">
        <f t="shared" ref="J95:T95" si="24">SUM(J64:J94)</f>
        <v>67</v>
      </c>
      <c r="K95" s="161">
        <f t="shared" si="24"/>
        <v>0</v>
      </c>
      <c r="L95" s="161">
        <f t="shared" si="24"/>
        <v>370</v>
      </c>
      <c r="M95" s="161">
        <f t="shared" si="24"/>
        <v>0</v>
      </c>
      <c r="N95" s="161">
        <f t="shared" si="24"/>
        <v>2910</v>
      </c>
      <c r="O95" s="161">
        <f t="shared" si="24"/>
        <v>0</v>
      </c>
      <c r="P95" s="161">
        <f t="shared" si="24"/>
        <v>5710</v>
      </c>
      <c r="Q95" s="161">
        <f t="shared" si="24"/>
        <v>1231831</v>
      </c>
      <c r="R95" s="161">
        <f t="shared" si="24"/>
        <v>2699.5</v>
      </c>
      <c r="S95" s="161">
        <f t="shared" si="24"/>
        <v>11689.5</v>
      </c>
      <c r="T95" s="161">
        <f t="shared" si="24"/>
        <v>1231831</v>
      </c>
      <c r="U95" s="161">
        <f>IF(J95=0,(S95+T95/EERR!$D$2/1.19),(S95+T95/EERR!$D$2/1.19)/J95)</f>
        <v>191.90810789461838</v>
      </c>
      <c r="V95" s="161">
        <f>SUM(V64:V94)</f>
        <v>11588728</v>
      </c>
      <c r="W95" s="161">
        <f ca="1">SUM(W64:W94)</f>
        <v>67</v>
      </c>
      <c r="X95" s="161">
        <f>SUM(X64:X94)</f>
        <v>11588728</v>
      </c>
      <c r="Y95" s="161">
        <f>SUM(Y64:Y94)</f>
        <v>13079.828442437924</v>
      </c>
      <c r="Z95" s="183">
        <f t="shared" ref="Z95:Z124" si="25">+X95-V95</f>
        <v>0</v>
      </c>
      <c r="AA95" s="238">
        <f ca="1">SUMIF(S!$A$5:$K$152,Nov!G95,S!$J$5:$J$152)*EERR!$D$2*1.19</f>
        <v>0</v>
      </c>
      <c r="AB95" s="238">
        <f t="shared" ca="1" si="17"/>
        <v>11588728</v>
      </c>
    </row>
    <row r="96" spans="1:28" x14ac:dyDescent="0.25">
      <c r="A96" s="170">
        <v>7452</v>
      </c>
      <c r="B96" s="196">
        <v>1673</v>
      </c>
      <c r="C96" s="196"/>
      <c r="D96" s="196"/>
      <c r="E96" s="171" t="s">
        <v>721</v>
      </c>
      <c r="F96" s="171" t="s">
        <v>164</v>
      </c>
      <c r="G96" s="171">
        <v>62846166</v>
      </c>
      <c r="H96" s="172">
        <v>45237</v>
      </c>
      <c r="I96" s="172">
        <v>45243</v>
      </c>
      <c r="J96" s="171">
        <v>6</v>
      </c>
      <c r="K96" s="173"/>
      <c r="L96" s="174">
        <v>1097.25</v>
      </c>
      <c r="M96" s="173"/>
      <c r="N96" s="173"/>
      <c r="O96" s="173"/>
      <c r="P96" s="173"/>
      <c r="Q96" s="173"/>
      <c r="R96" s="173">
        <v>219.45</v>
      </c>
      <c r="S96" s="111">
        <f t="shared" ref="S96" si="26">L96+N96+P96+R96</f>
        <v>1316.7</v>
      </c>
      <c r="T96" s="111">
        <f>M96+O96+K96+Q96</f>
        <v>0</v>
      </c>
      <c r="U96" s="109">
        <f>IF(J96=0,(S96+T96/EERR!$D$2/1.19),(S96+T96/EERR!$D$2/1.19)/J96)</f>
        <v>219.45000000000002</v>
      </c>
      <c r="V96" s="111">
        <f>T96+S96*EERR!$D$2</f>
        <v>1166596.2</v>
      </c>
      <c r="W96" s="27">
        <f ca="1">SUMIF(S!$A$5:$K$152,Nov!G96,S!$N$5:$N$152)</f>
        <v>6</v>
      </c>
      <c r="X96" s="176">
        <f>SUMIF(T!$A$4:$A$370,B96,T!$B$4:$B$370)+SUMIF(T!$A$4:$A$370,C96,T!$B$4:$B$370)+SUMIF(T!$A$4:$A$370,D96,T!$B$4:$B$370)+(K96+O96)+(L96+P96)*EERR!$D$2</f>
        <v>1166596.2</v>
      </c>
      <c r="Y96" s="177">
        <f>X96/EERR!$D$2</f>
        <v>1316.7</v>
      </c>
      <c r="Z96" s="183">
        <f>+X96-V96</f>
        <v>0</v>
      </c>
      <c r="AA96" s="238">
        <f ca="1">SUMIF(S!$A$5:$K$152,Nov!G96,S!$J$5:$J$152)*EERR!$D$2*1.19</f>
        <v>1388249.4779999999</v>
      </c>
      <c r="AB96" s="238">
        <f t="shared" ca="1" si="17"/>
        <v>0</v>
      </c>
    </row>
    <row r="97" spans="1:28" x14ac:dyDescent="0.25">
      <c r="A97" s="170">
        <v>7454</v>
      </c>
      <c r="B97" s="196">
        <v>1678</v>
      </c>
      <c r="C97" s="196">
        <v>1728</v>
      </c>
      <c r="D97" s="196"/>
      <c r="E97" s="171" t="s">
        <v>724</v>
      </c>
      <c r="F97" s="171" t="s">
        <v>164</v>
      </c>
      <c r="G97" s="171">
        <v>1461462657</v>
      </c>
      <c r="H97" s="172">
        <v>45238</v>
      </c>
      <c r="I97" s="172">
        <v>45242</v>
      </c>
      <c r="J97" s="171">
        <v>4</v>
      </c>
      <c r="K97" s="173"/>
      <c r="L97" s="174"/>
      <c r="M97" s="173"/>
      <c r="N97" s="173">
        <v>616.47</v>
      </c>
      <c r="O97" s="173"/>
      <c r="P97" s="173"/>
      <c r="Q97" s="173"/>
      <c r="R97" s="173">
        <v>205.49</v>
      </c>
      <c r="S97" s="111">
        <f t="shared" ref="S97:S100" si="27">L97+N97+P97+R97</f>
        <v>821.96</v>
      </c>
      <c r="T97" s="111">
        <f t="shared" ref="T97:T100" si="28">M97+O97+K97+Q97</f>
        <v>0</v>
      </c>
      <c r="U97" s="109">
        <f>IF(J97=0,(S97+T97/EERR!$D$2/1.19),(S97+T97/EERR!$D$2/1.19)/J97)</f>
        <v>205.49</v>
      </c>
      <c r="V97" s="111">
        <f>T97+S97*EERR!$D$2</f>
        <v>728256.56</v>
      </c>
      <c r="W97" s="27">
        <f ca="1">SUMIF(S!$A$5:$K$152,Nov!G97,S!$N$5:$N$152)</f>
        <v>4</v>
      </c>
      <c r="X97" s="176">
        <f>SUMIF(T!$A$4:$A$370,B97,T!$B$4:$B$370)+SUMIF(T!$A$4:$A$370,C97,T!$B$4:$B$370)+SUMIF(T!$A$4:$A$370,D97,T!$B$4:$B$370)+(K97+O97)+(L97+P97)*EERR!$D$2</f>
        <v>728256.56</v>
      </c>
      <c r="Y97" s="177">
        <f>X97/EERR!$D$2</f>
        <v>821.96</v>
      </c>
      <c r="Z97" s="183">
        <f t="shared" ref="Z97:Z113" si="29">+X97-V97</f>
        <v>0</v>
      </c>
      <c r="AA97" s="238">
        <f ca="1">SUMIF(S!$A$5:$K$152,Nov!G97,S!$J$5:$J$152)*EERR!$D$2*1.19</f>
        <v>866625.3064</v>
      </c>
      <c r="AB97" s="238">
        <f t="shared" ca="1" si="17"/>
        <v>0</v>
      </c>
    </row>
    <row r="98" spans="1:28" x14ac:dyDescent="0.25">
      <c r="A98" s="170">
        <v>7457</v>
      </c>
      <c r="B98" s="196">
        <v>1521</v>
      </c>
      <c r="C98" s="196"/>
      <c r="D98" s="196"/>
      <c r="E98" s="171" t="s">
        <v>729</v>
      </c>
      <c r="F98" s="171" t="s">
        <v>164</v>
      </c>
      <c r="G98" s="171">
        <v>86342794</v>
      </c>
      <c r="H98" s="172">
        <v>45239</v>
      </c>
      <c r="I98" s="172">
        <v>45241</v>
      </c>
      <c r="J98" s="171">
        <v>2</v>
      </c>
      <c r="K98" s="173"/>
      <c r="L98" s="174"/>
      <c r="M98" s="173"/>
      <c r="N98" s="173"/>
      <c r="O98" s="173"/>
      <c r="P98" s="173"/>
      <c r="Q98" s="173"/>
      <c r="R98" s="318">
        <v>369.36</v>
      </c>
      <c r="S98" s="111">
        <f t="shared" si="27"/>
        <v>369.36</v>
      </c>
      <c r="T98" s="111">
        <f t="shared" si="28"/>
        <v>0</v>
      </c>
      <c r="U98" s="109">
        <f>IF(J98=0,(S98+T98/EERR!$D$2/1.19),(S98+T98/EERR!$D$2/1.19)/J98)</f>
        <v>184.68</v>
      </c>
      <c r="V98" s="111">
        <f>T98+S98*EERR!$D$2</f>
        <v>327252.96000000002</v>
      </c>
      <c r="W98" s="27">
        <f ca="1">SUMIF(S!$A$5:$K$152,Nov!G98,S!$N$5:$N$152)</f>
        <v>2</v>
      </c>
      <c r="X98" s="176">
        <f>SUMIF(T!$A$4:$A$370,B98,T!$B$4:$B$370)+SUMIF(T!$A$4:$A$370,C98,T!$B$4:$B$370)+SUMIF(T!$A$4:$A$370,D98,T!$B$4:$B$370)+(K98+O98)+(L98+P98)*EERR!$D$2</f>
        <v>327252.96000000002</v>
      </c>
      <c r="Y98" s="177">
        <f>X98/EERR!$D$2</f>
        <v>369.36</v>
      </c>
      <c r="Z98" s="183">
        <f t="shared" si="29"/>
        <v>0</v>
      </c>
      <c r="AA98" s="238">
        <f ca="1">SUMIF(S!$A$5:$K$152,Nov!G98,S!$J$5:$J$152)*EERR!$D$2*1.19</f>
        <v>389431.02240000002</v>
      </c>
      <c r="AB98" s="238">
        <f t="shared" ca="1" si="17"/>
        <v>0</v>
      </c>
    </row>
    <row r="99" spans="1:28" x14ac:dyDescent="0.25">
      <c r="A99" s="170">
        <v>7456</v>
      </c>
      <c r="B99" s="196">
        <v>1522</v>
      </c>
      <c r="C99" s="196"/>
      <c r="D99" s="196"/>
      <c r="E99" s="171" t="s">
        <v>730</v>
      </c>
      <c r="F99" s="171" t="s">
        <v>164</v>
      </c>
      <c r="G99" s="171">
        <v>86342796</v>
      </c>
      <c r="H99" s="172">
        <v>45239</v>
      </c>
      <c r="I99" s="172">
        <v>45241</v>
      </c>
      <c r="J99" s="171">
        <v>2</v>
      </c>
      <c r="K99" s="173"/>
      <c r="L99" s="174"/>
      <c r="M99" s="173"/>
      <c r="N99" s="173"/>
      <c r="O99" s="173"/>
      <c r="P99" s="173"/>
      <c r="Q99" s="173"/>
      <c r="R99" s="173">
        <v>369.36</v>
      </c>
      <c r="S99" s="111">
        <f t="shared" si="27"/>
        <v>369.36</v>
      </c>
      <c r="T99" s="111">
        <f t="shared" si="28"/>
        <v>0</v>
      </c>
      <c r="U99" s="109">
        <f>IF(J99=0,(S99+T99/EERR!$D$2/1.19),(S99+T99/EERR!$D$2/1.19)/J99)</f>
        <v>184.68</v>
      </c>
      <c r="V99" s="111">
        <f>T99+S99*EERR!$D$2</f>
        <v>327252.96000000002</v>
      </c>
      <c r="W99" s="27">
        <f ca="1">SUMIF(S!$A$5:$K$152,Nov!G99,S!$N$5:$N$152)</f>
        <v>2</v>
      </c>
      <c r="X99" s="176">
        <f>SUMIF(T!$A$4:$A$370,B99,T!$B$4:$B$370)+SUMIF(T!$A$4:$A$370,C99,T!$B$4:$B$370)+SUMIF(T!$A$4:$A$370,D99,T!$B$4:$B$370)+(K99+O99)+(L99+P99)*EERR!$D$2</f>
        <v>327252.96000000002</v>
      </c>
      <c r="Y99" s="177">
        <f>X99/EERR!$D$2</f>
        <v>369.36</v>
      </c>
      <c r="Z99" s="183">
        <f t="shared" si="29"/>
        <v>0</v>
      </c>
      <c r="AA99" s="238">
        <f ca="1">SUMIF(S!$A$5:$K$152,Nov!G99,S!$J$5:$J$152)*EERR!$D$2*1.19</f>
        <v>389431.02240000002</v>
      </c>
      <c r="AB99" s="238">
        <f t="shared" ca="1" si="17"/>
        <v>0</v>
      </c>
    </row>
    <row r="100" spans="1:28" x14ac:dyDescent="0.25">
      <c r="A100" s="170">
        <v>7460</v>
      </c>
      <c r="B100" s="196">
        <v>1689</v>
      </c>
      <c r="C100" s="196">
        <v>1745</v>
      </c>
      <c r="D100" s="196"/>
      <c r="E100" s="171" t="s">
        <v>734</v>
      </c>
      <c r="F100" s="171" t="s">
        <v>164</v>
      </c>
      <c r="G100" s="171">
        <v>70007271</v>
      </c>
      <c r="H100" s="172">
        <v>45241</v>
      </c>
      <c r="I100" s="172">
        <v>45245</v>
      </c>
      <c r="J100" s="171">
        <v>4</v>
      </c>
      <c r="K100" s="173"/>
      <c r="L100" s="174">
        <v>350</v>
      </c>
      <c r="M100" s="173"/>
      <c r="N100" s="173">
        <v>308.35000000000002</v>
      </c>
      <c r="O100" s="173"/>
      <c r="P100" s="173"/>
      <c r="Q100" s="173"/>
      <c r="R100" s="173">
        <v>219.45</v>
      </c>
      <c r="S100" s="111">
        <f t="shared" si="27"/>
        <v>877.8</v>
      </c>
      <c r="T100" s="111">
        <f t="shared" si="28"/>
        <v>0</v>
      </c>
      <c r="U100" s="109">
        <f>IF(J100=0,(S100+T100/EERR!$D$2/1.19),(S100+T100/EERR!$D$2/1.19)/J100)</f>
        <v>219.45</v>
      </c>
      <c r="V100" s="111">
        <f>T100+S100*EERR!$D$2</f>
        <v>777730.79999999993</v>
      </c>
      <c r="W100" s="27">
        <f ca="1">SUMIF(S!$A$5:$K$152,Nov!G100,S!$N$5:$N$152)</f>
        <v>4</v>
      </c>
      <c r="X100" s="176">
        <f>SUMIF(T!$A$4:$A$370,B100,T!$B$4:$B$370)+SUMIF(T!$A$4:$A$370,C100,T!$B$4:$B$370)+SUMIF(T!$A$4:$A$370,D100,T!$B$4:$B$370)+(K100+O100)+(L100+P100)*EERR!$D$2</f>
        <v>777730.8</v>
      </c>
      <c r="Y100" s="177">
        <f>X100/EERR!$D$2</f>
        <v>877.80000000000007</v>
      </c>
      <c r="Z100" s="183">
        <f t="shared" si="29"/>
        <v>0</v>
      </c>
      <c r="AA100" s="238">
        <f ca="1">SUMIF(S!$A$5:$K$152,Nov!G100,S!$J$5:$J$152)*EERR!$D$2*1.19</f>
        <v>925499.65199999989</v>
      </c>
      <c r="AB100" s="238">
        <f t="shared" ca="1" si="17"/>
        <v>0</v>
      </c>
    </row>
    <row r="101" spans="1:28" x14ac:dyDescent="0.25">
      <c r="A101" s="170">
        <v>7467</v>
      </c>
      <c r="B101" s="196">
        <v>1707</v>
      </c>
      <c r="C101" s="196">
        <v>1751</v>
      </c>
      <c r="D101" s="196"/>
      <c r="E101" s="171" t="s">
        <v>736</v>
      </c>
      <c r="F101" s="171" t="s">
        <v>164</v>
      </c>
      <c r="G101" s="171">
        <v>35743812</v>
      </c>
      <c r="H101" s="172">
        <v>45241</v>
      </c>
      <c r="I101" s="172">
        <v>45245</v>
      </c>
      <c r="J101" s="171">
        <v>4</v>
      </c>
      <c r="K101" s="173"/>
      <c r="L101" s="174">
        <v>600</v>
      </c>
      <c r="M101" s="173"/>
      <c r="N101" s="173">
        <v>28.44</v>
      </c>
      <c r="O101" s="173"/>
      <c r="P101" s="173"/>
      <c r="Q101" s="173"/>
      <c r="R101" s="173">
        <v>209.48</v>
      </c>
      <c r="S101" s="111">
        <f t="shared" ref="S101:S102" si="30">L101+N101+P101+R101</f>
        <v>837.92000000000007</v>
      </c>
      <c r="T101" s="111">
        <f t="shared" ref="T101:T102" si="31">M101+O101+K101+Q101</f>
        <v>0</v>
      </c>
      <c r="U101" s="109">
        <f>IF(J101=0,(S101+T101/EERR!$D$2/1.19),(S101+T101/EERR!$D$2/1.19)/J101)</f>
        <v>209.48000000000002</v>
      </c>
      <c r="V101" s="111">
        <f>T101+S101*EERR!$D$2</f>
        <v>742397.12000000011</v>
      </c>
      <c r="W101" s="27">
        <f ca="1">SUMIF(S!$A$5:$K$152,Nov!G101,S!$N$5:$N$152)</f>
        <v>4</v>
      </c>
      <c r="X101" s="176">
        <f>SUMIF(T!$A$4:$A$370,B101,T!$B$4:$B$370)+SUMIF(T!$A$4:$A$370,C101,T!$B$4:$B$370)+SUMIF(T!$A$4:$A$370,D101,T!$B$4:$B$370)+(K101+O101)+(L101+P101)*EERR!$D$2</f>
        <v>742397.12</v>
      </c>
      <c r="Y101" s="177">
        <f>X101/EERR!$D$2</f>
        <v>837.92</v>
      </c>
      <c r="Z101" s="183">
        <f t="shared" si="29"/>
        <v>0</v>
      </c>
      <c r="AA101" s="238">
        <f ca="1">SUMIF(S!$A$5:$K$152,Nov!G101,S!$J$5:$J$152)*EERR!$D$2*1.19</f>
        <v>883452.57279999997</v>
      </c>
      <c r="AB101" s="238">
        <f t="shared" ca="1" si="17"/>
        <v>0</v>
      </c>
    </row>
    <row r="102" spans="1:28" x14ac:dyDescent="0.25">
      <c r="A102" s="262">
        <v>7485</v>
      </c>
      <c r="B102" s="196">
        <v>1714</v>
      </c>
      <c r="C102" s="196">
        <v>1780</v>
      </c>
      <c r="D102" s="196"/>
      <c r="E102" s="171" t="s">
        <v>761</v>
      </c>
      <c r="F102" s="171" t="s">
        <v>164</v>
      </c>
      <c r="G102" s="171">
        <v>65900712</v>
      </c>
      <c r="H102" s="172">
        <v>45249</v>
      </c>
      <c r="I102" s="172">
        <v>45252</v>
      </c>
      <c r="J102" s="171">
        <v>3</v>
      </c>
      <c r="K102" s="173"/>
      <c r="L102" s="174"/>
      <c r="M102" s="173"/>
      <c r="N102" s="173">
        <v>438.9</v>
      </c>
      <c r="O102" s="173"/>
      <c r="P102" s="173"/>
      <c r="Q102" s="173"/>
      <c r="R102" s="173">
        <v>219.45</v>
      </c>
      <c r="S102" s="111">
        <f t="shared" si="30"/>
        <v>658.34999999999991</v>
      </c>
      <c r="T102" s="111">
        <f t="shared" si="31"/>
        <v>0</v>
      </c>
      <c r="U102" s="109">
        <f>IF(J102=0,(S102+T102/EERR!$D$2/1.19),(S102+T102/EERR!$D$2/1.19)/J102)</f>
        <v>219.44999999999996</v>
      </c>
      <c r="V102" s="111">
        <f>T102+S102*EERR!$D$2</f>
        <v>583298.1</v>
      </c>
      <c r="W102" s="27">
        <f ca="1">SUMIF(S!$A$5:$K$152,Nov!G102,S!$N$5:$N$152)</f>
        <v>3</v>
      </c>
      <c r="X102" s="176">
        <f>SUMIF(T!$A$4:$A$370,B102,T!$B$4:$B$370)+SUMIF(T!$A$4:$A$370,C102,T!$B$4:$B$370)+SUMIF(T!$A$4:$A$370,D102,T!$B$4:$B$370)+(K102+O102)+(L102+P102)*EERR!$D$2</f>
        <v>583298.1</v>
      </c>
      <c r="Y102" s="177">
        <f>X102/EERR!$D$2</f>
        <v>658.35</v>
      </c>
      <c r="Z102" s="183">
        <f t="shared" si="29"/>
        <v>0</v>
      </c>
      <c r="AA102" s="238">
        <f ca="1">SUMIF(S!$A$5:$K$152,Nov!G102,S!$J$5:$J$152)*EERR!$D$2*1.19</f>
        <v>694124.73899999994</v>
      </c>
      <c r="AB102" s="238">
        <f t="shared" ca="1" si="17"/>
        <v>0</v>
      </c>
    </row>
    <row r="103" spans="1:28" x14ac:dyDescent="0.25">
      <c r="A103" s="170">
        <v>7484</v>
      </c>
      <c r="B103" s="196">
        <v>1715</v>
      </c>
      <c r="C103" s="196">
        <v>1786</v>
      </c>
      <c r="D103" s="196"/>
      <c r="E103" s="171" t="s">
        <v>762</v>
      </c>
      <c r="F103" s="171" t="s">
        <v>164</v>
      </c>
      <c r="G103" s="171">
        <v>60526439</v>
      </c>
      <c r="H103" s="172">
        <v>45249</v>
      </c>
      <c r="I103" s="172">
        <v>45254</v>
      </c>
      <c r="J103" s="171">
        <v>5</v>
      </c>
      <c r="K103" s="173"/>
      <c r="L103" s="174"/>
      <c r="M103" s="173"/>
      <c r="N103" s="173">
        <v>877.8</v>
      </c>
      <c r="O103" s="173"/>
      <c r="P103" s="173"/>
      <c r="Q103" s="173"/>
      <c r="R103" s="173">
        <v>219.45</v>
      </c>
      <c r="S103" s="111">
        <f t="shared" ref="S103:S108" si="32">L103+N103+P103+R103</f>
        <v>1097.25</v>
      </c>
      <c r="T103" s="111">
        <f t="shared" ref="T103:T108" si="33">M103+O103+K103+Q103</f>
        <v>0</v>
      </c>
      <c r="U103" s="109">
        <f>IF(J103=0,(S103+T103/EERR!$D$2/1.19),(S103+T103/EERR!$D$2/1.19)/J103)</f>
        <v>219.45</v>
      </c>
      <c r="V103" s="111">
        <f>T103+S103*EERR!$D$2</f>
        <v>972163.5</v>
      </c>
      <c r="W103" s="27">
        <f ca="1">SUMIF(S!$A$5:$K$152,Nov!G103,S!$N$5:$N$152)</f>
        <v>5</v>
      </c>
      <c r="X103" s="176">
        <f>SUMIF(T!$A$4:$A$370,B103,T!$B$4:$B$370)+SUMIF(T!$A$4:$A$370,C103,T!$B$4:$B$370)+SUMIF(T!$A$4:$A$370,D103,T!$B$4:$B$370)+(K103+O103)+(L103+P103)*EERR!$D$2</f>
        <v>972163.49999999988</v>
      </c>
      <c r="Y103" s="177">
        <f>X103/EERR!$D$2</f>
        <v>1097.2499999999998</v>
      </c>
      <c r="Z103" s="183">
        <f t="shared" si="29"/>
        <v>0</v>
      </c>
      <c r="AA103" s="238">
        <f ca="1">SUMIF(S!$A$5:$K$152,Nov!G103,S!$J$5:$J$152)*EERR!$D$2*1.19</f>
        <v>1156874.5649999999</v>
      </c>
      <c r="AB103" s="238">
        <f t="shared" ca="1" si="17"/>
        <v>0</v>
      </c>
    </row>
    <row r="104" spans="1:28" x14ac:dyDescent="0.25">
      <c r="A104" s="170">
        <v>7491</v>
      </c>
      <c r="B104" s="196">
        <v>1795</v>
      </c>
      <c r="C104" s="196"/>
      <c r="D104" s="196"/>
      <c r="E104" s="171" t="s">
        <v>770</v>
      </c>
      <c r="F104" s="171" t="s">
        <v>164</v>
      </c>
      <c r="G104" s="171">
        <v>125280668</v>
      </c>
      <c r="H104" s="172">
        <v>45252</v>
      </c>
      <c r="I104" s="172">
        <v>45253</v>
      </c>
      <c r="J104" s="171">
        <v>1</v>
      </c>
      <c r="K104" s="173"/>
      <c r="L104" s="174"/>
      <c r="M104" s="173"/>
      <c r="N104" s="173"/>
      <c r="O104" s="173"/>
      <c r="P104" s="173"/>
      <c r="Q104" s="173"/>
      <c r="R104" s="173">
        <v>205.2</v>
      </c>
      <c r="S104" s="111">
        <f t="shared" si="32"/>
        <v>205.2</v>
      </c>
      <c r="T104" s="111">
        <f t="shared" si="33"/>
        <v>0</v>
      </c>
      <c r="U104" s="109">
        <f>IF(J104=0,(S104+T104/EERR!$D$2/1.19),(S104+T104/EERR!$D$2/1.19)/J104)</f>
        <v>205.2</v>
      </c>
      <c r="V104" s="111">
        <f>T104+S104*EERR!$D$2</f>
        <v>181807.19999999998</v>
      </c>
      <c r="W104" s="27">
        <f ca="1">SUMIF(S!$A$5:$K$152,Nov!G104,S!$N$5:$N$152)</f>
        <v>1</v>
      </c>
      <c r="X104" s="176">
        <f>SUMIF(T!$A$4:$A$370,B104,T!$B$4:$B$370)+SUMIF(T!$A$4:$A$370,C104,T!$B$4:$B$370)+SUMIF(T!$A$4:$A$370,D104,T!$B$4:$B$370)+(K104+O104)+(L104+P104)*EERR!$D$2</f>
        <v>181807.19999999998</v>
      </c>
      <c r="Y104" s="177">
        <f>X104/EERR!$D$2</f>
        <v>205.2</v>
      </c>
      <c r="Z104" s="183">
        <f t="shared" si="29"/>
        <v>0</v>
      </c>
      <c r="AA104" s="238">
        <f ca="1">SUMIF(S!$A$5:$K$152,Nov!G104,S!$J$5:$J$152)*EERR!$D$2*1.19</f>
        <v>216350.56799999997</v>
      </c>
      <c r="AB104" s="238">
        <f t="shared" ca="1" si="17"/>
        <v>0</v>
      </c>
    </row>
    <row r="105" spans="1:28" x14ac:dyDescent="0.25">
      <c r="A105" s="170">
        <v>7492</v>
      </c>
      <c r="B105" s="196">
        <v>1794</v>
      </c>
      <c r="C105" s="196"/>
      <c r="D105" s="196"/>
      <c r="E105" s="171" t="s">
        <v>773</v>
      </c>
      <c r="F105" s="171" t="s">
        <v>164</v>
      </c>
      <c r="G105" s="171">
        <v>125280670</v>
      </c>
      <c r="H105" s="172">
        <v>45252</v>
      </c>
      <c r="I105" s="172">
        <v>45253</v>
      </c>
      <c r="J105" s="171">
        <v>1</v>
      </c>
      <c r="K105" s="173"/>
      <c r="L105" s="174"/>
      <c r="M105" s="173"/>
      <c r="N105" s="173"/>
      <c r="O105" s="173"/>
      <c r="P105" s="173"/>
      <c r="Q105" s="173"/>
      <c r="R105" s="173">
        <v>205.2</v>
      </c>
      <c r="S105" s="111">
        <f t="shared" si="32"/>
        <v>205.2</v>
      </c>
      <c r="T105" s="111">
        <f t="shared" si="33"/>
        <v>0</v>
      </c>
      <c r="U105" s="109">
        <f>IF(J105=0,(S105+T105/EERR!$D$2/1.19),(S105+T105/EERR!$D$2/1.19)/J105)</f>
        <v>205.2</v>
      </c>
      <c r="V105" s="111">
        <f>T105+S105*EERR!$D$2</f>
        <v>181807.19999999998</v>
      </c>
      <c r="W105" s="27">
        <f ca="1">SUMIF(S!$A$5:$K$152,Nov!G105,S!$N$5:$N$152)</f>
        <v>1</v>
      </c>
      <c r="X105" s="176">
        <f>SUMIF(T!$A$4:$A$370,B105,T!$B$4:$B$370)+SUMIF(T!$A$4:$A$370,C105,T!$B$4:$B$370)+SUMIF(T!$A$4:$A$370,D105,T!$B$4:$B$370)+(K105+O105)+(L105+P105)*EERR!$D$2</f>
        <v>181807.19999999998</v>
      </c>
      <c r="Y105" s="177">
        <f>X105/EERR!$D$2</f>
        <v>205.2</v>
      </c>
      <c r="Z105" s="183">
        <f t="shared" si="29"/>
        <v>0</v>
      </c>
      <c r="AA105" s="238">
        <f ca="1">SUMIF(S!$A$5:$K$152,Nov!G105,S!$J$5:$J$152)*EERR!$D$2*1.19</f>
        <v>216350.56799999997</v>
      </c>
      <c r="AB105" s="238">
        <f t="shared" ca="1" si="17"/>
        <v>0</v>
      </c>
    </row>
    <row r="106" spans="1:28" x14ac:dyDescent="0.25">
      <c r="A106" s="170">
        <v>7494</v>
      </c>
      <c r="B106" s="196">
        <v>1730</v>
      </c>
      <c r="C106" s="196">
        <v>1798</v>
      </c>
      <c r="D106" s="196"/>
      <c r="E106" s="171" t="s">
        <v>778</v>
      </c>
      <c r="F106" s="171" t="s">
        <v>164</v>
      </c>
      <c r="G106" s="171">
        <v>85194846</v>
      </c>
      <c r="H106" s="172">
        <v>45253</v>
      </c>
      <c r="I106" s="172">
        <v>45256</v>
      </c>
      <c r="J106" s="171">
        <v>3</v>
      </c>
      <c r="K106" s="173"/>
      <c r="L106" s="174"/>
      <c r="M106" s="173"/>
      <c r="N106" s="173">
        <v>456</v>
      </c>
      <c r="O106" s="173"/>
      <c r="P106" s="173"/>
      <c r="Q106" s="173"/>
      <c r="R106" s="173">
        <v>228</v>
      </c>
      <c r="S106" s="111">
        <f t="shared" si="32"/>
        <v>684</v>
      </c>
      <c r="T106" s="111">
        <f t="shared" si="33"/>
        <v>0</v>
      </c>
      <c r="U106" s="109">
        <f>IF(J106=0,(S106+T106/EERR!$D$2/1.19),(S106+T106/EERR!$D$2/1.19)/J106)</f>
        <v>228</v>
      </c>
      <c r="V106" s="111">
        <f>T106+S106*EERR!$D$2</f>
        <v>606024</v>
      </c>
      <c r="W106" s="27">
        <f ca="1">SUMIF(S!$A$5:$K$152,Nov!G106,S!$N$5:$N$152)</f>
        <v>3</v>
      </c>
      <c r="X106" s="176">
        <f>SUMIF(T!$A$4:$A$370,B106,T!$B$4:$B$370)+SUMIF(T!$A$4:$A$370,C106,T!$B$4:$B$370)+SUMIF(T!$A$4:$A$370,D106,T!$B$4:$B$370)+(K106+O106)+(L106+P106)*EERR!$D$2</f>
        <v>606024</v>
      </c>
      <c r="Y106" s="177">
        <f>X106/EERR!$D$2</f>
        <v>684</v>
      </c>
      <c r="Z106" s="183">
        <f t="shared" si="29"/>
        <v>0</v>
      </c>
      <c r="AA106" s="238">
        <f ca="1">SUMIF(S!$A$5:$K$152,Nov!G106,S!$J$5:$J$152)*EERR!$D$2*1.19</f>
        <v>721168.55999999994</v>
      </c>
      <c r="AB106" s="238">
        <f t="shared" ca="1" si="17"/>
        <v>0</v>
      </c>
    </row>
    <row r="107" spans="1:28" x14ac:dyDescent="0.25">
      <c r="A107" s="170">
        <v>7504</v>
      </c>
      <c r="B107" s="196">
        <v>1792</v>
      </c>
      <c r="C107" s="196"/>
      <c r="D107" s="196"/>
      <c r="E107" s="171" t="s">
        <v>789</v>
      </c>
      <c r="F107" s="171" t="s">
        <v>164</v>
      </c>
      <c r="G107" s="171">
        <v>114036063</v>
      </c>
      <c r="H107" s="172">
        <v>45258</v>
      </c>
      <c r="I107" s="172">
        <v>45260</v>
      </c>
      <c r="J107" s="171">
        <v>2</v>
      </c>
      <c r="K107" s="173"/>
      <c r="L107" s="174"/>
      <c r="M107" s="173"/>
      <c r="N107" s="173"/>
      <c r="O107" s="173"/>
      <c r="P107" s="173"/>
      <c r="Q107" s="173"/>
      <c r="R107" s="173">
        <v>369.36</v>
      </c>
      <c r="S107" s="111">
        <f t="shared" si="32"/>
        <v>369.36</v>
      </c>
      <c r="T107" s="111">
        <f t="shared" si="33"/>
        <v>0</v>
      </c>
      <c r="U107" s="109">
        <f>IF(J107=0,(S107+T107/EERR!$D$2/1.19),(S107+T107/EERR!$D$2/1.19)/J107)</f>
        <v>184.68</v>
      </c>
      <c r="V107" s="111">
        <f>T107+S107*EERR!$D$2</f>
        <v>327252.96000000002</v>
      </c>
      <c r="W107" s="27">
        <f ca="1">SUMIF(S!$A$5:$K$152,Nov!G107,S!$N$5:$N$152)</f>
        <v>2</v>
      </c>
      <c r="X107" s="176">
        <f>SUMIF(T!$A$4:$A$370,B107,T!$B$4:$B$370)+SUMIF(T!$A$4:$A$370,C107,T!$B$4:$B$370)+SUMIF(T!$A$4:$A$370,D107,T!$B$4:$B$370)+(K107+O107)+(L107+P107)*EERR!$D$2</f>
        <v>0</v>
      </c>
      <c r="Y107" s="177">
        <f>X107/EERR!$D$2</f>
        <v>0</v>
      </c>
      <c r="Z107" s="183">
        <f t="shared" si="29"/>
        <v>-327252.96000000002</v>
      </c>
      <c r="AA107" s="238">
        <f ca="1">SUMIF(S!$A$5:$K$152,Nov!G107,S!$J$5:$J$152)*EERR!$D$2*1.19</f>
        <v>389431.02240000002</v>
      </c>
      <c r="AB107" s="238">
        <f t="shared" ca="1" si="17"/>
        <v>0</v>
      </c>
    </row>
    <row r="108" spans="1:28" x14ac:dyDescent="0.25">
      <c r="A108" s="170">
        <v>7508</v>
      </c>
      <c r="B108" s="196">
        <v>1803</v>
      </c>
      <c r="C108" s="196">
        <v>1822</v>
      </c>
      <c r="D108" s="196"/>
      <c r="E108" s="171" t="s">
        <v>794</v>
      </c>
      <c r="F108" s="171" t="s">
        <v>164</v>
      </c>
      <c r="G108" s="171">
        <v>100805766</v>
      </c>
      <c r="H108" s="172">
        <v>45260</v>
      </c>
      <c r="I108" s="172">
        <v>45262</v>
      </c>
      <c r="J108" s="171">
        <v>2</v>
      </c>
      <c r="K108" s="173"/>
      <c r="L108" s="174"/>
      <c r="M108" s="173"/>
      <c r="N108" s="173">
        <v>205.2</v>
      </c>
      <c r="O108" s="173"/>
      <c r="P108" s="173"/>
      <c r="Q108" s="173"/>
      <c r="R108" s="173">
        <v>205.2</v>
      </c>
      <c r="S108" s="111">
        <f t="shared" si="32"/>
        <v>410.4</v>
      </c>
      <c r="T108" s="111">
        <f t="shared" si="33"/>
        <v>0</v>
      </c>
      <c r="U108" s="109">
        <f>IF(J108=0,(S108+T108/EERR!$D$2/1.19),(S108+T108/EERR!$D$2/1.19)/J108)</f>
        <v>205.2</v>
      </c>
      <c r="V108" s="111">
        <f>T108+S108*EERR!$D$2</f>
        <v>363614.39999999997</v>
      </c>
      <c r="W108" s="27">
        <f ca="1">SUMIF(S!$A$5:$K$152,Nov!G108,S!$N$5:$N$152)</f>
        <v>2</v>
      </c>
      <c r="X108" s="176">
        <f>SUMIF(T!$A$4:$A$370,B108,T!$B$4:$B$370)+SUMIF(T!$A$4:$A$370,C108,T!$B$4:$B$370)+SUMIF(T!$A$4:$A$370,D108,T!$B$4:$B$370)+(K108+O108)+(L108+P108)*EERR!$D$2</f>
        <v>363614.39999999997</v>
      </c>
      <c r="Y108" s="177">
        <f>X108/EERR!$D$2</f>
        <v>410.4</v>
      </c>
      <c r="Z108" s="183">
        <f t="shared" si="29"/>
        <v>0</v>
      </c>
      <c r="AA108" s="238">
        <f ca="1">SUMIF(S!$A$5:$K$152,Nov!G108,S!$J$5:$J$152)*EERR!$D$2*1.19</f>
        <v>432701.13599999994</v>
      </c>
      <c r="AB108" s="238">
        <f t="shared" ca="1" si="17"/>
        <v>0</v>
      </c>
    </row>
    <row r="109" spans="1:28" x14ac:dyDescent="0.25">
      <c r="A109" s="170"/>
      <c r="B109" s="196"/>
      <c r="C109" s="196"/>
      <c r="D109" s="196"/>
      <c r="E109" s="171"/>
      <c r="F109" s="171"/>
      <c r="G109" s="171"/>
      <c r="H109" s="172"/>
      <c r="I109" s="172"/>
      <c r="J109" s="171"/>
      <c r="K109" s="173"/>
      <c r="L109" s="174"/>
      <c r="M109" s="173"/>
      <c r="N109" s="173"/>
      <c r="O109" s="173"/>
      <c r="P109" s="173"/>
      <c r="Q109" s="173"/>
      <c r="R109" s="173"/>
      <c r="S109" s="111"/>
      <c r="T109" s="111"/>
      <c r="U109" s="109"/>
      <c r="V109" s="111"/>
      <c r="W109" s="27">
        <f ca="1">SUMIF(S!$A$5:$K$152,Nov!G109,S!$N$5:$N$152)</f>
        <v>0</v>
      </c>
      <c r="X109" s="176">
        <f>SUMIF(T!$A$4:$A$370,B109,T!$B$4:$B$370)+SUMIF(T!$A$4:$A$370,C109,T!$B$4:$B$370)+SUMIF(T!$A$4:$A$370,D109,T!$B$4:$B$370)+(K109+O109)+(L109+P109)*EERR!$D$2</f>
        <v>0</v>
      </c>
      <c r="Y109" s="177">
        <f>X109/EERR!$D$2</f>
        <v>0</v>
      </c>
      <c r="Z109" s="183">
        <f t="shared" si="29"/>
        <v>0</v>
      </c>
      <c r="AA109" s="238">
        <f ca="1">SUMIF(S!$A$5:$K$152,Nov!G109,S!$J$5:$J$152)*EERR!$D$2*1.19</f>
        <v>0</v>
      </c>
      <c r="AB109" s="238">
        <f t="shared" ca="1" si="17"/>
        <v>0</v>
      </c>
    </row>
    <row r="110" spans="1:28" x14ac:dyDescent="0.25">
      <c r="A110" s="170"/>
      <c r="B110" s="196"/>
      <c r="C110" s="219"/>
      <c r="D110" s="196"/>
      <c r="E110" s="171"/>
      <c r="F110" s="171"/>
      <c r="G110" s="171"/>
      <c r="H110" s="172"/>
      <c r="I110" s="172"/>
      <c r="J110" s="171"/>
      <c r="K110" s="173"/>
      <c r="L110" s="174"/>
      <c r="M110" s="173"/>
      <c r="N110" s="173"/>
      <c r="O110" s="173"/>
      <c r="P110" s="173"/>
      <c r="Q110" s="173"/>
      <c r="R110" s="173"/>
      <c r="S110" s="111"/>
      <c r="T110" s="111"/>
      <c r="U110" s="109"/>
      <c r="V110" s="111"/>
      <c r="W110" s="27">
        <f ca="1">SUMIF(S!$A$5:$K$152,Nov!G110,S!$N$5:$N$152)</f>
        <v>0</v>
      </c>
      <c r="X110" s="176">
        <f>SUMIF(T!$A$4:$A$370,B110,T!$B$4:$B$370)+SUMIF(T!$A$4:$A$370,C110,T!$B$4:$B$370)+SUMIF(T!$A$4:$A$370,D110,T!$B$4:$B$370)+(K110+O110)+(L110+P110)*EERR!$D$2</f>
        <v>0</v>
      </c>
      <c r="Y110" s="177">
        <f>X110/EERR!$D$2</f>
        <v>0</v>
      </c>
      <c r="Z110" s="183">
        <f t="shared" si="29"/>
        <v>0</v>
      </c>
      <c r="AA110" s="238">
        <f ca="1">SUMIF(S!$A$5:$K$152,Nov!G110,S!$J$5:$J$152)*EERR!$D$2*1.19</f>
        <v>0</v>
      </c>
      <c r="AB110" s="238">
        <f t="shared" ca="1" si="17"/>
        <v>0</v>
      </c>
    </row>
    <row r="111" spans="1:28" x14ac:dyDescent="0.25">
      <c r="A111" s="170"/>
      <c r="B111" s="196"/>
      <c r="C111" s="196"/>
      <c r="D111" s="196"/>
      <c r="E111" s="171"/>
      <c r="F111" s="171"/>
      <c r="G111" s="171"/>
      <c r="H111" s="172"/>
      <c r="I111" s="172"/>
      <c r="J111" s="171"/>
      <c r="K111" s="173"/>
      <c r="L111" s="174"/>
      <c r="M111" s="173"/>
      <c r="N111" s="173"/>
      <c r="O111" s="173"/>
      <c r="P111" s="173"/>
      <c r="Q111" s="173"/>
      <c r="R111" s="173"/>
      <c r="S111" s="111"/>
      <c r="T111" s="111"/>
      <c r="U111" s="109"/>
      <c r="V111" s="111"/>
      <c r="W111" s="27">
        <f ca="1">SUMIF(S!$A$5:$K$152,Nov!G111,S!$N$5:$N$152)</f>
        <v>0</v>
      </c>
      <c r="X111" s="176">
        <f>SUMIF(T!$A$4:$A$370,B111,T!$B$4:$B$370)+SUMIF(T!$A$4:$A$370,C111,T!$B$4:$B$370)+SUMIF(T!$A$4:$A$370,D111,T!$B$4:$B$370)+(K111+O111)+(L111+P111)*EERR!$D$2</f>
        <v>0</v>
      </c>
      <c r="Y111" s="177">
        <f>X111/EERR!$D$2</f>
        <v>0</v>
      </c>
      <c r="Z111" s="183">
        <f t="shared" si="29"/>
        <v>0</v>
      </c>
      <c r="AA111" s="238">
        <f ca="1">SUMIF(S!$A$5:$K$152,Nov!G111,S!$J$5:$J$152)*EERR!$D$2*1.19</f>
        <v>0</v>
      </c>
      <c r="AB111" s="238">
        <f t="shared" ca="1" si="17"/>
        <v>0</v>
      </c>
    </row>
    <row r="112" spans="1:28" x14ac:dyDescent="0.25">
      <c r="A112" s="170"/>
      <c r="B112" s="196"/>
      <c r="C112" s="196"/>
      <c r="D112" s="196"/>
      <c r="E112" s="171"/>
      <c r="F112" s="171"/>
      <c r="G112" s="171"/>
      <c r="H112" s="172"/>
      <c r="I112" s="172"/>
      <c r="J112" s="171"/>
      <c r="K112" s="173"/>
      <c r="L112" s="174"/>
      <c r="M112" s="173"/>
      <c r="N112" s="173"/>
      <c r="O112" s="173"/>
      <c r="P112" s="173"/>
      <c r="Q112" s="173"/>
      <c r="R112" s="173"/>
      <c r="S112" s="111"/>
      <c r="T112" s="111"/>
      <c r="U112" s="109"/>
      <c r="V112" s="111"/>
      <c r="W112" s="27">
        <f ca="1">SUMIF(S!$A$5:$K$152,Nov!G112,S!$N$5:$N$152)</f>
        <v>0</v>
      </c>
      <c r="X112" s="176">
        <f>SUMIF(T!$A$4:$A$370,B112,T!$B$4:$B$370)+SUMIF(T!$A$4:$A$370,C112,T!$B$4:$B$370)+SUMIF(T!$A$4:$A$370,D112,T!$B$4:$B$370)+(K112+O112)+(L112+P112)*EERR!$D$2</f>
        <v>0</v>
      </c>
      <c r="Y112" s="177">
        <f>X112/EERR!$D$2</f>
        <v>0</v>
      </c>
      <c r="Z112" s="183">
        <f t="shared" si="29"/>
        <v>0</v>
      </c>
      <c r="AA112" s="238">
        <f ca="1">SUMIF(S!$A$5:$K$152,Nov!G112,S!$J$5:$J$152)*EERR!$D$2*1.19</f>
        <v>0</v>
      </c>
      <c r="AB112" s="238">
        <f t="shared" ca="1" si="17"/>
        <v>0</v>
      </c>
    </row>
    <row r="113" spans="1:28" x14ac:dyDescent="0.25">
      <c r="A113" s="170"/>
      <c r="B113" s="196"/>
      <c r="C113" s="196"/>
      <c r="D113" s="196"/>
      <c r="E113" s="171"/>
      <c r="F113" s="171"/>
      <c r="G113" s="171"/>
      <c r="H113" s="172"/>
      <c r="I113" s="172"/>
      <c r="J113" s="171"/>
      <c r="K113" s="173"/>
      <c r="L113" s="174"/>
      <c r="M113" s="173"/>
      <c r="N113" s="173"/>
      <c r="O113" s="173"/>
      <c r="P113" s="173"/>
      <c r="Q113" s="173"/>
      <c r="R113" s="173"/>
      <c r="S113" s="111"/>
      <c r="T113" s="111"/>
      <c r="U113" s="109"/>
      <c r="V113" s="111"/>
      <c r="W113" s="27">
        <f ca="1">SUMIF(S!$A$5:$K$152,Nov!G113,S!$N$5:$N$152)</f>
        <v>0</v>
      </c>
      <c r="X113" s="176">
        <f>SUMIF(T!$A$4:$A$370,B113,T!$B$4:$B$370)+SUMIF(T!$A$4:$A$370,C113,T!$B$4:$B$370)+SUMIF(T!$A$4:$A$370,D113,T!$B$4:$B$370)+(K113+O113)+(L113+P113)*EERR!$D$2</f>
        <v>0</v>
      </c>
      <c r="Y113" s="177">
        <f>X113/EERR!$D$2</f>
        <v>0</v>
      </c>
      <c r="Z113" s="183">
        <f t="shared" si="29"/>
        <v>0</v>
      </c>
      <c r="AA113" s="238">
        <f ca="1">SUMIF(S!$A$5:$K$152,Nov!G113,S!$J$5:$J$152)*EERR!$D$2*1.19</f>
        <v>0</v>
      </c>
      <c r="AB113" s="238">
        <f t="shared" ca="1" si="17"/>
        <v>0</v>
      </c>
    </row>
    <row r="114" spans="1:28" x14ac:dyDescent="0.25">
      <c r="A114" s="170"/>
      <c r="B114" s="196"/>
      <c r="C114" s="196"/>
      <c r="D114" s="196"/>
      <c r="E114" s="171"/>
      <c r="F114" s="171"/>
      <c r="G114" s="171"/>
      <c r="H114" s="172"/>
      <c r="I114" s="172"/>
      <c r="J114" s="171"/>
      <c r="K114" s="173"/>
      <c r="L114" s="174"/>
      <c r="M114" s="173"/>
      <c r="N114" s="173"/>
      <c r="O114" s="173"/>
      <c r="P114" s="173"/>
      <c r="Q114" s="173"/>
      <c r="R114" s="173"/>
      <c r="S114" s="111"/>
      <c r="T114" s="111"/>
      <c r="U114" s="109"/>
      <c r="V114" s="111"/>
      <c r="W114" s="27">
        <f ca="1">SUMIF(S!$A$5:$K$152,Nov!G114,S!$N$5:$N$152)</f>
        <v>0</v>
      </c>
      <c r="X114" s="176">
        <f>SUMIF(T!$A$4:$A$370,B114,T!$B$4:$B$370)+SUMIF(T!$A$4:$A$370,C114,T!$B$4:$B$370)+SUMIF(T!$A$4:$A$370,D114,T!$B$4:$B$370)+(K114+O114)+(L114+P114)*EERR!$D$2</f>
        <v>0</v>
      </c>
      <c r="Y114" s="177">
        <f>X114/EERR!$D$2</f>
        <v>0</v>
      </c>
      <c r="Z114" s="183"/>
      <c r="AA114" s="238"/>
      <c r="AB114" s="238"/>
    </row>
    <row r="115" spans="1:28" x14ac:dyDescent="0.25">
      <c r="A115" s="170"/>
      <c r="B115" s="196"/>
      <c r="C115" s="196"/>
      <c r="D115" s="196"/>
      <c r="E115" s="171"/>
      <c r="F115" s="171"/>
      <c r="G115" s="171"/>
      <c r="H115" s="172"/>
      <c r="I115" s="172"/>
      <c r="J115" s="171"/>
      <c r="K115" s="173"/>
      <c r="L115" s="174"/>
      <c r="M115" s="173"/>
      <c r="N115" s="173"/>
      <c r="O115" s="173"/>
      <c r="P115" s="173"/>
      <c r="Q115" s="173"/>
      <c r="R115" s="173"/>
      <c r="S115" s="111"/>
      <c r="T115" s="111"/>
      <c r="U115" s="109"/>
      <c r="V115" s="111"/>
      <c r="W115" s="27">
        <f ca="1">SUMIF(S!$A$5:$K$152,Nov!G115,S!$N$5:$N$152)</f>
        <v>0</v>
      </c>
      <c r="X115" s="176">
        <f>SUMIF(T!$A$4:$A$370,B115,T!$B$4:$B$370)+SUMIF(T!$A$4:$A$370,C115,T!$B$4:$B$370)+SUMIF(T!$A$4:$A$370,D115,T!$B$4:$B$370)+(K115+O115)+(L115+P115)*EERR!$D$2</f>
        <v>0</v>
      </c>
      <c r="Y115" s="177">
        <f>X115/EERR!$D$2</f>
        <v>0</v>
      </c>
      <c r="Z115" s="183"/>
      <c r="AA115" s="238"/>
      <c r="AB115" s="238"/>
    </row>
    <row r="116" spans="1:28" x14ac:dyDescent="0.25">
      <c r="A116" s="170"/>
      <c r="B116" s="196"/>
      <c r="C116" s="196"/>
      <c r="D116" s="196"/>
      <c r="E116" s="171"/>
      <c r="F116" s="171"/>
      <c r="G116" s="171"/>
      <c r="H116" s="172"/>
      <c r="I116" s="172"/>
      <c r="J116" s="171"/>
      <c r="K116" s="173"/>
      <c r="L116" s="174"/>
      <c r="M116" s="173"/>
      <c r="N116" s="173"/>
      <c r="O116" s="173"/>
      <c r="P116" s="173"/>
      <c r="Q116" s="173"/>
      <c r="R116" s="173"/>
      <c r="S116" s="111"/>
      <c r="T116" s="111"/>
      <c r="U116" s="109"/>
      <c r="V116" s="111"/>
      <c r="W116" s="27">
        <f ca="1">SUMIF(S!$A$5:$K$152,Nov!G116,S!$N$5:$N$152)</f>
        <v>0</v>
      </c>
      <c r="X116" s="176">
        <f>SUMIF(T!$A$4:$A$370,B116,T!$B$4:$B$370)+SUMIF(T!$A$4:$A$370,C116,T!$B$4:$B$370)+SUMIF(T!$A$4:$A$370,D116,T!$B$4:$B$370)+(K116+O116)+(L116+P116)*EERR!$D$2</f>
        <v>0</v>
      </c>
      <c r="Y116" s="177">
        <f>X116/EERR!$D$2</f>
        <v>0</v>
      </c>
      <c r="Z116" s="183"/>
      <c r="AA116" s="238"/>
      <c r="AB116" s="238"/>
    </row>
    <row r="117" spans="1:28" x14ac:dyDescent="0.25">
      <c r="A117" s="170"/>
      <c r="B117" s="196"/>
      <c r="C117" s="196"/>
      <c r="D117" s="196"/>
      <c r="E117" s="171"/>
      <c r="F117" s="171"/>
      <c r="G117" s="171"/>
      <c r="H117" s="172"/>
      <c r="I117" s="172"/>
      <c r="J117" s="171"/>
      <c r="K117" s="173"/>
      <c r="L117" s="174"/>
      <c r="M117" s="173"/>
      <c r="N117" s="173"/>
      <c r="O117" s="173"/>
      <c r="P117" s="173"/>
      <c r="Q117" s="173"/>
      <c r="R117" s="173"/>
      <c r="S117" s="111"/>
      <c r="T117" s="111"/>
      <c r="U117" s="109"/>
      <c r="V117" s="111"/>
      <c r="W117" s="27">
        <f ca="1">SUMIF(S!$A$5:$K$152,Nov!G117,S!$N$5:$N$152)</f>
        <v>0</v>
      </c>
      <c r="X117" s="176">
        <f>SUMIF(T!$A$4:$A$370,B117,T!$B$4:$B$370)+SUMIF(T!$A$4:$A$370,C117,T!$B$4:$B$370)+SUMIF(T!$A$4:$A$370,D117,T!$B$4:$B$370)+(K117+O117)+(L117+P117)*EERR!$D$2</f>
        <v>0</v>
      </c>
      <c r="Y117" s="177">
        <f>X117/EERR!$D$2</f>
        <v>0</v>
      </c>
      <c r="Z117" s="183"/>
      <c r="AA117" s="238"/>
      <c r="AB117" s="238"/>
    </row>
    <row r="118" spans="1:28" x14ac:dyDescent="0.25">
      <c r="A118" s="170"/>
      <c r="B118" s="196"/>
      <c r="C118" s="196"/>
      <c r="D118" s="196"/>
      <c r="E118" s="171"/>
      <c r="F118" s="171"/>
      <c r="G118" s="171"/>
      <c r="H118" s="172"/>
      <c r="I118" s="172"/>
      <c r="J118" s="171"/>
      <c r="K118" s="173"/>
      <c r="L118" s="174"/>
      <c r="M118" s="173"/>
      <c r="N118" s="173"/>
      <c r="O118" s="173"/>
      <c r="P118" s="173"/>
      <c r="Q118" s="173"/>
      <c r="R118" s="173"/>
      <c r="S118" s="111"/>
      <c r="T118" s="111"/>
      <c r="U118" s="109"/>
      <c r="V118" s="111"/>
      <c r="W118" s="27">
        <f ca="1">SUMIF(S!$A$5:$K$152,Nov!G118,S!$N$5:$N$152)</f>
        <v>0</v>
      </c>
      <c r="X118" s="176">
        <f>SUMIF(T!$A$4:$A$370,B118,T!$B$4:$B$370)+SUMIF(T!$A$4:$A$370,C118,T!$B$4:$B$370)+SUMIF(T!$A$4:$A$370,D118,T!$B$4:$B$370)+(K118+O118)+(L118+P118)*EERR!$D$2</f>
        <v>0</v>
      </c>
      <c r="Y118" s="177">
        <f>X118/EERR!$D$2</f>
        <v>0</v>
      </c>
      <c r="Z118" s="183"/>
      <c r="AA118" s="238"/>
      <c r="AB118" s="238"/>
    </row>
    <row r="119" spans="1:28" x14ac:dyDescent="0.25">
      <c r="A119" s="170"/>
      <c r="B119" s="196"/>
      <c r="C119" s="196"/>
      <c r="D119" s="196"/>
      <c r="E119" s="171"/>
      <c r="F119" s="171"/>
      <c r="G119" s="171"/>
      <c r="H119" s="172"/>
      <c r="I119" s="172"/>
      <c r="J119" s="171"/>
      <c r="K119" s="173"/>
      <c r="L119" s="174"/>
      <c r="M119" s="173"/>
      <c r="N119" s="173"/>
      <c r="O119" s="173"/>
      <c r="P119" s="173"/>
      <c r="Q119" s="173"/>
      <c r="R119" s="173"/>
      <c r="S119" s="111"/>
      <c r="T119" s="111"/>
      <c r="U119" s="109"/>
      <c r="V119" s="111"/>
      <c r="W119" s="27">
        <f ca="1">SUMIF(S!$A$5:$K$152,Nov!G119,S!$N$5:$N$152)</f>
        <v>0</v>
      </c>
      <c r="X119" s="176">
        <f>SUMIF(T!$A$4:$A$370,B119,T!$B$4:$B$370)+SUMIF(T!$A$4:$A$370,C119,T!$B$4:$B$370)+SUMIF(T!$A$4:$A$370,D119,T!$B$4:$B$370)+(K119+O119)+(L119+P119)*EERR!$D$2</f>
        <v>0</v>
      </c>
      <c r="Y119" s="177">
        <f>X119/EERR!$D$2</f>
        <v>0</v>
      </c>
      <c r="Z119" s="183">
        <f t="shared" si="25"/>
        <v>0</v>
      </c>
      <c r="AA119" s="238">
        <f ca="1">SUMIF(S!$A$5:$K$152,Nov!G119,S!$J$5:$J$152)*EERR!$D$2*1.19</f>
        <v>0</v>
      </c>
      <c r="AB119" s="238">
        <f t="shared" ca="1" si="17"/>
        <v>0</v>
      </c>
    </row>
    <row r="120" spans="1:28" x14ac:dyDescent="0.25">
      <c r="A120" s="170"/>
      <c r="B120" s="196"/>
      <c r="C120" s="196"/>
      <c r="D120" s="196"/>
      <c r="E120" s="171"/>
      <c r="F120" s="171"/>
      <c r="G120" s="171"/>
      <c r="H120" s="172"/>
      <c r="I120" s="172"/>
      <c r="J120" s="171"/>
      <c r="K120" s="173"/>
      <c r="L120" s="174"/>
      <c r="M120" s="173"/>
      <c r="N120" s="173"/>
      <c r="O120" s="173"/>
      <c r="P120" s="173"/>
      <c r="Q120" s="173"/>
      <c r="R120" s="173"/>
      <c r="S120" s="111"/>
      <c r="T120" s="111"/>
      <c r="U120" s="109"/>
      <c r="V120" s="111"/>
      <c r="W120" s="27">
        <f ca="1">SUMIF(S!$A$5:$K$152,Nov!G120,S!$N$5:$N$152)</f>
        <v>0</v>
      </c>
      <c r="X120" s="176">
        <f>SUMIF(T!$A$4:$A$370,B120,T!$B$4:$B$370)+SUMIF(T!$A$4:$A$370,C120,T!$B$4:$B$370)+SUMIF(T!$A$4:$A$370,D120,T!$B$4:$B$370)+(K120+O120)+(L120+P120)*EERR!$D$2</f>
        <v>0</v>
      </c>
      <c r="Y120" s="177">
        <f>X120/EERR!$D$2</f>
        <v>0</v>
      </c>
      <c r="Z120" s="183">
        <f t="shared" si="25"/>
        <v>0</v>
      </c>
      <c r="AA120" s="238">
        <f ca="1">SUMIF(S!$A$5:$K$152,Nov!G120,S!$J$5:$J$152)*EERR!$D$2*1.19</f>
        <v>0</v>
      </c>
      <c r="AB120" s="238">
        <f t="shared" ca="1" si="17"/>
        <v>0</v>
      </c>
    </row>
    <row r="121" spans="1:28" x14ac:dyDescent="0.25">
      <c r="A121" s="170"/>
      <c r="B121" s="196"/>
      <c r="C121" s="196"/>
      <c r="D121" s="196"/>
      <c r="E121" s="171"/>
      <c r="F121" s="171"/>
      <c r="G121" s="171"/>
      <c r="H121" s="172"/>
      <c r="I121" s="172"/>
      <c r="J121" s="171"/>
      <c r="K121" s="173"/>
      <c r="L121" s="174"/>
      <c r="M121" s="173"/>
      <c r="N121" s="173"/>
      <c r="O121" s="173"/>
      <c r="P121" s="173"/>
      <c r="Q121" s="173"/>
      <c r="R121" s="173"/>
      <c r="S121" s="111"/>
      <c r="T121" s="111"/>
      <c r="U121" s="109"/>
      <c r="V121" s="111"/>
      <c r="W121" s="27">
        <f ca="1">SUMIF(S!$A$5:$K$152,Nov!G121,S!$N$5:$N$152)</f>
        <v>0</v>
      </c>
      <c r="X121" s="176">
        <f>SUMIF(T!$A$4:$A$370,B121,T!$B$4:$B$370)+SUMIF(T!$A$4:$A$370,C121,T!$B$4:$B$370)+SUMIF(T!$A$4:$A$370,D121,T!$B$4:$B$370)+(K121+O121)+(L121+P121)*EERR!$D$2</f>
        <v>0</v>
      </c>
      <c r="Y121" s="177">
        <f>X121/EERR!$D$2</f>
        <v>0</v>
      </c>
      <c r="Z121" s="183">
        <f t="shared" si="25"/>
        <v>0</v>
      </c>
      <c r="AA121" s="238">
        <f ca="1">SUMIF(S!$A$5:$K$152,Nov!G121,S!$J$5:$J$152)*EERR!$D$2*1.19</f>
        <v>0</v>
      </c>
      <c r="AB121" s="238">
        <f t="shared" ca="1" si="17"/>
        <v>0</v>
      </c>
    </row>
    <row r="122" spans="1:28" x14ac:dyDescent="0.25">
      <c r="A122" s="170"/>
      <c r="B122" s="196"/>
      <c r="C122" s="196"/>
      <c r="D122" s="196"/>
      <c r="E122" s="171"/>
      <c r="F122" s="171"/>
      <c r="G122" s="171"/>
      <c r="H122" s="172"/>
      <c r="I122" s="172"/>
      <c r="J122" s="171"/>
      <c r="K122" s="173"/>
      <c r="L122" s="174"/>
      <c r="M122" s="173"/>
      <c r="N122" s="173"/>
      <c r="O122" s="173"/>
      <c r="P122" s="173"/>
      <c r="Q122" s="173"/>
      <c r="R122" s="173"/>
      <c r="S122" s="111"/>
      <c r="T122" s="111"/>
      <c r="U122" s="109"/>
      <c r="V122" s="111"/>
      <c r="W122" s="27">
        <f ca="1">SUMIF(S!$A$5:$K$152,Nov!G122,S!$N$5:$N$152)</f>
        <v>0</v>
      </c>
      <c r="X122" s="176">
        <f>SUMIF(T!$A$4:$A$370,B122,T!$B$4:$B$370)+SUMIF(T!$A$4:$A$370,C122,T!$B$4:$B$370)+SUMIF(T!$A$4:$A$370,D122,T!$B$4:$B$370)+(K122+O122)+(L122+P122)*EERR!$D$2</f>
        <v>0</v>
      </c>
      <c r="Y122" s="178">
        <f>X122/EERR!$D$2</f>
        <v>0</v>
      </c>
      <c r="Z122" s="183">
        <f t="shared" si="25"/>
        <v>0</v>
      </c>
      <c r="AA122" s="238">
        <f ca="1">SUMIF(S!$A$5:$K$152,Nov!G122,S!$J$5:$J$152)*EERR!$D$2*1.19</f>
        <v>0</v>
      </c>
      <c r="AB122" s="238">
        <f t="shared" ca="1" si="17"/>
        <v>0</v>
      </c>
    </row>
    <row r="123" spans="1:28" x14ac:dyDescent="0.25">
      <c r="A123" s="170"/>
      <c r="B123" s="196"/>
      <c r="C123" s="196"/>
      <c r="D123" s="196"/>
      <c r="E123" s="171"/>
      <c r="F123" s="171"/>
      <c r="G123" s="171"/>
      <c r="H123" s="172"/>
      <c r="I123" s="172"/>
      <c r="J123" s="171"/>
      <c r="K123" s="173"/>
      <c r="L123" s="174"/>
      <c r="M123" s="173"/>
      <c r="N123" s="173"/>
      <c r="O123" s="173"/>
      <c r="P123" s="173"/>
      <c r="Q123" s="173"/>
      <c r="R123" s="173"/>
      <c r="S123" s="111"/>
      <c r="T123" s="111"/>
      <c r="U123" s="109"/>
      <c r="V123" s="111"/>
      <c r="W123" s="27">
        <f ca="1">SUMIF(S!$A$5:$K$152,Nov!G123,S!$N$5:$N$152)</f>
        <v>0</v>
      </c>
      <c r="X123" s="176">
        <f>SUMIF(T!$A$4:$A$370,B123,T!$B$4:$B$370)+SUMIF(T!$A$4:$A$370,C123,T!$B$4:$B$370)+SUMIF(T!$A$4:$A$370,D123,T!$B$4:$B$370)+(K123+O123)+(L123+P123)*EERR!$D$2</f>
        <v>0</v>
      </c>
      <c r="Y123" s="178">
        <f>X123/EERR!$D$2</f>
        <v>0</v>
      </c>
      <c r="Z123" s="183">
        <f t="shared" si="25"/>
        <v>0</v>
      </c>
      <c r="AA123" s="238">
        <f ca="1">SUMIF(S!$A$5:$K$152,Nov!G123,S!$J$5:$J$152)*EERR!$D$2*1.19</f>
        <v>0</v>
      </c>
      <c r="AB123" s="238">
        <f t="shared" ca="1" si="17"/>
        <v>0</v>
      </c>
    </row>
    <row r="124" spans="1:28" x14ac:dyDescent="0.25">
      <c r="A124" s="170"/>
      <c r="B124" s="196"/>
      <c r="C124" s="196"/>
      <c r="D124" s="196"/>
      <c r="E124" s="171"/>
      <c r="F124" s="171"/>
      <c r="G124" s="171"/>
      <c r="H124" s="172"/>
      <c r="I124" s="172"/>
      <c r="J124" s="171"/>
      <c r="K124" s="173"/>
      <c r="L124" s="174"/>
      <c r="M124" s="173"/>
      <c r="N124" s="173"/>
      <c r="O124" s="173"/>
      <c r="P124" s="173"/>
      <c r="Q124" s="173"/>
      <c r="R124" s="173"/>
      <c r="S124" s="111"/>
      <c r="T124" s="111"/>
      <c r="U124" s="109"/>
      <c r="V124" s="111"/>
      <c r="W124" s="27">
        <f ca="1">SUMIF(S!$A$5:$K$152,Nov!G124,S!$N$5:$N$152)</f>
        <v>0</v>
      </c>
      <c r="X124" s="176">
        <f>SUMIF(T!$A$4:$A$370,B124,T!$B$4:$B$370)+SUMIF(T!$A$4:$A$370,C124,T!$B$4:$B$370)+SUMIF(T!$A$4:$A$370,D124,T!$B$4:$B$370)+(K124+O124)+(L124+P124)*EERR!$D$2</f>
        <v>0</v>
      </c>
      <c r="Y124" s="178">
        <f>X124/EERR!$D$2</f>
        <v>0</v>
      </c>
      <c r="Z124" s="183">
        <f t="shared" si="25"/>
        <v>0</v>
      </c>
      <c r="AA124" s="238">
        <f ca="1">SUMIF(S!$A$5:$K$152,Nov!G124,S!$J$5:$J$152)*EERR!$D$2*1.19</f>
        <v>0</v>
      </c>
      <c r="AB124" s="238">
        <f t="shared" ca="1" si="17"/>
        <v>0</v>
      </c>
    </row>
    <row r="125" spans="1:28" ht="12.75" x14ac:dyDescent="0.2">
      <c r="A125" s="155"/>
      <c r="B125" s="155"/>
      <c r="C125" s="155"/>
      <c r="D125" s="155"/>
      <c r="E125" s="155"/>
      <c r="F125" s="155"/>
      <c r="G125" s="155"/>
      <c r="H125" s="156"/>
      <c r="I125" s="156"/>
      <c r="J125" s="155">
        <f>SUM(J96:J124)</f>
        <v>39</v>
      </c>
      <c r="K125" s="155">
        <f t="shared" ref="K125:Q125" si="34">SUM(K96:K124)</f>
        <v>0</v>
      </c>
      <c r="L125" s="155">
        <f t="shared" si="34"/>
        <v>2047.25</v>
      </c>
      <c r="M125" s="155">
        <f t="shared" si="34"/>
        <v>0</v>
      </c>
      <c r="N125" s="155">
        <f t="shared" si="34"/>
        <v>2931.16</v>
      </c>
      <c r="O125" s="155">
        <f t="shared" si="34"/>
        <v>0</v>
      </c>
      <c r="P125" s="155">
        <f t="shared" si="34"/>
        <v>0</v>
      </c>
      <c r="Q125" s="155">
        <f t="shared" si="34"/>
        <v>0</v>
      </c>
      <c r="R125" s="155"/>
      <c r="S125" s="155">
        <f>SUM(S96:S124)</f>
        <v>8222.86</v>
      </c>
      <c r="T125" s="277">
        <f>SUM(T96:T124)</f>
        <v>0</v>
      </c>
      <c r="U125" s="161">
        <f>IF(J125=0,(S125+T125/EERR!$D$2/1.19),(S125+T125/EERR!$D$2/1.19)/J125)</f>
        <v>210.84256410256413</v>
      </c>
      <c r="V125" s="277">
        <f>SUM(V96:V124)</f>
        <v>7285453.9600000009</v>
      </c>
      <c r="W125" s="161">
        <f ca="1">SUM(W96:W124)</f>
        <v>39</v>
      </c>
      <c r="X125" s="161">
        <f t="shared" ref="X125:Y125" si="35">SUM(X96:X124)</f>
        <v>6958201.0000000009</v>
      </c>
      <c r="Y125" s="161">
        <f t="shared" si="35"/>
        <v>7853.5</v>
      </c>
    </row>
    <row r="126" spans="1:28" x14ac:dyDescent="0.25">
      <c r="A126" s="39"/>
      <c r="B126" s="155"/>
      <c r="C126" s="155"/>
      <c r="D126" s="155"/>
      <c r="E126" s="39"/>
      <c r="F126" s="39"/>
      <c r="G126" s="39"/>
      <c r="H126" s="108"/>
      <c r="I126" s="108"/>
      <c r="J126" s="39"/>
      <c r="K126" s="109"/>
      <c r="L126" s="110"/>
      <c r="M126" s="109"/>
      <c r="N126" s="109"/>
      <c r="O126" s="109"/>
      <c r="P126" s="109"/>
      <c r="Q126" s="109"/>
      <c r="R126" s="109"/>
      <c r="S126" s="111"/>
      <c r="T126" s="111"/>
      <c r="U126" s="109">
        <f>IF(J126=0,(S126+T126/EERR!$D$2/1.19),(S126+T126/EERR!$D$2/1.19)/J126)</f>
        <v>0</v>
      </c>
      <c r="V126" s="39"/>
      <c r="X126" s="62"/>
      <c r="Y126" s="62"/>
    </row>
    <row r="127" spans="1:28" x14ac:dyDescent="0.25">
      <c r="A127" s="162"/>
      <c r="B127" s="197"/>
      <c r="C127" s="197"/>
      <c r="D127" s="197"/>
      <c r="E127" s="162" t="s">
        <v>160</v>
      </c>
      <c r="F127" s="162"/>
      <c r="G127" s="162"/>
      <c r="H127" s="163"/>
      <c r="I127" s="163"/>
      <c r="J127" s="162"/>
      <c r="K127" s="164"/>
      <c r="L127" s="165"/>
      <c r="M127" s="164"/>
      <c r="N127" s="164"/>
      <c r="O127" s="164"/>
      <c r="P127" s="164"/>
      <c r="Q127" s="164"/>
      <c r="R127" s="164"/>
      <c r="S127" s="166"/>
      <c r="T127" s="166">
        <f t="shared" ref="T127" si="36">M127+O127+K127</f>
        <v>0</v>
      </c>
      <c r="U127" s="164">
        <f>IF(J127=0,(S127+T127/EERR!$D$2/1.19),(S127+T127/EERR!$D$2/1.19)/J127)</f>
        <v>0</v>
      </c>
      <c r="V127" s="162"/>
      <c r="X127" s="62">
        <f>IF((M127+N127)&gt;0,SUMIF(#REF!,Nov!A127,#REF!),K127+(L127+Nov!P127)*EERR!$D$2+Nov!O127)</f>
        <v>0</v>
      </c>
      <c r="Y127" s="62">
        <f>X127/EERR!$D$2</f>
        <v>0</v>
      </c>
    </row>
    <row r="128" spans="1:28" x14ac:dyDescent="0.25">
      <c r="A128" s="155"/>
      <c r="B128" s="155"/>
      <c r="C128" s="155"/>
      <c r="D128" s="155"/>
      <c r="E128" s="155"/>
      <c r="F128" s="155"/>
      <c r="G128" s="155"/>
      <c r="H128" s="156"/>
      <c r="I128" s="156"/>
      <c r="J128" s="161">
        <f t="shared" ref="J128:T128" si="37">SUM(J127:J127)</f>
        <v>0</v>
      </c>
      <c r="K128" s="161">
        <f t="shared" si="37"/>
        <v>0</v>
      </c>
      <c r="L128" s="161">
        <f t="shared" si="37"/>
        <v>0</v>
      </c>
      <c r="M128" s="161">
        <f t="shared" si="37"/>
        <v>0</v>
      </c>
      <c r="N128" s="161">
        <f>SUM(N126:N127)</f>
        <v>0</v>
      </c>
      <c r="O128" s="161">
        <f t="shared" si="37"/>
        <v>0</v>
      </c>
      <c r="P128" s="161">
        <f t="shared" si="37"/>
        <v>0</v>
      </c>
      <c r="Q128" s="161"/>
      <c r="R128" s="161"/>
      <c r="S128" s="161">
        <f t="shared" si="37"/>
        <v>0</v>
      </c>
      <c r="T128" s="161">
        <f t="shared" si="37"/>
        <v>0</v>
      </c>
      <c r="U128" s="155"/>
      <c r="V128" s="161"/>
      <c r="W128" s="155"/>
      <c r="X128" s="167"/>
      <c r="Y128" s="167"/>
    </row>
    <row r="129" spans="1:25" x14ac:dyDescent="0.25">
      <c r="A129" s="155"/>
      <c r="B129" s="155"/>
      <c r="C129" s="155"/>
      <c r="D129" s="155"/>
      <c r="E129" s="168"/>
      <c r="F129" s="168"/>
      <c r="G129" s="168"/>
      <c r="H129" s="169">
        <f>H63+H95+H125</f>
        <v>0</v>
      </c>
      <c r="I129" s="169">
        <f>I63+I95+I125</f>
        <v>0</v>
      </c>
      <c r="J129" s="169">
        <f t="shared" ref="J129:S129" si="38">J63+J95+J125+J128</f>
        <v>252</v>
      </c>
      <c r="K129" s="169">
        <f t="shared" si="38"/>
        <v>0</v>
      </c>
      <c r="L129" s="169">
        <f t="shared" si="38"/>
        <v>8897.73</v>
      </c>
      <c r="M129" s="169">
        <f t="shared" si="38"/>
        <v>0</v>
      </c>
      <c r="N129" s="169">
        <f t="shared" si="38"/>
        <v>16693.11</v>
      </c>
      <c r="O129" s="169">
        <f t="shared" si="38"/>
        <v>0</v>
      </c>
      <c r="P129" s="169">
        <f t="shared" si="38"/>
        <v>6652.65</v>
      </c>
      <c r="Q129" s="169">
        <f t="shared" si="38"/>
        <v>1918573</v>
      </c>
      <c r="R129" s="169">
        <f t="shared" si="38"/>
        <v>13477.23</v>
      </c>
      <c r="S129" s="169">
        <f t="shared" si="38"/>
        <v>48965.170000000013</v>
      </c>
      <c r="T129" s="169">
        <f>(T63+T95+T125+T128)/1.19</f>
        <v>1612246.218487395</v>
      </c>
      <c r="U129" s="169">
        <f>(U63*J63+U95*J95+U125*J125)/J129</f>
        <v>201.52722615682848</v>
      </c>
      <c r="V129" s="169">
        <f>V63+V95+V125</f>
        <v>45301713.619999997</v>
      </c>
      <c r="W129" s="169">
        <f ca="1">W63+W95+W125+W128</f>
        <v>252</v>
      </c>
      <c r="X129" s="167">
        <f>X63+X95+X125</f>
        <v>44974460.659999996</v>
      </c>
      <c r="Y129" s="167"/>
    </row>
    <row r="130" spans="1:25" ht="12.75" x14ac:dyDescent="0.2">
      <c r="A130" s="155"/>
      <c r="B130" s="155"/>
      <c r="C130" s="155"/>
      <c r="D130" s="155"/>
      <c r="E130" s="155"/>
      <c r="F130" s="155"/>
      <c r="G130" s="155"/>
      <c r="H130" s="161"/>
      <c r="I130" s="161"/>
      <c r="J130" s="161"/>
      <c r="K130" s="161">
        <f>(K129)/EERR!$D$2</f>
        <v>0</v>
      </c>
      <c r="L130" s="161">
        <f>L129</f>
        <v>8897.73</v>
      </c>
      <c r="M130" s="161">
        <f>(M129)/EERR!$D$2</f>
        <v>0</v>
      </c>
      <c r="N130" s="161">
        <f>N129</f>
        <v>16693.11</v>
      </c>
      <c r="O130" s="161">
        <f>(O129)/EERR!$D$2</f>
        <v>0</v>
      </c>
      <c r="P130" s="161">
        <f>(P129)/EERR!$D$2</f>
        <v>7.5086343115124148</v>
      </c>
      <c r="Q130" s="161"/>
      <c r="R130" s="161"/>
      <c r="S130" s="161">
        <f>S129+S128</f>
        <v>48965.170000000013</v>
      </c>
      <c r="T130" s="161">
        <f>(T129)/EERR!D2</f>
        <v>1819.6909915207618</v>
      </c>
      <c r="U130" s="161">
        <f>U129+U128</f>
        <v>201.52722615682848</v>
      </c>
      <c r="V130" s="161">
        <f>V129+V128</f>
        <v>45301713.619999997</v>
      </c>
      <c r="W130" s="161">
        <f>SUM(K130:V130)</f>
        <v>45378298.356851988</v>
      </c>
      <c r="X130" s="155"/>
      <c r="Y130" s="155"/>
    </row>
    <row r="131" spans="1:25" ht="12.75" x14ac:dyDescent="0.2">
      <c r="J131" s="152">
        <f>J129/(31*10)</f>
        <v>0.81290322580645158</v>
      </c>
      <c r="L131" s="210"/>
      <c r="S131" s="335">
        <f>SUM(S130:T130)</f>
        <v>50784.860991520778</v>
      </c>
      <c r="T131" s="335"/>
    </row>
    <row r="132" spans="1:25" ht="12.75" x14ac:dyDescent="0.2">
      <c r="L132" s="28"/>
      <c r="S132" s="336">
        <f>S131*EERR!D2</f>
        <v>44995386.838487409</v>
      </c>
      <c r="T132" s="336">
        <f>S131*EERR!D2</f>
        <v>44995386.838487409</v>
      </c>
    </row>
    <row r="133" spans="1:25" ht="12.75" x14ac:dyDescent="0.2">
      <c r="H133" s="225">
        <f>+L129+P129</f>
        <v>15550.38</v>
      </c>
      <c r="K133" s="80">
        <f>K129/1.19</f>
        <v>0</v>
      </c>
      <c r="L133" s="28"/>
      <c r="Y133" s="27">
        <f>36000*620</f>
        <v>22320000</v>
      </c>
    </row>
    <row r="134" spans="1:25" ht="12.75" x14ac:dyDescent="0.2">
      <c r="G134" s="29" t="s">
        <v>149</v>
      </c>
      <c r="H134" s="29" t="s">
        <v>150</v>
      </c>
      <c r="I134" s="29" t="s">
        <v>228</v>
      </c>
      <c r="K134" s="27"/>
      <c r="L134" s="27"/>
      <c r="S134" s="278" t="s">
        <v>82</v>
      </c>
      <c r="T134" s="279">
        <f>T129*0.19</f>
        <v>306326.78151260503</v>
      </c>
    </row>
    <row r="135" spans="1:25" x14ac:dyDescent="0.25">
      <c r="E135" s="107" t="s">
        <v>187</v>
      </c>
      <c r="F135" s="107"/>
      <c r="G135" s="24">
        <f>-'BCI '!H143</f>
        <v>69000</v>
      </c>
      <c r="H135">
        <f>-'BCI '!H144/EERR!D2</f>
        <v>8695</v>
      </c>
      <c r="I135" s="24">
        <f>-Security!F110</f>
        <v>0</v>
      </c>
      <c r="K135" s="27"/>
      <c r="L135" s="27"/>
      <c r="T135" s="31"/>
    </row>
    <row r="136" spans="1:25" ht="12.75" x14ac:dyDescent="0.2">
      <c r="E136" s="107" t="s">
        <v>186</v>
      </c>
      <c r="F136" s="39"/>
      <c r="G136" s="111">
        <f>+K129</f>
        <v>0</v>
      </c>
      <c r="H136" s="33">
        <f>+L129</f>
        <v>8897.73</v>
      </c>
      <c r="I136" s="111">
        <f>+O129</f>
        <v>0</v>
      </c>
      <c r="K136" s="27"/>
      <c r="L136" s="27"/>
    </row>
    <row r="137" spans="1:25" ht="12.75" x14ac:dyDescent="0.2">
      <c r="E137" s="107"/>
      <c r="F137" s="39"/>
      <c r="G137" s="216">
        <f>+G135-G136</f>
        <v>69000</v>
      </c>
      <c r="H137" s="217">
        <f>+H135-H136</f>
        <v>-202.72999999999956</v>
      </c>
      <c r="I137" s="216">
        <f>+I135-I136</f>
        <v>0</v>
      </c>
      <c r="K137" s="27"/>
      <c r="L137" s="27"/>
    </row>
    <row r="138" spans="1:25" ht="12.75" x14ac:dyDescent="0.2">
      <c r="L138" s="27"/>
      <c r="T138" s="238">
        <f>+T129*0.19</f>
        <v>306326.78151260503</v>
      </c>
    </row>
    <row r="139" spans="1:25" ht="12.75" x14ac:dyDescent="0.2">
      <c r="L139" s="27"/>
    </row>
    <row r="140" spans="1:25" ht="16.5" thickBot="1" x14ac:dyDescent="0.3">
      <c r="E140" s="214" t="s">
        <v>81</v>
      </c>
      <c r="F140" s="215">
        <f>(T129)*0.19</f>
        <v>306326.78151260503</v>
      </c>
      <c r="L140" s="27"/>
    </row>
    <row r="141" spans="1:25" ht="12.75" x14ac:dyDescent="0.2">
      <c r="L141" s="27"/>
    </row>
    <row r="142" spans="1:25" ht="12.75" x14ac:dyDescent="0.2">
      <c r="L142" s="27"/>
    </row>
    <row r="143" spans="1:25" ht="12.75" x14ac:dyDescent="0.2">
      <c r="L143" s="27"/>
    </row>
    <row r="144" spans="1:25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  <row r="165" spans="12:12" ht="12.75" x14ac:dyDescent="0.2">
      <c r="L165" s="27"/>
    </row>
    <row r="166" spans="12:12" ht="12.75" x14ac:dyDescent="0.2">
      <c r="L166" s="27"/>
    </row>
    <row r="167" spans="12:12" ht="12.75" x14ac:dyDescent="0.2">
      <c r="L167" s="27"/>
    </row>
    <row r="168" spans="12:12" ht="12.75" x14ac:dyDescent="0.2">
      <c r="L168" s="27"/>
    </row>
    <row r="169" spans="12:12" ht="12.75" x14ac:dyDescent="0.2">
      <c r="L169" s="27"/>
    </row>
    <row r="170" spans="12:12" ht="12.75" x14ac:dyDescent="0.2">
      <c r="L170" s="27"/>
    </row>
    <row r="171" spans="12:12" ht="12.75" x14ac:dyDescent="0.2">
      <c r="L171" s="27"/>
    </row>
    <row r="172" spans="12:12" ht="12.75" x14ac:dyDescent="0.2">
      <c r="L172" s="27"/>
    </row>
    <row r="173" spans="12:12" ht="12.75" x14ac:dyDescent="0.2">
      <c r="L173" s="27"/>
    </row>
    <row r="174" spans="12:12" ht="12.75" x14ac:dyDescent="0.2">
      <c r="L174" s="27"/>
    </row>
    <row r="175" spans="12:12" ht="12.75" x14ac:dyDescent="0.2">
      <c r="L175" s="27"/>
    </row>
    <row r="176" spans="12:12" ht="12.75" x14ac:dyDescent="0.2">
      <c r="L176" s="27"/>
    </row>
    <row r="177" spans="12:12" ht="12.75" x14ac:dyDescent="0.2">
      <c r="L177" s="27"/>
    </row>
    <row r="178" spans="12:12" ht="12.75" x14ac:dyDescent="0.2">
      <c r="L178" s="27"/>
    </row>
    <row r="179" spans="12:12" ht="12.75" x14ac:dyDescent="0.2">
      <c r="L179" s="27"/>
    </row>
    <row r="180" spans="12:12" ht="12.75" x14ac:dyDescent="0.2">
      <c r="L180" s="27"/>
    </row>
    <row r="181" spans="12:12" ht="12.75" x14ac:dyDescent="0.2">
      <c r="L181" s="27"/>
    </row>
    <row r="182" spans="12:12" ht="12.75" x14ac:dyDescent="0.2">
      <c r="L182" s="27"/>
    </row>
    <row r="183" spans="12:12" ht="12.75" x14ac:dyDescent="0.2">
      <c r="L183" s="27"/>
    </row>
    <row r="184" spans="12:12" ht="12.75" x14ac:dyDescent="0.2">
      <c r="L184" s="27"/>
    </row>
    <row r="185" spans="12:12" ht="12.75" x14ac:dyDescent="0.2">
      <c r="L185" s="27"/>
    </row>
    <row r="186" spans="12:12" ht="12.75" x14ac:dyDescent="0.2">
      <c r="L186" s="27"/>
    </row>
    <row r="187" spans="12:12" ht="12.75" x14ac:dyDescent="0.2">
      <c r="L187" s="27"/>
    </row>
    <row r="188" spans="12:12" ht="12.75" x14ac:dyDescent="0.2">
      <c r="L188" s="27"/>
    </row>
    <row r="189" spans="12:12" ht="12.75" x14ac:dyDescent="0.2">
      <c r="L189" s="27"/>
    </row>
    <row r="190" spans="12:12" ht="12.75" x14ac:dyDescent="0.2">
      <c r="L190" s="27"/>
    </row>
    <row r="191" spans="12:12" ht="12.75" x14ac:dyDescent="0.2">
      <c r="L191" s="27"/>
    </row>
    <row r="192" spans="12:12" ht="12.75" x14ac:dyDescent="0.2">
      <c r="L192" s="27"/>
    </row>
    <row r="193" spans="12:12" ht="12.75" x14ac:dyDescent="0.2">
      <c r="L193" s="27"/>
    </row>
  </sheetData>
  <autoFilter ref="A2:X124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31:T131"/>
    <mergeCell ref="S132:T132"/>
    <mergeCell ref="K1:L1"/>
    <mergeCell ref="M1:N1"/>
    <mergeCell ref="O1:P1"/>
    <mergeCell ref="Q1:R1"/>
  </mergeCells>
  <conditionalFormatting sqref="X63:Y63 X95:Y95 X125:Y125 W122:W11017 W3:W14 W63:W95">
    <cfRule type="expression" dxfId="5" priority="36">
      <formula>IF(J3=W3,0,1)</formula>
    </cfRule>
  </conditionalFormatting>
  <conditionalFormatting sqref="X122:X124 X3:X14 X64:X94">
    <cfRule type="expression" dxfId="4" priority="16">
      <formula>IF(Z3&gt;10000,1,0)</formula>
    </cfRule>
  </conditionalFormatting>
  <conditionalFormatting sqref="W96:W121">
    <cfRule type="expression" dxfId="3" priority="6">
      <formula>IF(J96=W96,0,1)</formula>
    </cfRule>
  </conditionalFormatting>
  <conditionalFormatting sqref="X96:X121">
    <cfRule type="expression" dxfId="2" priority="5">
      <formula>IF(Z96&gt;10000,1,0)</formula>
    </cfRule>
  </conditionalFormatting>
  <conditionalFormatting sqref="W15:W62">
    <cfRule type="expression" dxfId="1" priority="2">
      <formula>IF(J15=W15,0,1)</formula>
    </cfRule>
  </conditionalFormatting>
  <conditionalFormatting sqref="X15:X62">
    <cfRule type="expression" dxfId="0" priority="1">
      <formula>IF(Z15&gt;10000,1,0)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15"/>
  <sheetViews>
    <sheetView topLeftCell="A69" zoomScale="70" zoomScaleNormal="70" workbookViewId="0">
      <selection activeCell="N115" sqref="N115"/>
    </sheetView>
  </sheetViews>
  <sheetFormatPr baseColWidth="10" defaultColWidth="11.5703125" defaultRowHeight="15" x14ac:dyDescent="0.25"/>
  <cols>
    <col min="1" max="1" width="19.28515625" customWidth="1"/>
    <col min="2" max="2" width="36.5703125" customWidth="1"/>
    <col min="3" max="4" width="17" customWidth="1"/>
    <col min="5" max="6" width="16.5703125" customWidth="1"/>
    <col min="7" max="8" width="15.42578125" customWidth="1"/>
    <col min="9" max="9" width="15.5703125" customWidth="1"/>
    <col min="10" max="10" width="11.85546875" customWidth="1"/>
    <col min="11" max="11" width="19.140625" customWidth="1"/>
    <col min="12" max="12" width="12.7109375" bestFit="1" customWidth="1"/>
  </cols>
  <sheetData>
    <row r="1" spans="1:15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</row>
    <row r="3" spans="1:15" x14ac:dyDescent="0.25">
      <c r="A3" t="s">
        <v>59</v>
      </c>
    </row>
    <row r="4" spans="1:15" x14ac:dyDescent="0.25">
      <c r="A4" s="6" t="s">
        <v>22</v>
      </c>
      <c r="B4" s="6" t="s">
        <v>170</v>
      </c>
      <c r="C4" s="6" t="s">
        <v>168</v>
      </c>
      <c r="D4" s="6" t="s">
        <v>169</v>
      </c>
      <c r="E4" s="6" t="s">
        <v>162</v>
      </c>
      <c r="F4" s="6"/>
      <c r="G4" s="6"/>
      <c r="H4" s="6" t="s">
        <v>167</v>
      </c>
      <c r="I4" s="6" t="s">
        <v>166</v>
      </c>
      <c r="J4" s="6" t="s">
        <v>171</v>
      </c>
      <c r="K4" s="6" t="s">
        <v>248</v>
      </c>
      <c r="L4" s="6" t="s">
        <v>249</v>
      </c>
      <c r="O4" s="211" t="s">
        <v>184</v>
      </c>
    </row>
    <row r="5" spans="1:15" x14ac:dyDescent="0.25">
      <c r="A5" s="32">
        <v>4200218208</v>
      </c>
      <c r="B5" s="175" t="s">
        <v>708</v>
      </c>
      <c r="C5" s="175">
        <v>45231</v>
      </c>
      <c r="D5" s="175">
        <v>45234</v>
      </c>
      <c r="E5" s="175" t="s">
        <v>163</v>
      </c>
      <c r="F5" s="175"/>
      <c r="G5" s="175"/>
      <c r="H5" s="175">
        <v>45199.439652777779</v>
      </c>
      <c r="I5" s="6" t="s">
        <v>291</v>
      </c>
      <c r="J5" s="195">
        <v>1108.08</v>
      </c>
      <c r="K5">
        <f t="shared" ref="K5:K36" si="0">D5-C5</f>
        <v>3</v>
      </c>
      <c r="L5" s="6">
        <v>2</v>
      </c>
      <c r="M5" s="154">
        <f>+J5/(K5*L5)</f>
        <v>184.67999999999998</v>
      </c>
      <c r="N5">
        <f>ROUND(J5/M5,0)</f>
        <v>6</v>
      </c>
      <c r="O5" s="212">
        <f>+N5-(L5*K5)</f>
        <v>0</v>
      </c>
    </row>
    <row r="6" spans="1:15" x14ac:dyDescent="0.25">
      <c r="A6" s="32">
        <v>4028595715</v>
      </c>
      <c r="B6" s="175" t="s">
        <v>709</v>
      </c>
      <c r="C6" s="175">
        <v>45231</v>
      </c>
      <c r="D6" s="175">
        <v>45232</v>
      </c>
      <c r="E6" s="175" t="s">
        <v>163</v>
      </c>
      <c r="F6" s="175"/>
      <c r="G6" s="175"/>
      <c r="H6" s="175">
        <v>45188.809872685182</v>
      </c>
      <c r="I6" s="6" t="s">
        <v>291</v>
      </c>
      <c r="J6" s="195">
        <v>205.2</v>
      </c>
      <c r="K6">
        <f t="shared" si="0"/>
        <v>1</v>
      </c>
      <c r="L6" s="6">
        <v>1</v>
      </c>
      <c r="M6" s="154">
        <f t="shared" ref="M6:M22" si="1">+J6/(K6*L6)</f>
        <v>205.2</v>
      </c>
      <c r="N6">
        <f t="shared" ref="N6:N22" si="2">ROUND(J6/M6,0)</f>
        <v>1</v>
      </c>
      <c r="O6" s="212">
        <f t="shared" ref="O6:O22" si="3">+N6-(L6*K6)</f>
        <v>0</v>
      </c>
    </row>
    <row r="7" spans="1:15" x14ac:dyDescent="0.25">
      <c r="A7" s="32" t="s">
        <v>710</v>
      </c>
      <c r="B7" s="175" t="s">
        <v>711</v>
      </c>
      <c r="C7" s="175">
        <v>45232</v>
      </c>
      <c r="D7" s="175">
        <v>45234</v>
      </c>
      <c r="E7" s="175" t="s">
        <v>236</v>
      </c>
      <c r="F7" s="175" t="s">
        <v>712</v>
      </c>
      <c r="G7" s="175"/>
      <c r="H7" s="175">
        <v>45059.621689814812</v>
      </c>
      <c r="I7" s="6" t="s">
        <v>290</v>
      </c>
      <c r="J7" s="195">
        <v>380</v>
      </c>
      <c r="K7">
        <f t="shared" si="0"/>
        <v>2</v>
      </c>
      <c r="L7" s="6">
        <v>1</v>
      </c>
      <c r="M7" s="154">
        <f t="shared" si="1"/>
        <v>190</v>
      </c>
      <c r="N7">
        <f t="shared" si="2"/>
        <v>2</v>
      </c>
      <c r="O7" s="212">
        <f t="shared" si="3"/>
        <v>0</v>
      </c>
    </row>
    <row r="8" spans="1:15" x14ac:dyDescent="0.25">
      <c r="A8" s="32">
        <v>3343626229</v>
      </c>
      <c r="B8" s="175" t="s">
        <v>713</v>
      </c>
      <c r="C8" s="175">
        <v>45232</v>
      </c>
      <c r="D8" s="175">
        <v>45233</v>
      </c>
      <c r="E8" s="175" t="s">
        <v>163</v>
      </c>
      <c r="F8" s="175"/>
      <c r="G8" s="175"/>
      <c r="H8" s="175">
        <v>45149.532800925925</v>
      </c>
      <c r="I8" s="6" t="s">
        <v>291</v>
      </c>
      <c r="J8" s="195">
        <v>219.45</v>
      </c>
      <c r="K8">
        <f t="shared" si="0"/>
        <v>1</v>
      </c>
      <c r="L8" s="6">
        <v>1</v>
      </c>
      <c r="M8" s="154">
        <f t="shared" si="1"/>
        <v>219.45</v>
      </c>
      <c r="N8">
        <f t="shared" si="2"/>
        <v>1</v>
      </c>
      <c r="O8" s="212">
        <f t="shared" si="3"/>
        <v>0</v>
      </c>
    </row>
    <row r="9" spans="1:15" x14ac:dyDescent="0.25">
      <c r="A9" s="32">
        <v>2808448788</v>
      </c>
      <c r="B9" s="175" t="s">
        <v>714</v>
      </c>
      <c r="C9" s="175">
        <v>45232</v>
      </c>
      <c r="D9" s="175">
        <v>45233</v>
      </c>
      <c r="E9" s="175" t="s">
        <v>163</v>
      </c>
      <c r="F9" s="175"/>
      <c r="G9" s="175"/>
      <c r="H9" s="175">
        <v>45149.543252314812</v>
      </c>
      <c r="I9" s="6" t="s">
        <v>290</v>
      </c>
      <c r="J9" s="195">
        <v>219.45</v>
      </c>
      <c r="K9">
        <f t="shared" si="0"/>
        <v>1</v>
      </c>
      <c r="L9" s="6">
        <v>1</v>
      </c>
      <c r="M9" s="154">
        <f t="shared" si="1"/>
        <v>219.45</v>
      </c>
      <c r="N9">
        <f t="shared" si="2"/>
        <v>1</v>
      </c>
      <c r="O9" s="212">
        <f t="shared" si="3"/>
        <v>0</v>
      </c>
    </row>
    <row r="10" spans="1:15" x14ac:dyDescent="0.25">
      <c r="A10" s="32">
        <v>4070230475</v>
      </c>
      <c r="B10" s="175" t="s">
        <v>715</v>
      </c>
      <c r="C10" s="175">
        <v>45233</v>
      </c>
      <c r="D10" s="175">
        <v>45234</v>
      </c>
      <c r="E10" s="175" t="s">
        <v>163</v>
      </c>
      <c r="F10" s="175"/>
      <c r="G10" s="175"/>
      <c r="H10" s="175">
        <v>45215.759502314817</v>
      </c>
      <c r="I10" s="6" t="s">
        <v>290</v>
      </c>
      <c r="J10" s="195">
        <v>205.2</v>
      </c>
      <c r="K10">
        <f t="shared" si="0"/>
        <v>1</v>
      </c>
      <c r="L10" s="6">
        <v>1</v>
      </c>
      <c r="M10" s="154">
        <f t="shared" si="1"/>
        <v>205.2</v>
      </c>
      <c r="N10">
        <f t="shared" si="2"/>
        <v>1</v>
      </c>
      <c r="O10" s="212">
        <f t="shared" si="3"/>
        <v>0</v>
      </c>
    </row>
    <row r="11" spans="1:15" x14ac:dyDescent="0.25">
      <c r="A11" s="32" t="s">
        <v>716</v>
      </c>
      <c r="B11" s="175" t="s">
        <v>717</v>
      </c>
      <c r="C11" s="175">
        <v>45234</v>
      </c>
      <c r="D11" s="175">
        <v>45237</v>
      </c>
      <c r="E11" s="175" t="s">
        <v>236</v>
      </c>
      <c r="F11" s="175" t="s">
        <v>712</v>
      </c>
      <c r="G11" s="175"/>
      <c r="H11" s="175">
        <v>45002.724965277775</v>
      </c>
      <c r="I11" s="6" t="s">
        <v>290</v>
      </c>
      <c r="J11" s="195">
        <v>1710</v>
      </c>
      <c r="K11">
        <f t="shared" si="0"/>
        <v>3</v>
      </c>
      <c r="L11" s="6">
        <v>3</v>
      </c>
      <c r="M11" s="154">
        <f t="shared" si="1"/>
        <v>190</v>
      </c>
      <c r="N11">
        <f t="shared" si="2"/>
        <v>9</v>
      </c>
      <c r="O11" s="212">
        <f t="shared" si="3"/>
        <v>0</v>
      </c>
    </row>
    <row r="12" spans="1:15" x14ac:dyDescent="0.25">
      <c r="A12" s="32" t="s">
        <v>718</v>
      </c>
      <c r="B12" s="175" t="s">
        <v>711</v>
      </c>
      <c r="C12" s="175">
        <v>45234</v>
      </c>
      <c r="D12" s="175">
        <v>45237</v>
      </c>
      <c r="E12" s="175" t="s">
        <v>236</v>
      </c>
      <c r="F12" s="175" t="s">
        <v>712</v>
      </c>
      <c r="G12" s="175"/>
      <c r="H12" s="175">
        <v>45002.722592592596</v>
      </c>
      <c r="I12" s="6" t="s">
        <v>290</v>
      </c>
      <c r="J12" s="195">
        <v>1710</v>
      </c>
      <c r="K12">
        <f t="shared" si="0"/>
        <v>3</v>
      </c>
      <c r="L12" s="6">
        <v>3</v>
      </c>
      <c r="M12" s="154">
        <f t="shared" si="1"/>
        <v>190</v>
      </c>
      <c r="N12">
        <f t="shared" si="2"/>
        <v>9</v>
      </c>
      <c r="O12" s="212">
        <f t="shared" si="3"/>
        <v>0</v>
      </c>
    </row>
    <row r="13" spans="1:15" x14ac:dyDescent="0.25">
      <c r="A13" s="32" t="s">
        <v>719</v>
      </c>
      <c r="B13" s="175" t="s">
        <v>711</v>
      </c>
      <c r="C13" s="175">
        <v>45234</v>
      </c>
      <c r="D13" s="175">
        <v>45237</v>
      </c>
      <c r="E13" s="175" t="s">
        <v>236</v>
      </c>
      <c r="F13" s="175" t="s">
        <v>712</v>
      </c>
      <c r="G13" s="175"/>
      <c r="H13" s="175">
        <v>45002.731493055559</v>
      </c>
      <c r="I13" s="6" t="s">
        <v>290</v>
      </c>
      <c r="J13" s="195">
        <v>1140</v>
      </c>
      <c r="K13">
        <f t="shared" si="0"/>
        <v>3</v>
      </c>
      <c r="L13" s="6">
        <v>2</v>
      </c>
      <c r="M13" s="154">
        <f t="shared" si="1"/>
        <v>190</v>
      </c>
      <c r="N13">
        <f t="shared" si="2"/>
        <v>6</v>
      </c>
      <c r="O13" s="212">
        <f t="shared" si="3"/>
        <v>0</v>
      </c>
    </row>
    <row r="14" spans="1:15" x14ac:dyDescent="0.25">
      <c r="A14" s="32" t="s">
        <v>720</v>
      </c>
      <c r="B14" s="175" t="s">
        <v>717</v>
      </c>
      <c r="C14" s="175">
        <v>45234</v>
      </c>
      <c r="D14" s="175">
        <v>45237</v>
      </c>
      <c r="E14" s="175" t="s">
        <v>236</v>
      </c>
      <c r="F14" s="175" t="s">
        <v>712</v>
      </c>
      <c r="G14" s="175"/>
      <c r="H14" s="175">
        <v>45022.687037037038</v>
      </c>
      <c r="I14" s="6" t="s">
        <v>290</v>
      </c>
      <c r="J14" s="195">
        <v>1140</v>
      </c>
      <c r="K14">
        <f t="shared" si="0"/>
        <v>3</v>
      </c>
      <c r="L14" s="6">
        <v>2</v>
      </c>
      <c r="M14" s="154">
        <f t="shared" si="1"/>
        <v>190</v>
      </c>
      <c r="N14">
        <f t="shared" si="2"/>
        <v>6</v>
      </c>
      <c r="O14" s="212">
        <f t="shared" si="3"/>
        <v>0</v>
      </c>
    </row>
    <row r="15" spans="1:15" x14ac:dyDescent="0.25">
      <c r="A15" s="32">
        <v>62846166</v>
      </c>
      <c r="B15" s="175" t="s">
        <v>721</v>
      </c>
      <c r="C15" s="175">
        <v>45237</v>
      </c>
      <c r="D15" s="175">
        <v>45243</v>
      </c>
      <c r="E15" s="175" t="s">
        <v>164</v>
      </c>
      <c r="F15" s="175" t="s">
        <v>722</v>
      </c>
      <c r="G15" s="175"/>
      <c r="H15" s="175">
        <v>45144.593055555553</v>
      </c>
      <c r="I15" s="6" t="s">
        <v>290</v>
      </c>
      <c r="J15" s="195">
        <v>1316.7</v>
      </c>
      <c r="K15">
        <f t="shared" si="0"/>
        <v>6</v>
      </c>
      <c r="L15" s="6">
        <v>1</v>
      </c>
      <c r="M15" s="154">
        <f t="shared" si="1"/>
        <v>219.45000000000002</v>
      </c>
      <c r="N15">
        <f t="shared" si="2"/>
        <v>6</v>
      </c>
      <c r="O15" s="212">
        <f t="shared" si="3"/>
        <v>0</v>
      </c>
    </row>
    <row r="16" spans="1:15" x14ac:dyDescent="0.25">
      <c r="A16" s="32">
        <v>4230357680</v>
      </c>
      <c r="B16" s="175" t="s">
        <v>723</v>
      </c>
      <c r="C16" s="175">
        <v>45237</v>
      </c>
      <c r="D16" s="175">
        <v>45241</v>
      </c>
      <c r="E16" s="175" t="s">
        <v>163</v>
      </c>
      <c r="F16" s="175"/>
      <c r="G16" s="175"/>
      <c r="H16" s="175">
        <v>45235.784178240741</v>
      </c>
      <c r="I16" s="6" t="s">
        <v>290</v>
      </c>
      <c r="J16" s="195">
        <v>820.8</v>
      </c>
      <c r="K16">
        <f t="shared" si="0"/>
        <v>4</v>
      </c>
      <c r="L16" s="6">
        <v>1</v>
      </c>
      <c r="M16" s="154">
        <f t="shared" si="1"/>
        <v>205.2</v>
      </c>
      <c r="N16">
        <f t="shared" si="2"/>
        <v>4</v>
      </c>
      <c r="O16" s="212">
        <f t="shared" si="3"/>
        <v>0</v>
      </c>
    </row>
    <row r="17" spans="1:15" x14ac:dyDescent="0.25">
      <c r="A17" s="32">
        <v>1461462657</v>
      </c>
      <c r="B17" s="175" t="s">
        <v>724</v>
      </c>
      <c r="C17" s="175">
        <v>45238</v>
      </c>
      <c r="D17" s="175">
        <v>45242</v>
      </c>
      <c r="E17" s="175" t="s">
        <v>164</v>
      </c>
      <c r="F17" s="175" t="s">
        <v>725</v>
      </c>
      <c r="G17" s="175"/>
      <c r="H17" s="175">
        <v>44978.676388888889</v>
      </c>
      <c r="I17" s="6" t="s">
        <v>290</v>
      </c>
      <c r="J17" s="195">
        <v>821.96</v>
      </c>
      <c r="K17">
        <f t="shared" si="0"/>
        <v>4</v>
      </c>
      <c r="L17" s="6">
        <v>1</v>
      </c>
      <c r="M17" s="154">
        <f t="shared" si="1"/>
        <v>205.49</v>
      </c>
      <c r="N17">
        <f t="shared" si="2"/>
        <v>4</v>
      </c>
      <c r="O17" s="212">
        <f t="shared" si="3"/>
        <v>0</v>
      </c>
    </row>
    <row r="18" spans="1:15" x14ac:dyDescent="0.25">
      <c r="A18" s="32">
        <v>2733779780</v>
      </c>
      <c r="B18" s="175" t="s">
        <v>726</v>
      </c>
      <c r="C18" s="175">
        <v>45238</v>
      </c>
      <c r="D18" s="175">
        <v>45241</v>
      </c>
      <c r="E18" s="175" t="s">
        <v>163</v>
      </c>
      <c r="F18" s="175"/>
      <c r="G18" s="175"/>
      <c r="H18" s="175">
        <v>45155.113206018519</v>
      </c>
      <c r="I18" s="6" t="s">
        <v>291</v>
      </c>
      <c r="J18" s="195">
        <v>592.53</v>
      </c>
      <c r="K18">
        <f t="shared" si="0"/>
        <v>3</v>
      </c>
      <c r="L18" s="6">
        <v>1</v>
      </c>
      <c r="M18" s="154">
        <f t="shared" si="1"/>
        <v>197.51</v>
      </c>
      <c r="N18">
        <f t="shared" si="2"/>
        <v>3</v>
      </c>
      <c r="O18" s="212">
        <f t="shared" si="3"/>
        <v>0</v>
      </c>
    </row>
    <row r="19" spans="1:15" x14ac:dyDescent="0.25">
      <c r="A19" s="32" t="s">
        <v>727</v>
      </c>
      <c r="B19" s="175" t="s">
        <v>728</v>
      </c>
      <c r="C19" s="175">
        <v>45238</v>
      </c>
      <c r="D19" s="175">
        <v>45241</v>
      </c>
      <c r="E19" s="175" t="s">
        <v>236</v>
      </c>
      <c r="F19" s="175" t="s">
        <v>712</v>
      </c>
      <c r="G19" s="175"/>
      <c r="H19" s="175">
        <v>45230.509583333333</v>
      </c>
      <c r="I19" s="6" t="s">
        <v>290</v>
      </c>
      <c r="J19" s="195">
        <v>1137.18</v>
      </c>
      <c r="K19">
        <f t="shared" si="0"/>
        <v>3</v>
      </c>
      <c r="L19" s="6">
        <v>2</v>
      </c>
      <c r="M19" s="154">
        <f t="shared" si="1"/>
        <v>189.53</v>
      </c>
      <c r="N19">
        <f t="shared" si="2"/>
        <v>6</v>
      </c>
      <c r="O19" s="212">
        <f t="shared" si="3"/>
        <v>0</v>
      </c>
    </row>
    <row r="20" spans="1:15" x14ac:dyDescent="0.25">
      <c r="A20" s="32">
        <v>86342794</v>
      </c>
      <c r="B20" s="175" t="s">
        <v>729</v>
      </c>
      <c r="C20" s="175">
        <v>45239</v>
      </c>
      <c r="D20" s="175">
        <v>45241</v>
      </c>
      <c r="E20" s="175" t="s">
        <v>164</v>
      </c>
      <c r="F20" s="175" t="s">
        <v>722</v>
      </c>
      <c r="G20" s="175"/>
      <c r="H20" s="175">
        <v>45182.675694444442</v>
      </c>
      <c r="I20" s="6" t="s">
        <v>290</v>
      </c>
      <c r="J20" s="195">
        <v>369.36</v>
      </c>
      <c r="K20">
        <f t="shared" si="0"/>
        <v>2</v>
      </c>
      <c r="L20" s="6">
        <v>1</v>
      </c>
      <c r="M20" s="154">
        <f t="shared" si="1"/>
        <v>184.68</v>
      </c>
      <c r="N20">
        <f t="shared" si="2"/>
        <v>2</v>
      </c>
      <c r="O20" s="212">
        <f t="shared" si="3"/>
        <v>0</v>
      </c>
    </row>
    <row r="21" spans="1:15" x14ac:dyDescent="0.25">
      <c r="A21" s="32">
        <v>86342796</v>
      </c>
      <c r="B21" s="175" t="s">
        <v>730</v>
      </c>
      <c r="C21" s="175">
        <v>45239</v>
      </c>
      <c r="D21" s="175">
        <v>45241</v>
      </c>
      <c r="E21" s="175" t="s">
        <v>164</v>
      </c>
      <c r="F21" s="175" t="s">
        <v>722</v>
      </c>
      <c r="G21" s="175"/>
      <c r="H21" s="175">
        <v>45182.675694444442</v>
      </c>
      <c r="I21" s="6" t="s">
        <v>290</v>
      </c>
      <c r="J21" s="195">
        <v>369.36</v>
      </c>
      <c r="K21">
        <f t="shared" si="0"/>
        <v>2</v>
      </c>
      <c r="L21" s="6">
        <v>1</v>
      </c>
      <c r="M21" s="154">
        <f t="shared" si="1"/>
        <v>184.68</v>
      </c>
      <c r="N21">
        <f t="shared" si="2"/>
        <v>2</v>
      </c>
      <c r="O21" s="212">
        <f t="shared" si="3"/>
        <v>0</v>
      </c>
    </row>
    <row r="22" spans="1:15" x14ac:dyDescent="0.25">
      <c r="A22" s="32">
        <v>2395795737</v>
      </c>
      <c r="B22" s="175" t="s">
        <v>731</v>
      </c>
      <c r="C22" s="175">
        <v>45240</v>
      </c>
      <c r="D22" s="175">
        <v>45246</v>
      </c>
      <c r="E22" s="175" t="s">
        <v>163</v>
      </c>
      <c r="F22" s="175"/>
      <c r="G22" s="175"/>
      <c r="H22" s="175">
        <v>45097.782106481478</v>
      </c>
      <c r="I22" s="6" t="s">
        <v>291</v>
      </c>
      <c r="J22" s="195">
        <v>1131.18</v>
      </c>
      <c r="K22">
        <f t="shared" si="0"/>
        <v>6</v>
      </c>
      <c r="L22" s="6">
        <v>1</v>
      </c>
      <c r="M22" s="154">
        <f t="shared" si="1"/>
        <v>188.53</v>
      </c>
      <c r="N22">
        <f t="shared" si="2"/>
        <v>6</v>
      </c>
      <c r="O22" s="212">
        <f t="shared" si="3"/>
        <v>0</v>
      </c>
    </row>
    <row r="23" spans="1:15" x14ac:dyDescent="0.25">
      <c r="A23" s="32">
        <v>4033211758</v>
      </c>
      <c r="B23" s="175" t="s">
        <v>732</v>
      </c>
      <c r="C23" s="175">
        <v>45240</v>
      </c>
      <c r="D23" s="175">
        <v>45241</v>
      </c>
      <c r="E23" s="175" t="s">
        <v>163</v>
      </c>
      <c r="F23" s="175"/>
      <c r="G23" s="175"/>
      <c r="H23" s="175">
        <v>45240.476782407408</v>
      </c>
      <c r="I23" s="6" t="s">
        <v>290</v>
      </c>
      <c r="J23" s="195">
        <v>205.2</v>
      </c>
      <c r="K23">
        <f t="shared" si="0"/>
        <v>1</v>
      </c>
      <c r="L23" s="6">
        <v>1</v>
      </c>
      <c r="M23" s="154">
        <f t="shared" ref="M23:M27" si="4">+J23/(K23*L23)</f>
        <v>205.2</v>
      </c>
      <c r="N23">
        <f t="shared" ref="N23:N27" si="5">ROUND(J23/M23,0)</f>
        <v>1</v>
      </c>
      <c r="O23" s="212">
        <f t="shared" ref="O23:O27" si="6">+N23-(L23*K23)</f>
        <v>0</v>
      </c>
    </row>
    <row r="24" spans="1:15" x14ac:dyDescent="0.25">
      <c r="A24" s="32">
        <v>2582107427</v>
      </c>
      <c r="B24" s="175" t="s">
        <v>733</v>
      </c>
      <c r="C24" s="175">
        <v>45241</v>
      </c>
      <c r="D24" s="175">
        <v>45242</v>
      </c>
      <c r="E24" s="175" t="s">
        <v>163</v>
      </c>
      <c r="F24" s="175"/>
      <c r="G24" s="175"/>
      <c r="H24" s="175">
        <v>45110.21875</v>
      </c>
      <c r="I24" s="6" t="s">
        <v>290</v>
      </c>
      <c r="J24" s="195">
        <v>219.45</v>
      </c>
      <c r="K24">
        <f t="shared" si="0"/>
        <v>1</v>
      </c>
      <c r="L24" s="6">
        <v>1</v>
      </c>
      <c r="M24" s="154">
        <f t="shared" si="4"/>
        <v>219.45</v>
      </c>
      <c r="N24">
        <f t="shared" si="5"/>
        <v>1</v>
      </c>
      <c r="O24" s="212">
        <f t="shared" si="6"/>
        <v>0</v>
      </c>
    </row>
    <row r="25" spans="1:15" x14ac:dyDescent="0.25">
      <c r="A25" s="32">
        <v>70007271</v>
      </c>
      <c r="B25" s="175" t="s">
        <v>734</v>
      </c>
      <c r="C25" s="175">
        <v>45241</v>
      </c>
      <c r="D25" s="175">
        <v>45245</v>
      </c>
      <c r="E25" s="175" t="s">
        <v>164</v>
      </c>
      <c r="F25" s="175" t="s">
        <v>722</v>
      </c>
      <c r="G25" s="175"/>
      <c r="H25" s="175">
        <v>45155.662499999999</v>
      </c>
      <c r="I25" s="6" t="s">
        <v>290</v>
      </c>
      <c r="J25" s="195">
        <v>877.8</v>
      </c>
      <c r="K25">
        <f t="shared" si="0"/>
        <v>4</v>
      </c>
      <c r="L25" s="6">
        <v>1</v>
      </c>
      <c r="M25" s="154">
        <f t="shared" si="4"/>
        <v>219.45</v>
      </c>
      <c r="N25">
        <f t="shared" si="5"/>
        <v>4</v>
      </c>
      <c r="O25" s="212">
        <f t="shared" si="6"/>
        <v>0</v>
      </c>
    </row>
    <row r="26" spans="1:15" x14ac:dyDescent="0.25">
      <c r="A26" s="32">
        <v>4234284486</v>
      </c>
      <c r="B26" s="175" t="s">
        <v>735</v>
      </c>
      <c r="C26" s="175">
        <v>45241</v>
      </c>
      <c r="D26" s="175">
        <v>45242</v>
      </c>
      <c r="E26" s="175" t="s">
        <v>163</v>
      </c>
      <c r="F26" s="175"/>
      <c r="G26" s="175"/>
      <c r="H26" s="175">
        <v>45238.497395833336</v>
      </c>
      <c r="I26" s="6" t="s">
        <v>290</v>
      </c>
      <c r="J26" s="195">
        <v>228</v>
      </c>
      <c r="K26">
        <f t="shared" si="0"/>
        <v>1</v>
      </c>
      <c r="L26" s="6">
        <v>1</v>
      </c>
      <c r="M26" s="154">
        <f t="shared" si="4"/>
        <v>228</v>
      </c>
      <c r="N26">
        <f t="shared" si="5"/>
        <v>1</v>
      </c>
      <c r="O26" s="212">
        <f t="shared" si="6"/>
        <v>0</v>
      </c>
    </row>
    <row r="27" spans="1:15" x14ac:dyDescent="0.25">
      <c r="A27" s="32">
        <v>35743812</v>
      </c>
      <c r="B27" s="175" t="s">
        <v>736</v>
      </c>
      <c r="C27" s="175">
        <v>45241</v>
      </c>
      <c r="D27" s="175">
        <v>45245</v>
      </c>
      <c r="E27" s="175" t="s">
        <v>164</v>
      </c>
      <c r="F27" s="175" t="s">
        <v>722</v>
      </c>
      <c r="G27" s="175"/>
      <c r="H27" s="175">
        <v>45103.445833333331</v>
      </c>
      <c r="I27" s="6" t="s">
        <v>290</v>
      </c>
      <c r="J27" s="195">
        <v>837.92</v>
      </c>
      <c r="K27">
        <f t="shared" si="0"/>
        <v>4</v>
      </c>
      <c r="L27" s="6">
        <v>1</v>
      </c>
      <c r="M27" s="154">
        <f t="shared" si="4"/>
        <v>209.48</v>
      </c>
      <c r="N27">
        <f t="shared" si="5"/>
        <v>4</v>
      </c>
      <c r="O27" s="212">
        <f t="shared" si="6"/>
        <v>0</v>
      </c>
    </row>
    <row r="28" spans="1:15" x14ac:dyDescent="0.25">
      <c r="A28" s="32">
        <v>3168047844</v>
      </c>
      <c r="B28" s="175" t="s">
        <v>737</v>
      </c>
      <c r="C28" s="175">
        <v>45241</v>
      </c>
      <c r="D28" s="175">
        <v>45245</v>
      </c>
      <c r="E28" s="175" t="s">
        <v>163</v>
      </c>
      <c r="F28" s="175"/>
      <c r="G28" s="175"/>
      <c r="H28" s="175">
        <v>45059.887523148151</v>
      </c>
      <c r="I28" s="6" t="s">
        <v>290</v>
      </c>
      <c r="J28" s="195">
        <v>837.92</v>
      </c>
      <c r="K28">
        <f t="shared" si="0"/>
        <v>4</v>
      </c>
      <c r="L28" s="6">
        <v>1</v>
      </c>
      <c r="M28" s="154">
        <f t="shared" ref="M28:M36" si="7">+J28/(K28*L28)</f>
        <v>209.48</v>
      </c>
      <c r="N28">
        <f t="shared" ref="N28:N36" si="8">ROUND(J28/M28,0)</f>
        <v>4</v>
      </c>
      <c r="O28" s="212">
        <f t="shared" ref="O28:O36" si="9">+N28-(L28*K28)</f>
        <v>0</v>
      </c>
    </row>
    <row r="29" spans="1:15" x14ac:dyDescent="0.25">
      <c r="A29" s="32">
        <v>3270145854</v>
      </c>
      <c r="B29" s="175" t="s">
        <v>738</v>
      </c>
      <c r="C29" s="175">
        <v>45241</v>
      </c>
      <c r="D29" s="175">
        <v>45246</v>
      </c>
      <c r="E29" s="175" t="s">
        <v>163</v>
      </c>
      <c r="F29" s="175"/>
      <c r="G29" s="175"/>
      <c r="H29" s="175">
        <v>45101.473715277774</v>
      </c>
      <c r="I29" s="6" t="s">
        <v>291</v>
      </c>
      <c r="J29" s="195">
        <v>942.65</v>
      </c>
      <c r="K29">
        <f t="shared" si="0"/>
        <v>5</v>
      </c>
      <c r="L29" s="6">
        <v>1</v>
      </c>
      <c r="M29" s="154">
        <f t="shared" si="7"/>
        <v>188.53</v>
      </c>
      <c r="N29">
        <f t="shared" si="8"/>
        <v>5</v>
      </c>
      <c r="O29" s="212">
        <f t="shared" si="9"/>
        <v>0</v>
      </c>
    </row>
    <row r="30" spans="1:15" x14ac:dyDescent="0.25">
      <c r="A30" s="32">
        <v>3423462200</v>
      </c>
      <c r="B30" s="175" t="s">
        <v>739</v>
      </c>
      <c r="C30" s="175">
        <v>45241</v>
      </c>
      <c r="D30" s="175">
        <v>45244</v>
      </c>
      <c r="E30" s="175" t="s">
        <v>163</v>
      </c>
      <c r="F30" s="175"/>
      <c r="G30" s="175"/>
      <c r="H30" s="175">
        <v>45122.658159722225</v>
      </c>
      <c r="I30" s="6" t="s">
        <v>291</v>
      </c>
      <c r="J30" s="195">
        <v>658.35</v>
      </c>
      <c r="K30">
        <f t="shared" si="0"/>
        <v>3</v>
      </c>
      <c r="L30" s="6">
        <v>1</v>
      </c>
      <c r="M30" s="154">
        <f t="shared" si="7"/>
        <v>219.45000000000002</v>
      </c>
      <c r="N30">
        <f t="shared" si="8"/>
        <v>3</v>
      </c>
      <c r="O30" s="212">
        <f t="shared" si="9"/>
        <v>0</v>
      </c>
    </row>
    <row r="31" spans="1:15" x14ac:dyDescent="0.25">
      <c r="A31" s="32">
        <v>3848141943</v>
      </c>
      <c r="B31" s="175" t="s">
        <v>740</v>
      </c>
      <c r="C31" s="175">
        <v>45242</v>
      </c>
      <c r="D31" s="175">
        <v>45247</v>
      </c>
      <c r="E31" s="175" t="s">
        <v>163</v>
      </c>
      <c r="F31" s="175"/>
      <c r="G31" s="175"/>
      <c r="H31" s="175">
        <v>45120.560833333337</v>
      </c>
      <c r="I31" s="6" t="s">
        <v>291</v>
      </c>
      <c r="J31" s="195">
        <v>987.55</v>
      </c>
      <c r="K31">
        <f t="shared" si="0"/>
        <v>5</v>
      </c>
      <c r="L31" s="6">
        <v>1</v>
      </c>
      <c r="M31" s="154">
        <f t="shared" si="7"/>
        <v>197.51</v>
      </c>
      <c r="N31">
        <f t="shared" si="8"/>
        <v>5</v>
      </c>
      <c r="O31" s="212">
        <f t="shared" si="9"/>
        <v>0</v>
      </c>
    </row>
    <row r="32" spans="1:15" x14ac:dyDescent="0.25">
      <c r="A32" s="32">
        <v>4135532356</v>
      </c>
      <c r="B32" s="175" t="s">
        <v>741</v>
      </c>
      <c r="C32" s="175">
        <v>45242</v>
      </c>
      <c r="D32" s="175">
        <v>45243</v>
      </c>
      <c r="E32" s="175" t="s">
        <v>163</v>
      </c>
      <c r="F32" s="175"/>
      <c r="G32" s="175"/>
      <c r="H32" s="175">
        <v>45239.462766203702</v>
      </c>
      <c r="I32" s="6" t="s">
        <v>291</v>
      </c>
      <c r="J32" s="195">
        <v>205.2</v>
      </c>
      <c r="K32">
        <f t="shared" si="0"/>
        <v>1</v>
      </c>
      <c r="L32" s="6">
        <v>1</v>
      </c>
      <c r="M32" s="154">
        <f t="shared" si="7"/>
        <v>205.2</v>
      </c>
      <c r="N32">
        <f t="shared" si="8"/>
        <v>1</v>
      </c>
      <c r="O32" s="212">
        <f t="shared" si="9"/>
        <v>0</v>
      </c>
    </row>
    <row r="33" spans="1:15" x14ac:dyDescent="0.25">
      <c r="A33" s="32">
        <v>4272508587</v>
      </c>
      <c r="B33" s="175" t="s">
        <v>742</v>
      </c>
      <c r="C33" s="175">
        <v>45242</v>
      </c>
      <c r="D33" s="175">
        <v>45245</v>
      </c>
      <c r="E33" s="175" t="s">
        <v>163</v>
      </c>
      <c r="F33" s="175"/>
      <c r="G33" s="175"/>
      <c r="H33" s="175">
        <v>45240.945428240739</v>
      </c>
      <c r="I33" s="6" t="s">
        <v>290</v>
      </c>
      <c r="J33" s="195">
        <v>615.6</v>
      </c>
      <c r="K33">
        <f t="shared" si="0"/>
        <v>3</v>
      </c>
      <c r="L33" s="6">
        <v>1</v>
      </c>
      <c r="M33" s="154">
        <f t="shared" si="7"/>
        <v>205.20000000000002</v>
      </c>
      <c r="N33">
        <f t="shared" si="8"/>
        <v>3</v>
      </c>
      <c r="O33" s="212">
        <f t="shared" si="9"/>
        <v>0</v>
      </c>
    </row>
    <row r="34" spans="1:15" x14ac:dyDescent="0.25">
      <c r="A34" s="32">
        <v>3834449399</v>
      </c>
      <c r="B34" s="175" t="s">
        <v>743</v>
      </c>
      <c r="C34" s="175">
        <v>45244</v>
      </c>
      <c r="D34" s="175">
        <v>45251</v>
      </c>
      <c r="E34" s="175" t="s">
        <v>163</v>
      </c>
      <c r="F34" s="175"/>
      <c r="G34" s="175"/>
      <c r="H34" s="175">
        <v>44994.909884259258</v>
      </c>
      <c r="I34" s="6" t="s">
        <v>290</v>
      </c>
      <c r="J34" s="195">
        <v>1466.36</v>
      </c>
      <c r="K34">
        <f t="shared" si="0"/>
        <v>7</v>
      </c>
      <c r="L34" s="6">
        <v>1</v>
      </c>
      <c r="M34" s="154">
        <f t="shared" si="7"/>
        <v>209.48</v>
      </c>
      <c r="N34">
        <f t="shared" si="8"/>
        <v>7</v>
      </c>
      <c r="O34" s="212">
        <f t="shared" si="9"/>
        <v>0</v>
      </c>
    </row>
    <row r="35" spans="1:15" x14ac:dyDescent="0.25">
      <c r="A35" s="32" t="s">
        <v>744</v>
      </c>
      <c r="B35" s="175" t="s">
        <v>745</v>
      </c>
      <c r="C35" s="175">
        <v>45244</v>
      </c>
      <c r="D35" s="175">
        <v>45248</v>
      </c>
      <c r="E35" s="175" t="s">
        <v>236</v>
      </c>
      <c r="F35" s="175" t="s">
        <v>712</v>
      </c>
      <c r="G35" s="175" t="s">
        <v>746</v>
      </c>
      <c r="H35" s="175">
        <v>45239.567407407405</v>
      </c>
      <c r="I35" s="6" t="s">
        <v>290</v>
      </c>
      <c r="J35" s="195">
        <v>798</v>
      </c>
      <c r="K35">
        <f t="shared" si="0"/>
        <v>4</v>
      </c>
      <c r="L35" s="6">
        <v>1</v>
      </c>
      <c r="M35" s="154">
        <f t="shared" si="7"/>
        <v>199.5</v>
      </c>
      <c r="N35">
        <f t="shared" si="8"/>
        <v>4</v>
      </c>
      <c r="O35" s="212">
        <f t="shared" si="9"/>
        <v>0</v>
      </c>
    </row>
    <row r="36" spans="1:15" x14ac:dyDescent="0.25">
      <c r="A36" s="32">
        <v>4089335429</v>
      </c>
      <c r="B36" s="175" t="s">
        <v>747</v>
      </c>
      <c r="C36" s="175">
        <v>45245</v>
      </c>
      <c r="D36" s="175">
        <v>45249</v>
      </c>
      <c r="E36" s="175" t="s">
        <v>163</v>
      </c>
      <c r="F36" s="175"/>
      <c r="G36" s="175"/>
      <c r="H36" s="175">
        <v>45176.804594907408</v>
      </c>
      <c r="I36" s="6" t="s">
        <v>290</v>
      </c>
      <c r="J36" s="195">
        <v>738.72</v>
      </c>
      <c r="K36">
        <f t="shared" si="0"/>
        <v>4</v>
      </c>
      <c r="L36" s="6">
        <v>1</v>
      </c>
      <c r="M36" s="154">
        <f t="shared" si="7"/>
        <v>184.68</v>
      </c>
      <c r="N36">
        <f t="shared" si="8"/>
        <v>4</v>
      </c>
      <c r="O36" s="212">
        <f t="shared" si="9"/>
        <v>0</v>
      </c>
    </row>
    <row r="37" spans="1:15" x14ac:dyDescent="0.25">
      <c r="A37" s="32">
        <v>2681101883</v>
      </c>
      <c r="B37" s="175" t="s">
        <v>748</v>
      </c>
      <c r="C37" s="175">
        <v>45245</v>
      </c>
      <c r="D37" s="175">
        <v>45249</v>
      </c>
      <c r="E37" s="175" t="s">
        <v>163</v>
      </c>
      <c r="F37" s="175"/>
      <c r="G37" s="175"/>
      <c r="H37" s="175">
        <v>45051.782511574071</v>
      </c>
      <c r="I37" s="6" t="s">
        <v>291</v>
      </c>
      <c r="J37" s="195">
        <v>754.12</v>
      </c>
      <c r="K37">
        <f t="shared" ref="K37:K67" si="10">D37-C37</f>
        <v>4</v>
      </c>
      <c r="L37" s="6">
        <v>1</v>
      </c>
      <c r="M37" s="154">
        <f t="shared" ref="M37:M49" si="11">+J37/(K37*L37)</f>
        <v>188.53</v>
      </c>
      <c r="N37">
        <f t="shared" ref="N37:N49" si="12">ROUND(J37/M37,0)</f>
        <v>4</v>
      </c>
      <c r="O37" s="212">
        <f t="shared" ref="O37:O49" si="13">+N37-(L37*K37)</f>
        <v>0</v>
      </c>
    </row>
    <row r="38" spans="1:15" x14ac:dyDescent="0.25">
      <c r="A38" s="32">
        <v>2879261020</v>
      </c>
      <c r="B38" s="175" t="s">
        <v>733</v>
      </c>
      <c r="C38" s="175">
        <v>45245</v>
      </c>
      <c r="D38" s="175">
        <v>45246</v>
      </c>
      <c r="E38" s="175" t="s">
        <v>163</v>
      </c>
      <c r="F38" s="175"/>
      <c r="G38" s="175"/>
      <c r="H38" s="175">
        <v>45110.220312500001</v>
      </c>
      <c r="I38" s="6" t="s">
        <v>290</v>
      </c>
      <c r="J38" s="195">
        <v>219.45</v>
      </c>
      <c r="K38">
        <f t="shared" si="10"/>
        <v>1</v>
      </c>
      <c r="L38" s="6">
        <v>1</v>
      </c>
      <c r="M38" s="154">
        <f t="shared" si="11"/>
        <v>219.45</v>
      </c>
      <c r="N38">
        <f t="shared" si="12"/>
        <v>1</v>
      </c>
      <c r="O38" s="212">
        <f t="shared" si="13"/>
        <v>0</v>
      </c>
    </row>
    <row r="39" spans="1:15" x14ac:dyDescent="0.25">
      <c r="A39" s="32">
        <v>3283799949</v>
      </c>
      <c r="B39" s="175" t="s">
        <v>749</v>
      </c>
      <c r="C39" s="175">
        <v>45245</v>
      </c>
      <c r="D39" s="175">
        <v>45249</v>
      </c>
      <c r="E39" s="175" t="s">
        <v>163</v>
      </c>
      <c r="F39" s="175"/>
      <c r="G39" s="175"/>
      <c r="H39" s="175">
        <v>45038.822604166664</v>
      </c>
      <c r="I39" s="6" t="s">
        <v>291</v>
      </c>
      <c r="J39" s="195">
        <v>754.12</v>
      </c>
      <c r="K39">
        <f t="shared" si="10"/>
        <v>4</v>
      </c>
      <c r="L39" s="6">
        <v>1</v>
      </c>
      <c r="M39" s="154">
        <f t="shared" si="11"/>
        <v>188.53</v>
      </c>
      <c r="N39">
        <f t="shared" si="12"/>
        <v>4</v>
      </c>
      <c r="O39" s="212">
        <f t="shared" si="13"/>
        <v>0</v>
      </c>
    </row>
    <row r="40" spans="1:15" x14ac:dyDescent="0.25">
      <c r="A40" s="32">
        <v>2340654063</v>
      </c>
      <c r="B40" s="175" t="s">
        <v>750</v>
      </c>
      <c r="C40" s="175">
        <v>45245</v>
      </c>
      <c r="D40" s="175">
        <v>45247</v>
      </c>
      <c r="E40" s="175" t="s">
        <v>163</v>
      </c>
      <c r="F40" s="175"/>
      <c r="G40" s="175"/>
      <c r="H40" s="175">
        <v>45095.768576388888</v>
      </c>
      <c r="I40" s="6" t="s">
        <v>291</v>
      </c>
      <c r="J40" s="195">
        <v>418.96</v>
      </c>
      <c r="K40">
        <f t="shared" si="10"/>
        <v>2</v>
      </c>
      <c r="L40" s="6">
        <v>1</v>
      </c>
      <c r="M40" s="154">
        <f t="shared" si="11"/>
        <v>209.48</v>
      </c>
      <c r="N40">
        <f t="shared" si="12"/>
        <v>2</v>
      </c>
      <c r="O40" s="212">
        <f t="shared" si="13"/>
        <v>0</v>
      </c>
    </row>
    <row r="41" spans="1:15" x14ac:dyDescent="0.25">
      <c r="A41" s="32" t="s">
        <v>751</v>
      </c>
      <c r="B41" s="175" t="s">
        <v>752</v>
      </c>
      <c r="C41" s="175">
        <v>45246</v>
      </c>
      <c r="D41" s="175">
        <v>45249</v>
      </c>
      <c r="E41" s="175" t="s">
        <v>236</v>
      </c>
      <c r="F41" s="175" t="s">
        <v>712</v>
      </c>
      <c r="G41" s="175" t="s">
        <v>753</v>
      </c>
      <c r="H41" s="175">
        <v>44934.580590277779</v>
      </c>
      <c r="I41" s="6" t="s">
        <v>290</v>
      </c>
      <c r="J41" s="195">
        <v>1116</v>
      </c>
      <c r="K41">
        <f t="shared" si="10"/>
        <v>3</v>
      </c>
      <c r="L41" s="6">
        <v>2</v>
      </c>
      <c r="M41" s="154">
        <f t="shared" si="11"/>
        <v>186</v>
      </c>
      <c r="N41">
        <f t="shared" si="12"/>
        <v>6</v>
      </c>
      <c r="O41" s="212">
        <f t="shared" si="13"/>
        <v>0</v>
      </c>
    </row>
    <row r="42" spans="1:15" x14ac:dyDescent="0.25">
      <c r="A42" s="32">
        <v>2738067537</v>
      </c>
      <c r="B42" s="175" t="s">
        <v>754</v>
      </c>
      <c r="C42" s="175">
        <v>45247</v>
      </c>
      <c r="D42" s="175">
        <v>45252</v>
      </c>
      <c r="E42" s="175" t="s">
        <v>163</v>
      </c>
      <c r="F42" s="175"/>
      <c r="G42" s="175"/>
      <c r="H42" s="175">
        <v>45083.490856481483</v>
      </c>
      <c r="I42" s="6" t="s">
        <v>291</v>
      </c>
      <c r="J42" s="195">
        <v>942.65</v>
      </c>
      <c r="K42">
        <f t="shared" si="10"/>
        <v>5</v>
      </c>
      <c r="L42" s="6">
        <v>1</v>
      </c>
      <c r="M42" s="154">
        <f t="shared" si="11"/>
        <v>188.53</v>
      </c>
      <c r="N42">
        <f t="shared" si="12"/>
        <v>5</v>
      </c>
      <c r="O42" s="212">
        <f t="shared" si="13"/>
        <v>0</v>
      </c>
    </row>
    <row r="43" spans="1:15" x14ac:dyDescent="0.25">
      <c r="A43" s="32">
        <v>4012926190</v>
      </c>
      <c r="B43" s="175" t="s">
        <v>755</v>
      </c>
      <c r="C43" s="175">
        <v>45247</v>
      </c>
      <c r="D43" s="175">
        <v>45248</v>
      </c>
      <c r="E43" s="175" t="s">
        <v>163</v>
      </c>
      <c r="F43" s="175"/>
      <c r="G43" s="175"/>
      <c r="H43" s="175">
        <v>45246.493923611109</v>
      </c>
      <c r="I43" s="6" t="s">
        <v>291</v>
      </c>
      <c r="J43" s="195">
        <v>205.2</v>
      </c>
      <c r="K43">
        <f t="shared" si="10"/>
        <v>1</v>
      </c>
      <c r="L43" s="6">
        <v>1</v>
      </c>
      <c r="M43" s="154">
        <f t="shared" si="11"/>
        <v>205.2</v>
      </c>
      <c r="N43">
        <f t="shared" si="12"/>
        <v>1</v>
      </c>
      <c r="O43" s="212">
        <f t="shared" si="13"/>
        <v>0</v>
      </c>
    </row>
    <row r="44" spans="1:15" x14ac:dyDescent="0.25">
      <c r="A44" s="32">
        <v>4064887200</v>
      </c>
      <c r="B44" s="175" t="s">
        <v>756</v>
      </c>
      <c r="C44" s="175">
        <v>45247</v>
      </c>
      <c r="D44" s="175">
        <v>45248</v>
      </c>
      <c r="E44" s="175" t="s">
        <v>163</v>
      </c>
      <c r="F44" s="175"/>
      <c r="G44" s="175"/>
      <c r="H44" s="175">
        <v>45247.604189814818</v>
      </c>
      <c r="I44" s="6" t="s">
        <v>290</v>
      </c>
      <c r="J44" s="195">
        <v>205.2</v>
      </c>
      <c r="K44">
        <f t="shared" si="10"/>
        <v>1</v>
      </c>
      <c r="L44" s="6">
        <v>1</v>
      </c>
      <c r="M44" s="154">
        <f t="shared" si="11"/>
        <v>205.2</v>
      </c>
      <c r="N44">
        <f t="shared" si="12"/>
        <v>1</v>
      </c>
      <c r="O44" s="212">
        <f t="shared" si="13"/>
        <v>0</v>
      </c>
    </row>
    <row r="45" spans="1:15" x14ac:dyDescent="0.25">
      <c r="A45" s="32">
        <v>4204352314</v>
      </c>
      <c r="B45" s="175" t="s">
        <v>755</v>
      </c>
      <c r="C45" s="175">
        <v>45248</v>
      </c>
      <c r="D45" s="175">
        <v>45249</v>
      </c>
      <c r="E45" s="175" t="s">
        <v>163</v>
      </c>
      <c r="F45" s="175"/>
      <c r="G45" s="175"/>
      <c r="H45" s="175">
        <v>45246.498657407406</v>
      </c>
      <c r="I45" s="6" t="s">
        <v>291</v>
      </c>
      <c r="J45" s="195">
        <v>205.2</v>
      </c>
      <c r="K45">
        <f t="shared" si="10"/>
        <v>1</v>
      </c>
      <c r="L45" s="6">
        <v>1</v>
      </c>
      <c r="M45" s="154">
        <f t="shared" si="11"/>
        <v>205.2</v>
      </c>
      <c r="N45">
        <f t="shared" si="12"/>
        <v>1</v>
      </c>
      <c r="O45" s="212">
        <f t="shared" si="13"/>
        <v>0</v>
      </c>
    </row>
    <row r="46" spans="1:15" x14ac:dyDescent="0.25">
      <c r="A46" s="32" t="s">
        <v>757</v>
      </c>
      <c r="B46" s="175" t="s">
        <v>758</v>
      </c>
      <c r="C46" s="175">
        <v>45248</v>
      </c>
      <c r="D46" s="175">
        <v>45252</v>
      </c>
      <c r="E46" s="175" t="s">
        <v>236</v>
      </c>
      <c r="F46" s="175" t="s">
        <v>712</v>
      </c>
      <c r="G46" s="175" t="s">
        <v>753</v>
      </c>
      <c r="H46" s="175">
        <v>44997.456006944441</v>
      </c>
      <c r="I46" s="6" t="s">
        <v>290</v>
      </c>
      <c r="J46" s="195">
        <v>760</v>
      </c>
      <c r="K46">
        <f t="shared" si="10"/>
        <v>4</v>
      </c>
      <c r="L46" s="6">
        <v>1</v>
      </c>
      <c r="M46" s="154">
        <f t="shared" si="11"/>
        <v>190</v>
      </c>
      <c r="N46">
        <f t="shared" si="12"/>
        <v>4</v>
      </c>
      <c r="O46" s="212">
        <f t="shared" si="13"/>
        <v>0</v>
      </c>
    </row>
    <row r="47" spans="1:15" x14ac:dyDescent="0.25">
      <c r="A47" s="32">
        <v>4230716793</v>
      </c>
      <c r="B47" s="175" t="s">
        <v>759</v>
      </c>
      <c r="C47" s="175">
        <v>45248</v>
      </c>
      <c r="D47" s="175">
        <v>45250</v>
      </c>
      <c r="E47" s="175" t="s">
        <v>163</v>
      </c>
      <c r="F47" s="175"/>
      <c r="G47" s="175"/>
      <c r="H47" s="175">
        <v>45212.34547453704</v>
      </c>
      <c r="I47" s="6" t="s">
        <v>291</v>
      </c>
      <c r="J47" s="195">
        <v>369.36</v>
      </c>
      <c r="K47">
        <f t="shared" si="10"/>
        <v>2</v>
      </c>
      <c r="L47" s="6">
        <v>1</v>
      </c>
      <c r="M47" s="154">
        <f t="shared" si="11"/>
        <v>184.68</v>
      </c>
      <c r="N47">
        <f t="shared" si="12"/>
        <v>2</v>
      </c>
      <c r="O47" s="212">
        <f t="shared" si="13"/>
        <v>0</v>
      </c>
    </row>
    <row r="48" spans="1:15" x14ac:dyDescent="0.25">
      <c r="A48" s="32">
        <v>3343668352</v>
      </c>
      <c r="B48" s="175" t="s">
        <v>760</v>
      </c>
      <c r="C48" s="175">
        <v>45249</v>
      </c>
      <c r="D48" s="175">
        <v>45252</v>
      </c>
      <c r="E48" s="175" t="s">
        <v>163</v>
      </c>
      <c r="F48" s="175"/>
      <c r="G48" s="175"/>
      <c r="H48" s="175">
        <v>45148.847858796296</v>
      </c>
      <c r="I48" s="6" t="s">
        <v>290</v>
      </c>
      <c r="J48" s="195">
        <v>658.35</v>
      </c>
      <c r="K48">
        <f t="shared" si="10"/>
        <v>3</v>
      </c>
      <c r="L48" s="6">
        <v>1</v>
      </c>
      <c r="M48" s="154">
        <f t="shared" si="11"/>
        <v>219.45000000000002</v>
      </c>
      <c r="N48">
        <f t="shared" si="12"/>
        <v>3</v>
      </c>
      <c r="O48" s="212">
        <f t="shared" si="13"/>
        <v>0</v>
      </c>
    </row>
    <row r="49" spans="1:15" x14ac:dyDescent="0.25">
      <c r="A49" s="32">
        <v>65900712</v>
      </c>
      <c r="B49" s="175" t="s">
        <v>761</v>
      </c>
      <c r="C49" s="175">
        <v>45249</v>
      </c>
      <c r="D49" s="175">
        <v>45252</v>
      </c>
      <c r="E49" s="175" t="s">
        <v>164</v>
      </c>
      <c r="F49" s="175" t="s">
        <v>722</v>
      </c>
      <c r="G49" s="175"/>
      <c r="H49" s="175">
        <v>45148.981249999997</v>
      </c>
      <c r="I49" s="6" t="s">
        <v>290</v>
      </c>
      <c r="J49" s="195">
        <v>658.35</v>
      </c>
      <c r="K49">
        <f t="shared" si="10"/>
        <v>3</v>
      </c>
      <c r="L49" s="6">
        <v>1</v>
      </c>
      <c r="M49" s="154">
        <f t="shared" si="11"/>
        <v>219.45000000000002</v>
      </c>
      <c r="N49">
        <f t="shared" si="12"/>
        <v>3</v>
      </c>
      <c r="O49" s="212">
        <f t="shared" si="13"/>
        <v>0</v>
      </c>
    </row>
    <row r="50" spans="1:15" x14ac:dyDescent="0.25">
      <c r="A50" s="32">
        <v>60526439</v>
      </c>
      <c r="B50" s="175" t="s">
        <v>762</v>
      </c>
      <c r="C50" s="175">
        <v>45249</v>
      </c>
      <c r="D50" s="175">
        <v>45254</v>
      </c>
      <c r="E50" s="175" t="s">
        <v>164</v>
      </c>
      <c r="F50" s="175" t="s">
        <v>722</v>
      </c>
      <c r="G50" s="175"/>
      <c r="H50" s="175">
        <v>45140.798611111109</v>
      </c>
      <c r="I50" s="6" t="s">
        <v>290</v>
      </c>
      <c r="J50" s="195">
        <v>1097.25</v>
      </c>
      <c r="K50">
        <f t="shared" si="10"/>
        <v>5</v>
      </c>
      <c r="L50" s="6">
        <v>1</v>
      </c>
      <c r="M50" s="154">
        <f t="shared" ref="M50:M67" si="14">+J50/(K50*L50)</f>
        <v>219.45</v>
      </c>
      <c r="N50">
        <f t="shared" ref="N50:N67" si="15">ROUND(J50/M50,0)</f>
        <v>5</v>
      </c>
      <c r="O50" s="212">
        <f t="shared" ref="O50:O67" si="16">+N50-(L50*K50)</f>
        <v>0</v>
      </c>
    </row>
    <row r="51" spans="1:15" x14ac:dyDescent="0.25">
      <c r="A51" s="32">
        <v>3563020472</v>
      </c>
      <c r="B51" s="175" t="s">
        <v>763</v>
      </c>
      <c r="C51" s="175">
        <v>45249</v>
      </c>
      <c r="D51" s="175">
        <v>45252</v>
      </c>
      <c r="E51" s="175" t="s">
        <v>163</v>
      </c>
      <c r="F51" s="175"/>
      <c r="G51" s="175"/>
      <c r="H51" s="175">
        <v>45148.848368055558</v>
      </c>
      <c r="I51" s="6" t="s">
        <v>290</v>
      </c>
      <c r="J51" s="195">
        <v>658.35</v>
      </c>
      <c r="K51">
        <f t="shared" si="10"/>
        <v>3</v>
      </c>
      <c r="L51" s="6">
        <v>1</v>
      </c>
      <c r="M51" s="154">
        <f t="shared" si="14"/>
        <v>219.45000000000002</v>
      </c>
      <c r="N51">
        <f t="shared" si="15"/>
        <v>3</v>
      </c>
      <c r="O51" s="212">
        <f t="shared" si="16"/>
        <v>0</v>
      </c>
    </row>
    <row r="52" spans="1:15" x14ac:dyDescent="0.25">
      <c r="A52" s="32">
        <v>4075628714</v>
      </c>
      <c r="B52" s="175" t="s">
        <v>764</v>
      </c>
      <c r="C52" s="175">
        <v>45249</v>
      </c>
      <c r="D52" s="175">
        <v>45250</v>
      </c>
      <c r="E52" s="175" t="s">
        <v>163</v>
      </c>
      <c r="F52" s="175"/>
      <c r="G52" s="175"/>
      <c r="H52" s="175">
        <v>45244.948599537034</v>
      </c>
      <c r="I52" s="6" t="s">
        <v>290</v>
      </c>
      <c r="J52" s="195">
        <v>205.2</v>
      </c>
      <c r="K52">
        <f t="shared" si="10"/>
        <v>1</v>
      </c>
      <c r="L52" s="6">
        <v>1</v>
      </c>
      <c r="M52" s="154">
        <f t="shared" si="14"/>
        <v>205.2</v>
      </c>
      <c r="N52">
        <f t="shared" si="15"/>
        <v>1</v>
      </c>
      <c r="O52" s="212">
        <f t="shared" si="16"/>
        <v>0</v>
      </c>
    </row>
    <row r="53" spans="1:15" x14ac:dyDescent="0.25">
      <c r="A53" s="32">
        <v>2824499815</v>
      </c>
      <c r="B53" s="175" t="s">
        <v>765</v>
      </c>
      <c r="C53" s="175">
        <v>45250</v>
      </c>
      <c r="D53" s="175">
        <v>45254</v>
      </c>
      <c r="E53" s="175" t="s">
        <v>163</v>
      </c>
      <c r="F53" s="175"/>
      <c r="G53" s="175"/>
      <c r="H53" s="175">
        <v>45023.623668981483</v>
      </c>
      <c r="I53" s="6" t="s">
        <v>290</v>
      </c>
      <c r="J53" s="195">
        <v>837.92</v>
      </c>
      <c r="K53">
        <f t="shared" si="10"/>
        <v>4</v>
      </c>
      <c r="L53" s="6">
        <v>1</v>
      </c>
      <c r="M53" s="154">
        <f t="shared" si="14"/>
        <v>209.48</v>
      </c>
      <c r="N53">
        <f t="shared" si="15"/>
        <v>4</v>
      </c>
      <c r="O53" s="212">
        <f t="shared" si="16"/>
        <v>0</v>
      </c>
    </row>
    <row r="54" spans="1:15" x14ac:dyDescent="0.25">
      <c r="A54" s="32">
        <v>3560339933</v>
      </c>
      <c r="B54" s="175" t="s">
        <v>766</v>
      </c>
      <c r="C54" s="175">
        <v>45250</v>
      </c>
      <c r="D54" s="175">
        <v>45254</v>
      </c>
      <c r="E54" s="175" t="s">
        <v>163</v>
      </c>
      <c r="F54" s="175"/>
      <c r="G54" s="175"/>
      <c r="H54" s="175">
        <v>45098.580937500003</v>
      </c>
      <c r="I54" s="6" t="s">
        <v>291</v>
      </c>
      <c r="J54" s="195">
        <v>837.92</v>
      </c>
      <c r="K54">
        <f t="shared" si="10"/>
        <v>4</v>
      </c>
      <c r="L54" s="6">
        <v>1</v>
      </c>
      <c r="M54" s="154">
        <f t="shared" si="14"/>
        <v>209.48</v>
      </c>
      <c r="N54">
        <f t="shared" si="15"/>
        <v>4</v>
      </c>
      <c r="O54" s="212">
        <f t="shared" si="16"/>
        <v>0</v>
      </c>
    </row>
    <row r="55" spans="1:15" x14ac:dyDescent="0.25">
      <c r="A55" s="32">
        <v>2933626089</v>
      </c>
      <c r="B55" s="175" t="s">
        <v>767</v>
      </c>
      <c r="C55" s="175">
        <v>45250</v>
      </c>
      <c r="D55" s="175">
        <v>45255</v>
      </c>
      <c r="E55" s="175" t="s">
        <v>163</v>
      </c>
      <c r="F55" s="175"/>
      <c r="G55" s="175"/>
      <c r="H55" s="175">
        <v>45132.976817129631</v>
      </c>
      <c r="I55" s="6" t="s">
        <v>291</v>
      </c>
      <c r="J55" s="195">
        <v>987.55</v>
      </c>
      <c r="K55">
        <f t="shared" si="10"/>
        <v>5</v>
      </c>
      <c r="L55" s="6">
        <v>1</v>
      </c>
      <c r="M55" s="154">
        <f t="shared" si="14"/>
        <v>197.51</v>
      </c>
      <c r="N55">
        <f t="shared" si="15"/>
        <v>5</v>
      </c>
      <c r="O55" s="212">
        <f t="shared" si="16"/>
        <v>0</v>
      </c>
    </row>
    <row r="56" spans="1:15" x14ac:dyDescent="0.25">
      <c r="A56" s="32" t="s">
        <v>768</v>
      </c>
      <c r="B56" s="175" t="s">
        <v>769</v>
      </c>
      <c r="C56" s="175">
        <v>45251</v>
      </c>
      <c r="D56" s="175">
        <v>45253</v>
      </c>
      <c r="E56" s="175" t="s">
        <v>236</v>
      </c>
      <c r="F56" s="175" t="s">
        <v>712</v>
      </c>
      <c r="G56" s="175"/>
      <c r="H56" s="175">
        <v>45250.752152777779</v>
      </c>
      <c r="I56" s="6" t="s">
        <v>290</v>
      </c>
      <c r="J56" s="195">
        <v>399</v>
      </c>
      <c r="K56">
        <f t="shared" si="10"/>
        <v>2</v>
      </c>
      <c r="L56" s="6">
        <v>1</v>
      </c>
      <c r="M56" s="154">
        <f t="shared" si="14"/>
        <v>199.5</v>
      </c>
      <c r="N56">
        <f t="shared" si="15"/>
        <v>2</v>
      </c>
      <c r="O56" s="212">
        <f t="shared" si="16"/>
        <v>0</v>
      </c>
    </row>
    <row r="57" spans="1:15" x14ac:dyDescent="0.25">
      <c r="A57" s="32">
        <v>125280668</v>
      </c>
      <c r="B57" s="175" t="s">
        <v>770</v>
      </c>
      <c r="C57" s="175">
        <v>45252</v>
      </c>
      <c r="D57" s="175">
        <v>45253</v>
      </c>
      <c r="E57" s="175" t="s">
        <v>164</v>
      </c>
      <c r="F57" s="175" t="s">
        <v>725</v>
      </c>
      <c r="G57" s="175"/>
      <c r="H57" s="175">
        <v>45250.000694444447</v>
      </c>
      <c r="I57" s="6" t="s">
        <v>290</v>
      </c>
      <c r="J57" s="195">
        <v>205.2</v>
      </c>
      <c r="K57">
        <f t="shared" si="10"/>
        <v>1</v>
      </c>
      <c r="L57" s="6">
        <v>1</v>
      </c>
      <c r="M57" s="154">
        <f t="shared" si="14"/>
        <v>205.2</v>
      </c>
      <c r="N57">
        <f t="shared" si="15"/>
        <v>1</v>
      </c>
      <c r="O57" s="212">
        <f t="shared" si="16"/>
        <v>0</v>
      </c>
    </row>
    <row r="58" spans="1:15" x14ac:dyDescent="0.25">
      <c r="A58" s="32" t="s">
        <v>771</v>
      </c>
      <c r="B58" s="175" t="s">
        <v>772</v>
      </c>
      <c r="C58" s="175">
        <v>45252</v>
      </c>
      <c r="D58" s="175">
        <v>45256</v>
      </c>
      <c r="E58" s="175" t="s">
        <v>236</v>
      </c>
      <c r="F58" s="175" t="s">
        <v>712</v>
      </c>
      <c r="G58" s="175"/>
      <c r="H58" s="175">
        <v>45205.751388888886</v>
      </c>
      <c r="I58" s="6" t="s">
        <v>290</v>
      </c>
      <c r="J58" s="195">
        <v>798</v>
      </c>
      <c r="K58">
        <f t="shared" si="10"/>
        <v>4</v>
      </c>
      <c r="L58" s="6">
        <v>1</v>
      </c>
      <c r="M58" s="154">
        <f t="shared" si="14"/>
        <v>199.5</v>
      </c>
      <c r="N58">
        <f t="shared" si="15"/>
        <v>4</v>
      </c>
      <c r="O58" s="212">
        <f t="shared" si="16"/>
        <v>0</v>
      </c>
    </row>
    <row r="59" spans="1:15" x14ac:dyDescent="0.25">
      <c r="A59" s="32">
        <v>125280670</v>
      </c>
      <c r="B59" s="175" t="s">
        <v>773</v>
      </c>
      <c r="C59" s="175">
        <v>45252</v>
      </c>
      <c r="D59" s="175">
        <v>45253</v>
      </c>
      <c r="E59" s="175" t="s">
        <v>164</v>
      </c>
      <c r="F59" s="175" t="s">
        <v>725</v>
      </c>
      <c r="G59" s="175"/>
      <c r="H59" s="175">
        <v>45250.000694444447</v>
      </c>
      <c r="I59" s="6" t="s">
        <v>290</v>
      </c>
      <c r="J59" s="195">
        <v>205.2</v>
      </c>
      <c r="K59">
        <f t="shared" si="10"/>
        <v>1</v>
      </c>
      <c r="L59" s="6">
        <v>1</v>
      </c>
      <c r="M59" s="154">
        <f t="shared" si="14"/>
        <v>205.2</v>
      </c>
      <c r="N59">
        <f t="shared" si="15"/>
        <v>1</v>
      </c>
      <c r="O59" s="212">
        <f t="shared" si="16"/>
        <v>0</v>
      </c>
    </row>
    <row r="60" spans="1:15" x14ac:dyDescent="0.25">
      <c r="A60" s="32">
        <v>3651502963</v>
      </c>
      <c r="B60" s="175" t="s">
        <v>774</v>
      </c>
      <c r="C60" s="175">
        <v>45253</v>
      </c>
      <c r="D60" s="175">
        <v>45256</v>
      </c>
      <c r="E60" s="175" t="s">
        <v>163</v>
      </c>
      <c r="F60" s="175"/>
      <c r="G60" s="175"/>
      <c r="H60" s="175">
        <v>45007.864398148151</v>
      </c>
      <c r="I60" s="6" t="s">
        <v>291</v>
      </c>
      <c r="J60" s="195">
        <v>582.26</v>
      </c>
      <c r="K60">
        <f t="shared" si="10"/>
        <v>3</v>
      </c>
      <c r="L60" s="6">
        <v>1</v>
      </c>
      <c r="M60" s="154">
        <f t="shared" si="14"/>
        <v>194.08666666666667</v>
      </c>
      <c r="N60">
        <f t="shared" si="15"/>
        <v>3</v>
      </c>
      <c r="O60" s="212">
        <f t="shared" si="16"/>
        <v>0</v>
      </c>
    </row>
    <row r="61" spans="1:15" x14ac:dyDescent="0.25">
      <c r="A61" s="32" t="s">
        <v>775</v>
      </c>
      <c r="B61" s="175" t="s">
        <v>776</v>
      </c>
      <c r="C61" s="175">
        <v>45253</v>
      </c>
      <c r="D61" s="175">
        <v>45259</v>
      </c>
      <c r="E61" s="175" t="s">
        <v>236</v>
      </c>
      <c r="F61" s="175" t="s">
        <v>712</v>
      </c>
      <c r="G61" s="175" t="s">
        <v>777</v>
      </c>
      <c r="H61" s="175">
        <v>45132.459247685183</v>
      </c>
      <c r="I61" s="6" t="s">
        <v>290</v>
      </c>
      <c r="J61" s="195">
        <v>1140</v>
      </c>
      <c r="K61">
        <f t="shared" si="10"/>
        <v>6</v>
      </c>
      <c r="L61" s="6">
        <v>1</v>
      </c>
      <c r="M61" s="154">
        <f t="shared" si="14"/>
        <v>190</v>
      </c>
      <c r="N61">
        <f t="shared" si="15"/>
        <v>6</v>
      </c>
      <c r="O61" s="212">
        <f t="shared" si="16"/>
        <v>0</v>
      </c>
    </row>
    <row r="62" spans="1:15" x14ac:dyDescent="0.25">
      <c r="A62" s="32">
        <v>85194846</v>
      </c>
      <c r="B62" s="175" t="s">
        <v>778</v>
      </c>
      <c r="C62" s="175">
        <v>45253</v>
      </c>
      <c r="D62" s="175">
        <v>45256</v>
      </c>
      <c r="E62" s="175" t="s">
        <v>164</v>
      </c>
      <c r="F62" s="175" t="s">
        <v>779</v>
      </c>
      <c r="G62" s="175"/>
      <c r="H62" s="175">
        <v>45180.918055555558</v>
      </c>
      <c r="I62" s="6" t="s">
        <v>290</v>
      </c>
      <c r="J62" s="195">
        <v>684</v>
      </c>
      <c r="K62">
        <f t="shared" si="10"/>
        <v>3</v>
      </c>
      <c r="L62" s="6">
        <v>1</v>
      </c>
      <c r="M62" s="154">
        <f t="shared" si="14"/>
        <v>228</v>
      </c>
      <c r="N62">
        <f t="shared" si="15"/>
        <v>3</v>
      </c>
      <c r="O62" s="212">
        <f t="shared" si="16"/>
        <v>0</v>
      </c>
    </row>
    <row r="63" spans="1:15" x14ac:dyDescent="0.25">
      <c r="A63" s="32">
        <v>3993549122</v>
      </c>
      <c r="B63" s="175" t="s">
        <v>780</v>
      </c>
      <c r="C63" s="175">
        <v>45253</v>
      </c>
      <c r="D63" s="175">
        <v>45259</v>
      </c>
      <c r="E63" s="175" t="s">
        <v>163</v>
      </c>
      <c r="F63" s="175"/>
      <c r="G63" s="175"/>
      <c r="H63" s="175">
        <v>45133.47042824074</v>
      </c>
      <c r="I63" s="6" t="s">
        <v>290</v>
      </c>
      <c r="J63" s="195">
        <v>2633.4</v>
      </c>
      <c r="K63">
        <f t="shared" si="10"/>
        <v>6</v>
      </c>
      <c r="L63" s="6">
        <v>2</v>
      </c>
      <c r="M63" s="154">
        <f t="shared" si="14"/>
        <v>219.45000000000002</v>
      </c>
      <c r="N63">
        <f t="shared" si="15"/>
        <v>12</v>
      </c>
      <c r="O63" s="212">
        <f t="shared" si="16"/>
        <v>0</v>
      </c>
    </row>
    <row r="64" spans="1:15" x14ac:dyDescent="0.25">
      <c r="A64" s="32">
        <v>4071528463</v>
      </c>
      <c r="B64" s="175" t="s">
        <v>781</v>
      </c>
      <c r="C64" s="175">
        <v>45254</v>
      </c>
      <c r="D64" s="175">
        <v>45256</v>
      </c>
      <c r="E64" s="175" t="s">
        <v>163</v>
      </c>
      <c r="F64" s="175"/>
      <c r="G64" s="175"/>
      <c r="H64" s="175">
        <v>45222.094907407409</v>
      </c>
      <c r="I64" s="6" t="s">
        <v>291</v>
      </c>
      <c r="J64" s="195">
        <v>410.4</v>
      </c>
      <c r="K64">
        <f t="shared" si="10"/>
        <v>2</v>
      </c>
      <c r="L64" s="6">
        <v>1</v>
      </c>
      <c r="M64" s="154">
        <f t="shared" si="14"/>
        <v>205.2</v>
      </c>
      <c r="N64">
        <f t="shared" si="15"/>
        <v>2</v>
      </c>
      <c r="O64" s="212">
        <f t="shared" si="16"/>
        <v>0</v>
      </c>
    </row>
    <row r="65" spans="1:15" x14ac:dyDescent="0.25">
      <c r="A65" s="32">
        <v>2624555902</v>
      </c>
      <c r="B65" s="175" t="s">
        <v>782</v>
      </c>
      <c r="C65" s="175">
        <v>45254</v>
      </c>
      <c r="D65" s="175">
        <v>45261</v>
      </c>
      <c r="E65" s="175" t="s">
        <v>163</v>
      </c>
      <c r="F65" s="175"/>
      <c r="G65" s="175"/>
      <c r="H65" s="175">
        <v>45073.688217592593</v>
      </c>
      <c r="I65" s="6" t="s">
        <v>291</v>
      </c>
      <c r="J65" s="195">
        <v>1476.33</v>
      </c>
      <c r="K65">
        <f t="shared" si="10"/>
        <v>7</v>
      </c>
      <c r="L65" s="6">
        <v>1</v>
      </c>
      <c r="M65" s="154">
        <f t="shared" si="14"/>
        <v>210.90428571428569</v>
      </c>
      <c r="N65">
        <f t="shared" si="15"/>
        <v>7</v>
      </c>
      <c r="O65" s="212">
        <f t="shared" si="16"/>
        <v>0</v>
      </c>
    </row>
    <row r="66" spans="1:15" x14ac:dyDescent="0.25">
      <c r="A66" s="32">
        <v>4219697292</v>
      </c>
      <c r="B66" s="175" t="s">
        <v>783</v>
      </c>
      <c r="C66" s="175">
        <v>45255</v>
      </c>
      <c r="D66" s="175">
        <v>45257</v>
      </c>
      <c r="E66" s="175" t="s">
        <v>163</v>
      </c>
      <c r="F66" s="175"/>
      <c r="G66" s="175"/>
      <c r="H66" s="175">
        <v>45227.26290509259</v>
      </c>
      <c r="I66" s="6" t="s">
        <v>290</v>
      </c>
      <c r="J66" s="195">
        <v>410.4</v>
      </c>
      <c r="K66">
        <f t="shared" si="10"/>
        <v>2</v>
      </c>
      <c r="L66" s="6">
        <v>1</v>
      </c>
      <c r="M66" s="154">
        <f t="shared" si="14"/>
        <v>205.2</v>
      </c>
      <c r="N66">
        <f t="shared" si="15"/>
        <v>2</v>
      </c>
      <c r="O66" s="212">
        <f t="shared" si="16"/>
        <v>0</v>
      </c>
    </row>
    <row r="67" spans="1:15" x14ac:dyDescent="0.25">
      <c r="A67" s="32" t="s">
        <v>784</v>
      </c>
      <c r="B67" s="175" t="s">
        <v>785</v>
      </c>
      <c r="C67" s="175">
        <v>45256</v>
      </c>
      <c r="D67" s="175">
        <v>45259</v>
      </c>
      <c r="E67" s="175" t="s">
        <v>236</v>
      </c>
      <c r="F67" s="175" t="s">
        <v>712</v>
      </c>
      <c r="G67" s="175"/>
      <c r="H67" s="175">
        <v>45242.368425925924</v>
      </c>
      <c r="I67" s="6" t="s">
        <v>290</v>
      </c>
      <c r="J67" s="195">
        <v>598.5</v>
      </c>
      <c r="K67">
        <f t="shared" si="10"/>
        <v>3</v>
      </c>
      <c r="L67" s="6">
        <v>1</v>
      </c>
      <c r="M67" s="154">
        <f t="shared" si="14"/>
        <v>199.5</v>
      </c>
      <c r="N67">
        <f t="shared" si="15"/>
        <v>3</v>
      </c>
      <c r="O67" s="212">
        <f t="shared" si="16"/>
        <v>0</v>
      </c>
    </row>
    <row r="68" spans="1:15" x14ac:dyDescent="0.25">
      <c r="A68" s="32">
        <v>2641659427</v>
      </c>
      <c r="B68" s="175" t="s">
        <v>786</v>
      </c>
      <c r="C68" s="175">
        <v>45256</v>
      </c>
      <c r="D68" s="175">
        <v>45260</v>
      </c>
      <c r="E68" s="175" t="s">
        <v>163</v>
      </c>
      <c r="F68" s="175"/>
      <c r="G68" s="175"/>
      <c r="H68" s="175">
        <v>45017.827881944446</v>
      </c>
      <c r="I68" s="6" t="s">
        <v>291</v>
      </c>
      <c r="J68" s="195">
        <v>837.92</v>
      </c>
      <c r="K68">
        <f t="shared" ref="K68:K76" si="17">D68-C68</f>
        <v>4</v>
      </c>
      <c r="L68" s="6">
        <v>1</v>
      </c>
      <c r="M68" s="154">
        <f t="shared" ref="M68:M76" si="18">+J68/(K68*L68)</f>
        <v>209.48</v>
      </c>
      <c r="N68">
        <f t="shared" ref="N68:N76" si="19">ROUND(J68/M68,0)</f>
        <v>4</v>
      </c>
      <c r="O68" s="212">
        <f t="shared" ref="O68:O76" si="20">+N68-(L68*K68)</f>
        <v>0</v>
      </c>
    </row>
    <row r="69" spans="1:15" x14ac:dyDescent="0.25">
      <c r="A69" s="32">
        <v>2720618255</v>
      </c>
      <c r="B69" s="175" t="s">
        <v>787</v>
      </c>
      <c r="C69" s="175">
        <v>45256</v>
      </c>
      <c r="D69" s="175">
        <v>45257</v>
      </c>
      <c r="E69" s="175" t="s">
        <v>163</v>
      </c>
      <c r="F69" s="175"/>
      <c r="G69" s="175"/>
      <c r="H69" s="175">
        <v>45140.465312499997</v>
      </c>
      <c r="I69" s="6" t="s">
        <v>290</v>
      </c>
      <c r="J69" s="195">
        <v>438.9</v>
      </c>
      <c r="K69">
        <f t="shared" si="17"/>
        <v>1</v>
      </c>
      <c r="L69" s="6">
        <v>2</v>
      </c>
      <c r="M69" s="154">
        <f t="shared" si="18"/>
        <v>219.45</v>
      </c>
      <c r="N69">
        <f t="shared" si="19"/>
        <v>2</v>
      </c>
      <c r="O69" s="212">
        <f t="shared" si="20"/>
        <v>0</v>
      </c>
    </row>
    <row r="70" spans="1:15" x14ac:dyDescent="0.25">
      <c r="A70" s="32">
        <v>4067274727</v>
      </c>
      <c r="B70" s="175" t="s">
        <v>788</v>
      </c>
      <c r="C70" s="175">
        <v>45257</v>
      </c>
      <c r="D70" s="175">
        <v>45259</v>
      </c>
      <c r="E70" s="175" t="s">
        <v>163</v>
      </c>
      <c r="F70" s="175"/>
      <c r="G70" s="175"/>
      <c r="H70" s="175">
        <v>45248.556018518517</v>
      </c>
      <c r="I70" s="6" t="s">
        <v>290</v>
      </c>
      <c r="J70" s="195">
        <v>410.4</v>
      </c>
      <c r="K70">
        <f t="shared" si="17"/>
        <v>2</v>
      </c>
      <c r="L70" s="6">
        <v>1</v>
      </c>
      <c r="M70" s="154">
        <f t="shared" si="18"/>
        <v>205.2</v>
      </c>
      <c r="N70">
        <f t="shared" si="19"/>
        <v>2</v>
      </c>
      <c r="O70" s="212">
        <f t="shared" si="20"/>
        <v>0</v>
      </c>
    </row>
    <row r="71" spans="1:15" x14ac:dyDescent="0.25">
      <c r="A71" s="32">
        <v>114036063</v>
      </c>
      <c r="B71" s="175" t="s">
        <v>789</v>
      </c>
      <c r="C71" s="175">
        <v>45258</v>
      </c>
      <c r="D71" s="175">
        <v>45260</v>
      </c>
      <c r="E71" s="175" t="s">
        <v>164</v>
      </c>
      <c r="F71" s="175" t="s">
        <v>725</v>
      </c>
      <c r="G71" s="175"/>
      <c r="H71" s="175">
        <v>45230.223611111112</v>
      </c>
      <c r="I71" s="6" t="s">
        <v>290</v>
      </c>
      <c r="J71" s="195">
        <v>369.36</v>
      </c>
      <c r="K71">
        <f t="shared" si="17"/>
        <v>2</v>
      </c>
      <c r="L71" s="6">
        <v>1</v>
      </c>
      <c r="M71" s="154">
        <f t="shared" si="18"/>
        <v>184.68</v>
      </c>
      <c r="N71">
        <f t="shared" si="19"/>
        <v>2</v>
      </c>
      <c r="O71" s="212">
        <f t="shared" si="20"/>
        <v>0</v>
      </c>
    </row>
    <row r="72" spans="1:15" x14ac:dyDescent="0.25">
      <c r="A72" s="32">
        <v>3938901869</v>
      </c>
      <c r="B72" s="175" t="s">
        <v>790</v>
      </c>
      <c r="C72" s="175">
        <v>45259</v>
      </c>
      <c r="D72" s="175">
        <v>45262</v>
      </c>
      <c r="E72" s="175" t="s">
        <v>163</v>
      </c>
      <c r="F72" s="175"/>
      <c r="G72" s="175"/>
      <c r="H72" s="175">
        <v>45164.85728009259</v>
      </c>
      <c r="I72" s="6" t="s">
        <v>291</v>
      </c>
      <c r="J72" s="195">
        <v>666.9</v>
      </c>
      <c r="K72">
        <f t="shared" si="17"/>
        <v>3</v>
      </c>
      <c r="L72" s="6">
        <v>1</v>
      </c>
      <c r="M72" s="154">
        <f t="shared" si="18"/>
        <v>222.29999999999998</v>
      </c>
      <c r="N72">
        <f t="shared" si="19"/>
        <v>3</v>
      </c>
      <c r="O72" s="212">
        <f t="shared" si="20"/>
        <v>0</v>
      </c>
    </row>
    <row r="73" spans="1:15" x14ac:dyDescent="0.25">
      <c r="A73" s="32">
        <v>3809126082</v>
      </c>
      <c r="B73" s="175" t="s">
        <v>791</v>
      </c>
      <c r="C73" s="175">
        <v>45259</v>
      </c>
      <c r="D73" s="175">
        <v>45261</v>
      </c>
      <c r="E73" s="175" t="s">
        <v>163</v>
      </c>
      <c r="F73" s="175"/>
      <c r="G73" s="175"/>
      <c r="H73" s="175">
        <v>45066.679166666669</v>
      </c>
      <c r="I73" s="6" t="s">
        <v>291</v>
      </c>
      <c r="J73" s="195">
        <v>377.06</v>
      </c>
      <c r="K73">
        <f t="shared" si="17"/>
        <v>2</v>
      </c>
      <c r="L73" s="6">
        <v>1</v>
      </c>
      <c r="M73" s="154">
        <f t="shared" si="18"/>
        <v>188.53</v>
      </c>
      <c r="N73">
        <f t="shared" si="19"/>
        <v>2</v>
      </c>
      <c r="O73" s="212">
        <f t="shared" si="20"/>
        <v>0</v>
      </c>
    </row>
    <row r="74" spans="1:15" x14ac:dyDescent="0.25">
      <c r="A74" s="32">
        <v>2251997982</v>
      </c>
      <c r="B74" s="175" t="s">
        <v>792</v>
      </c>
      <c r="C74" s="175">
        <v>45259</v>
      </c>
      <c r="D74" s="175">
        <v>45261</v>
      </c>
      <c r="E74" s="175" t="s">
        <v>163</v>
      </c>
      <c r="F74" s="175"/>
      <c r="G74" s="175"/>
      <c r="H74" s="175">
        <v>45170.956875000003</v>
      </c>
      <c r="I74" s="6" t="s">
        <v>290</v>
      </c>
      <c r="J74" s="195">
        <v>355.5</v>
      </c>
      <c r="K74">
        <f t="shared" si="17"/>
        <v>2</v>
      </c>
      <c r="L74" s="6">
        <v>1</v>
      </c>
      <c r="M74" s="154">
        <f t="shared" si="18"/>
        <v>177.75</v>
      </c>
      <c r="N74">
        <f t="shared" si="19"/>
        <v>2</v>
      </c>
      <c r="O74" s="212">
        <f t="shared" si="20"/>
        <v>0</v>
      </c>
    </row>
    <row r="75" spans="1:15" x14ac:dyDescent="0.25">
      <c r="A75" s="32">
        <v>4035012187</v>
      </c>
      <c r="B75" s="175" t="s">
        <v>793</v>
      </c>
      <c r="C75" s="175">
        <v>45260</v>
      </c>
      <c r="D75" s="175">
        <v>45263</v>
      </c>
      <c r="E75" s="175" t="s">
        <v>163</v>
      </c>
      <c r="F75" s="175"/>
      <c r="G75" s="175"/>
      <c r="H75" s="175">
        <v>45245.543009259258</v>
      </c>
      <c r="I75" s="6" t="s">
        <v>290</v>
      </c>
      <c r="J75" s="195">
        <v>1231.2</v>
      </c>
      <c r="K75">
        <f t="shared" si="17"/>
        <v>3</v>
      </c>
      <c r="L75" s="6">
        <v>2</v>
      </c>
      <c r="M75" s="154">
        <f t="shared" si="18"/>
        <v>205.20000000000002</v>
      </c>
      <c r="N75">
        <f t="shared" si="19"/>
        <v>6</v>
      </c>
      <c r="O75" s="212">
        <f t="shared" si="20"/>
        <v>0</v>
      </c>
    </row>
    <row r="76" spans="1:15" x14ac:dyDescent="0.25">
      <c r="A76" s="32">
        <v>100805766</v>
      </c>
      <c r="B76" s="175" t="s">
        <v>794</v>
      </c>
      <c r="C76" s="175">
        <v>45260</v>
      </c>
      <c r="D76" s="175">
        <v>45262</v>
      </c>
      <c r="E76" s="175" t="s">
        <v>164</v>
      </c>
      <c r="F76" s="175" t="s">
        <v>725</v>
      </c>
      <c r="G76" s="175"/>
      <c r="H76" s="175">
        <v>45206.675000000003</v>
      </c>
      <c r="I76" s="6" t="s">
        <v>290</v>
      </c>
      <c r="J76" s="195">
        <v>410.4</v>
      </c>
      <c r="K76">
        <f t="shared" si="17"/>
        <v>2</v>
      </c>
      <c r="L76" s="6">
        <v>1</v>
      </c>
      <c r="M76" s="154">
        <f t="shared" si="18"/>
        <v>205.2</v>
      </c>
      <c r="N76">
        <f t="shared" si="19"/>
        <v>2</v>
      </c>
      <c r="O76" s="212">
        <f t="shared" si="20"/>
        <v>0</v>
      </c>
    </row>
    <row r="77" spans="1:15" x14ac:dyDescent="0.25">
      <c r="A77" s="32"/>
      <c r="B77" s="175"/>
      <c r="C77" s="175"/>
      <c r="D77" s="175"/>
      <c r="E77" s="175"/>
      <c r="F77" s="175"/>
      <c r="G77" s="175"/>
      <c r="H77" s="175"/>
      <c r="I77" s="6"/>
      <c r="J77" s="195"/>
      <c r="L77" s="6"/>
      <c r="M77" s="154"/>
      <c r="O77" s="212"/>
    </row>
    <row r="78" spans="1:15" x14ac:dyDescent="0.25">
      <c r="A78" s="32"/>
      <c r="B78" s="175"/>
      <c r="C78" s="175"/>
      <c r="D78" s="175"/>
      <c r="E78" s="175"/>
      <c r="F78" s="175"/>
      <c r="G78" s="175"/>
      <c r="H78" s="175"/>
      <c r="I78" s="6"/>
      <c r="J78" s="195"/>
      <c r="L78" s="6"/>
      <c r="M78" s="154"/>
      <c r="O78" s="212"/>
    </row>
    <row r="79" spans="1:15" x14ac:dyDescent="0.25">
      <c r="A79" s="32"/>
      <c r="B79" s="175"/>
      <c r="C79" s="175"/>
      <c r="D79" s="175"/>
      <c r="E79" s="175"/>
      <c r="F79" s="175"/>
      <c r="G79" s="175"/>
      <c r="H79" s="175"/>
      <c r="I79" s="6"/>
      <c r="J79" s="195"/>
      <c r="L79" s="6"/>
      <c r="M79" s="154"/>
      <c r="O79" s="212"/>
    </row>
    <row r="80" spans="1:15" x14ac:dyDescent="0.25">
      <c r="A80" s="32"/>
      <c r="B80" s="175"/>
      <c r="C80" s="175"/>
      <c r="D80" s="175"/>
      <c r="E80" s="175"/>
      <c r="F80" s="175"/>
      <c r="G80" s="175"/>
      <c r="H80" s="175"/>
      <c r="I80" s="6"/>
      <c r="J80" s="195"/>
      <c r="L80" s="6"/>
      <c r="M80" s="154"/>
      <c r="O80" s="212"/>
    </row>
    <row r="81" spans="1:15" x14ac:dyDescent="0.25">
      <c r="A81" s="32"/>
      <c r="B81" s="175"/>
      <c r="C81" s="175"/>
      <c r="D81" s="175"/>
      <c r="E81" s="175"/>
      <c r="F81" s="175"/>
      <c r="G81" s="175"/>
      <c r="H81" s="175"/>
      <c r="I81" s="6"/>
      <c r="J81" s="195"/>
      <c r="L81" s="6"/>
      <c r="M81" s="154"/>
      <c r="O81" s="212"/>
    </row>
    <row r="82" spans="1:15" x14ac:dyDescent="0.25">
      <c r="A82" s="32"/>
      <c r="B82" s="175"/>
      <c r="C82" s="175"/>
      <c r="D82" s="175"/>
      <c r="E82" s="175"/>
      <c r="F82" s="175"/>
      <c r="G82" s="175"/>
      <c r="H82" s="175"/>
      <c r="I82" s="6"/>
      <c r="J82" s="195"/>
      <c r="L82" s="6"/>
      <c r="M82" s="154"/>
      <c r="O82" s="212"/>
    </row>
    <row r="83" spans="1:15" x14ac:dyDescent="0.25">
      <c r="A83" s="32"/>
      <c r="B83" s="175"/>
      <c r="C83" s="175"/>
      <c r="D83" s="175"/>
      <c r="E83" s="175"/>
      <c r="F83" s="175"/>
      <c r="G83" s="175"/>
      <c r="H83" s="175"/>
      <c r="I83" s="6"/>
      <c r="J83" s="195"/>
      <c r="L83" s="6"/>
      <c r="M83" s="154"/>
      <c r="O83" s="212"/>
    </row>
    <row r="84" spans="1:15" x14ac:dyDescent="0.25">
      <c r="A84" s="32"/>
      <c r="B84" s="175"/>
      <c r="C84" s="175"/>
      <c r="D84" s="175"/>
      <c r="E84" s="175"/>
      <c r="F84" s="175"/>
      <c r="G84" s="175"/>
      <c r="H84" s="175"/>
      <c r="I84" s="6"/>
      <c r="J84" s="195"/>
      <c r="L84" s="6"/>
      <c r="M84" s="154"/>
      <c r="O84" s="212"/>
    </row>
    <row r="85" spans="1:15" x14ac:dyDescent="0.25">
      <c r="A85" s="32"/>
      <c r="B85" s="175"/>
      <c r="C85" s="175"/>
      <c r="D85" s="175"/>
      <c r="E85" s="175"/>
      <c r="F85" s="175"/>
      <c r="G85" s="175"/>
      <c r="H85" s="175"/>
      <c r="I85" s="6"/>
      <c r="J85" s="195"/>
      <c r="L85" s="6"/>
      <c r="M85" s="154"/>
      <c r="O85" s="212"/>
    </row>
    <row r="86" spans="1:15" x14ac:dyDescent="0.25">
      <c r="A86" s="32"/>
      <c r="B86" s="175"/>
      <c r="C86" s="175"/>
      <c r="D86" s="175"/>
      <c r="E86" s="175"/>
      <c r="F86" s="175"/>
      <c r="G86" s="175"/>
      <c r="H86" s="175"/>
      <c r="I86" s="6"/>
      <c r="J86" s="195"/>
      <c r="L86" s="6"/>
      <c r="M86" s="154"/>
      <c r="O86" s="212"/>
    </row>
    <row r="87" spans="1:15" x14ac:dyDescent="0.25">
      <c r="A87" s="32"/>
      <c r="B87" s="175"/>
      <c r="C87" s="175"/>
      <c r="D87" s="175"/>
      <c r="E87" s="175"/>
      <c r="F87" s="175"/>
      <c r="G87" s="175"/>
      <c r="H87" s="175"/>
      <c r="I87" s="6"/>
      <c r="J87" s="195"/>
      <c r="L87" s="6"/>
      <c r="M87" s="154"/>
      <c r="O87" s="212"/>
    </row>
    <row r="88" spans="1:15" x14ac:dyDescent="0.25">
      <c r="A88" s="32"/>
      <c r="B88" s="175"/>
      <c r="C88" s="175"/>
      <c r="D88" s="175"/>
      <c r="E88" s="175"/>
      <c r="F88" s="175"/>
      <c r="G88" s="175"/>
      <c r="H88" s="175"/>
      <c r="I88" s="6"/>
      <c r="J88" s="195"/>
      <c r="L88" s="6"/>
      <c r="M88" s="154"/>
      <c r="O88" s="212"/>
    </row>
    <row r="89" spans="1:15" x14ac:dyDescent="0.25">
      <c r="A89" s="32"/>
      <c r="B89" s="175"/>
      <c r="C89" s="175"/>
      <c r="D89" s="175"/>
      <c r="E89" s="175"/>
      <c r="F89" s="175"/>
      <c r="G89" s="175"/>
      <c r="H89" s="175"/>
      <c r="I89" s="6"/>
      <c r="J89" s="195"/>
      <c r="L89" s="6"/>
      <c r="M89" s="154"/>
      <c r="O89" s="212"/>
    </row>
    <row r="90" spans="1:15" x14ac:dyDescent="0.25">
      <c r="A90" s="32"/>
      <c r="B90" s="175"/>
      <c r="C90" s="175"/>
      <c r="D90" s="175"/>
      <c r="E90" s="175"/>
      <c r="F90" s="175"/>
      <c r="G90" s="175"/>
      <c r="H90" s="175"/>
      <c r="I90" s="6"/>
      <c r="J90" s="195"/>
      <c r="L90" s="6"/>
      <c r="M90" s="154"/>
      <c r="O90" s="212"/>
    </row>
    <row r="91" spans="1:15" x14ac:dyDescent="0.25">
      <c r="A91" s="32"/>
      <c r="B91" s="175"/>
      <c r="C91" s="175"/>
      <c r="D91" s="175"/>
      <c r="E91" s="175"/>
      <c r="F91" s="175"/>
      <c r="G91" s="175"/>
      <c r="H91" s="175"/>
      <c r="I91" s="6"/>
      <c r="J91" s="195"/>
      <c r="L91" s="6"/>
      <c r="M91" s="154"/>
      <c r="O91" s="212"/>
    </row>
    <row r="92" spans="1:15" x14ac:dyDescent="0.25">
      <c r="A92" s="32"/>
      <c r="B92" s="175"/>
      <c r="C92" s="175"/>
      <c r="D92" s="175"/>
      <c r="E92" s="175"/>
      <c r="F92" s="175"/>
      <c r="G92" s="175"/>
      <c r="H92" s="175"/>
      <c r="I92" s="6"/>
      <c r="J92" s="195"/>
      <c r="L92" s="6"/>
      <c r="M92" s="154"/>
      <c r="O92" s="212"/>
    </row>
    <row r="93" spans="1:15" x14ac:dyDescent="0.25">
      <c r="A93" s="32"/>
      <c r="B93" s="175"/>
      <c r="C93" s="175"/>
      <c r="D93" s="175"/>
      <c r="E93" s="175"/>
      <c r="F93" s="175"/>
      <c r="G93" s="175"/>
      <c r="H93" s="175"/>
      <c r="I93" s="6"/>
      <c r="J93" s="195"/>
      <c r="L93" s="6"/>
      <c r="M93" s="154"/>
      <c r="O93" s="212"/>
    </row>
    <row r="94" spans="1:15" x14ac:dyDescent="0.25">
      <c r="A94" s="32"/>
      <c r="B94" s="175"/>
      <c r="C94" s="175"/>
      <c r="D94" s="175"/>
      <c r="E94" s="175"/>
      <c r="F94" s="175"/>
      <c r="G94" s="175"/>
      <c r="H94" s="175"/>
      <c r="I94" s="6"/>
      <c r="J94" s="195"/>
      <c r="L94" s="6"/>
      <c r="M94" s="154"/>
      <c r="O94" s="212"/>
    </row>
    <row r="95" spans="1:15" x14ac:dyDescent="0.25">
      <c r="A95" s="32"/>
      <c r="B95" s="175"/>
      <c r="C95" s="175"/>
      <c r="D95" s="175"/>
      <c r="E95" s="175"/>
      <c r="F95" s="175"/>
      <c r="G95" s="175"/>
      <c r="H95" s="175"/>
      <c r="I95" s="6"/>
      <c r="J95" s="195"/>
      <c r="L95" s="6"/>
      <c r="M95" s="154"/>
      <c r="O95" s="212"/>
    </row>
    <row r="96" spans="1:15" x14ac:dyDescent="0.25">
      <c r="A96" s="32"/>
      <c r="B96" s="175"/>
      <c r="C96" s="175"/>
      <c r="D96" s="175"/>
      <c r="E96" s="175"/>
      <c r="F96" s="175"/>
      <c r="G96" s="175"/>
      <c r="H96" s="175"/>
      <c r="I96" s="6"/>
      <c r="J96" s="195"/>
      <c r="L96" s="6"/>
      <c r="M96" s="154"/>
      <c r="O96" s="212"/>
    </row>
    <row r="97" spans="1:15" x14ac:dyDescent="0.25">
      <c r="A97" s="32"/>
      <c r="B97" s="175"/>
      <c r="C97" s="175"/>
      <c r="D97" s="175"/>
      <c r="E97" s="175"/>
      <c r="F97" s="175"/>
      <c r="G97" s="175"/>
      <c r="H97" s="175"/>
      <c r="I97" s="6"/>
      <c r="J97" s="195"/>
      <c r="L97" s="6"/>
      <c r="M97" s="154"/>
      <c r="O97" s="212"/>
    </row>
    <row r="98" spans="1:15" x14ac:dyDescent="0.25">
      <c r="A98" s="32"/>
      <c r="B98" s="175"/>
      <c r="C98" s="175"/>
      <c r="D98" s="175"/>
      <c r="E98" s="175"/>
      <c r="F98" s="175"/>
      <c r="G98" s="175"/>
      <c r="H98" s="175"/>
      <c r="I98" s="6"/>
      <c r="J98" s="195"/>
      <c r="L98" s="6"/>
      <c r="M98" s="154"/>
      <c r="O98" s="212"/>
    </row>
    <row r="99" spans="1:15" x14ac:dyDescent="0.25">
      <c r="A99" s="32"/>
      <c r="B99" s="175"/>
      <c r="C99" s="175"/>
      <c r="D99" s="175"/>
      <c r="E99" s="175"/>
      <c r="F99" s="175"/>
      <c r="G99" s="175"/>
      <c r="H99" s="175"/>
      <c r="I99" s="6"/>
      <c r="J99" s="195"/>
      <c r="L99" s="6"/>
      <c r="M99" s="154"/>
      <c r="O99" s="212"/>
    </row>
    <row r="100" spans="1:15" x14ac:dyDescent="0.25">
      <c r="A100" s="32"/>
      <c r="B100" s="175"/>
      <c r="C100" s="175"/>
      <c r="D100" s="175"/>
      <c r="E100" s="175"/>
      <c r="F100" s="175"/>
      <c r="G100" s="175"/>
      <c r="H100" s="175"/>
      <c r="I100" s="6"/>
      <c r="J100" s="195"/>
      <c r="L100" s="6"/>
      <c r="M100" s="154"/>
      <c r="O100" s="212"/>
    </row>
    <row r="101" spans="1:15" x14ac:dyDescent="0.25">
      <c r="A101" s="32"/>
      <c r="B101" s="175"/>
      <c r="C101" s="175"/>
      <c r="D101" s="175"/>
      <c r="E101" s="175"/>
      <c r="F101" s="175"/>
      <c r="G101" s="175"/>
      <c r="H101" s="175"/>
      <c r="I101" s="6"/>
      <c r="J101" s="195"/>
      <c r="L101" s="6"/>
      <c r="M101" s="154"/>
      <c r="O101" s="212"/>
    </row>
    <row r="102" spans="1:15" x14ac:dyDescent="0.25">
      <c r="A102" s="32"/>
      <c r="B102" s="175"/>
      <c r="C102" s="175"/>
      <c r="D102" s="175"/>
      <c r="E102" s="175"/>
      <c r="F102" s="175"/>
      <c r="G102" s="175"/>
      <c r="H102" s="175"/>
      <c r="I102" s="6"/>
      <c r="J102" s="195"/>
      <c r="L102" s="6"/>
      <c r="M102" s="154"/>
      <c r="O102" s="212"/>
    </row>
    <row r="103" spans="1:15" x14ac:dyDescent="0.25">
      <c r="A103" s="32"/>
      <c r="B103" s="175"/>
      <c r="C103" s="175"/>
      <c r="D103" s="175"/>
      <c r="E103" s="175"/>
      <c r="F103" s="175"/>
      <c r="G103" s="175"/>
      <c r="H103" s="175"/>
      <c r="I103" s="6"/>
      <c r="J103" s="195"/>
      <c r="L103" s="6"/>
      <c r="M103" s="154"/>
      <c r="O103" s="212"/>
    </row>
    <row r="104" spans="1:15" x14ac:dyDescent="0.25">
      <c r="A104" s="32"/>
      <c r="B104" s="175"/>
      <c r="C104" s="175"/>
      <c r="D104" s="175"/>
      <c r="E104" s="175"/>
      <c r="F104" s="175"/>
      <c r="G104" s="175"/>
      <c r="H104" s="175"/>
      <c r="I104" s="6"/>
      <c r="J104" s="195"/>
      <c r="L104" s="6"/>
      <c r="M104" s="154"/>
      <c r="O104" s="212"/>
    </row>
    <row r="105" spans="1:15" x14ac:dyDescent="0.25">
      <c r="A105" s="32"/>
      <c r="B105" s="175"/>
      <c r="C105" s="6"/>
      <c r="D105" s="6"/>
      <c r="E105" s="175"/>
      <c r="F105" s="175"/>
      <c r="G105" s="175"/>
      <c r="H105" s="175"/>
      <c r="I105" s="6"/>
      <c r="J105" s="175"/>
      <c r="L105" s="6"/>
      <c r="M105" s="154"/>
      <c r="O105" s="212"/>
    </row>
    <row r="106" spans="1:15" x14ac:dyDescent="0.25">
      <c r="A106" s="179"/>
      <c r="B106" s="181"/>
      <c r="C106" s="180"/>
      <c r="D106" s="180"/>
      <c r="E106" s="181"/>
      <c r="F106" s="181"/>
      <c r="G106" s="181"/>
      <c r="H106" s="181"/>
      <c r="I106" s="180"/>
      <c r="J106" s="181"/>
      <c r="L106" s="6"/>
      <c r="M106" s="154"/>
      <c r="O106" s="212"/>
    </row>
    <row r="107" spans="1:15" x14ac:dyDescent="0.25">
      <c r="A107" s="32"/>
      <c r="B107" s="175"/>
      <c r="C107" s="6"/>
      <c r="D107" s="6"/>
      <c r="E107" s="175"/>
      <c r="F107" s="175"/>
      <c r="G107" s="175"/>
      <c r="H107" s="175"/>
      <c r="I107" s="6"/>
      <c r="J107" s="175"/>
      <c r="L107" s="6"/>
      <c r="M107" s="154"/>
    </row>
    <row r="108" spans="1:15" x14ac:dyDescent="0.25">
      <c r="A108" s="6"/>
      <c r="B108" s="175"/>
      <c r="C108" s="6"/>
      <c r="D108" s="6"/>
      <c r="E108" s="175"/>
      <c r="F108" s="175"/>
      <c r="G108" s="175"/>
      <c r="H108" s="175"/>
      <c r="I108" s="6"/>
      <c r="J108" s="175"/>
      <c r="L108" s="6"/>
      <c r="M108" s="154"/>
    </row>
    <row r="109" spans="1:15" x14ac:dyDescent="0.25">
      <c r="A109" s="6"/>
      <c r="B109" s="175"/>
      <c r="C109" s="6"/>
      <c r="D109" s="6"/>
      <c r="E109" s="175"/>
      <c r="F109" s="175"/>
      <c r="G109" s="175"/>
      <c r="H109" s="175"/>
      <c r="I109" s="6"/>
      <c r="J109" s="175"/>
      <c r="L109" s="6"/>
      <c r="M109" s="154"/>
    </row>
    <row r="110" spans="1:15" x14ac:dyDescent="0.25">
      <c r="A110" s="6"/>
      <c r="B110" s="175"/>
      <c r="C110" s="6"/>
      <c r="D110" s="6"/>
      <c r="E110" s="175"/>
      <c r="F110" s="175"/>
      <c r="G110" s="175"/>
      <c r="H110" s="175"/>
      <c r="I110" s="6"/>
      <c r="J110" s="175"/>
      <c r="L110" s="6"/>
      <c r="M110" s="154"/>
    </row>
    <row r="111" spans="1:15" x14ac:dyDescent="0.25">
      <c r="A111" s="6"/>
      <c r="B111" s="175"/>
      <c r="C111" s="6"/>
      <c r="D111" s="6"/>
      <c r="E111" s="175"/>
      <c r="F111" s="175"/>
      <c r="G111" s="175"/>
      <c r="H111" s="175"/>
      <c r="I111" s="6"/>
      <c r="J111" s="175"/>
      <c r="L111" s="6"/>
      <c r="M111" s="154"/>
    </row>
    <row r="112" spans="1:15" x14ac:dyDescent="0.25">
      <c r="A112" s="6"/>
      <c r="B112" s="175"/>
      <c r="C112" s="6"/>
      <c r="D112" s="6"/>
      <c r="E112" s="175"/>
      <c r="F112" s="175"/>
      <c r="G112" s="175"/>
      <c r="H112" s="175"/>
      <c r="I112" s="6"/>
      <c r="J112" s="175"/>
      <c r="L112" s="6"/>
      <c r="M112" s="154"/>
    </row>
    <row r="113" spans="10:15" x14ac:dyDescent="0.25">
      <c r="J113" s="309">
        <f>SUM(J5:J112)</f>
        <v>50746.65</v>
      </c>
      <c r="K113">
        <f>SUM(K5:K112)</f>
        <v>215</v>
      </c>
      <c r="L113">
        <f>SUM(L5:L112)</f>
        <v>84</v>
      </c>
      <c r="N113">
        <f>SUM(N5:N112)</f>
        <v>252</v>
      </c>
      <c r="O113">
        <f>+N113-K113</f>
        <v>37</v>
      </c>
    </row>
    <row r="114" spans="10:15" x14ac:dyDescent="0.25">
      <c r="N114" s="9">
        <f>+N113/300</f>
        <v>0.84</v>
      </c>
    </row>
    <row r="115" spans="10:15" x14ac:dyDescent="0.25">
      <c r="J115">
        <f>+J113*870</f>
        <v>44149585.5</v>
      </c>
    </row>
  </sheetData>
  <sortState xmlns:xlrd2="http://schemas.microsoft.com/office/spreadsheetml/2017/richdata2" ref="A5:M58">
    <sortCondition ref="I5:I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55" zoomScaleNormal="55" workbookViewId="0">
      <selection activeCell="A48" sqref="A48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84"/>
      <c r="B1" s="338" t="s">
        <v>6</v>
      </c>
      <c r="C1" s="339"/>
      <c r="D1" s="340"/>
      <c r="E1" s="284"/>
      <c r="F1" s="284"/>
      <c r="G1" s="284"/>
      <c r="H1" s="285"/>
      <c r="I1" s="285"/>
      <c r="J1" s="285"/>
      <c r="K1" s="284"/>
      <c r="L1" s="284"/>
      <c r="M1" s="341" t="s">
        <v>77</v>
      </c>
      <c r="N1" s="341"/>
      <c r="O1" s="341" t="s">
        <v>78</v>
      </c>
      <c r="P1" s="341"/>
      <c r="Q1" s="341" t="s">
        <v>79</v>
      </c>
      <c r="R1" s="341"/>
      <c r="S1" s="341" t="s">
        <v>109</v>
      </c>
      <c r="T1" s="341"/>
      <c r="U1" s="310" t="s">
        <v>240</v>
      </c>
    </row>
    <row r="2" spans="1:21" ht="30" customHeight="1" x14ac:dyDescent="0.2">
      <c r="A2" s="284" t="s">
        <v>71</v>
      </c>
      <c r="B2" s="284" t="s">
        <v>177</v>
      </c>
      <c r="C2" s="284" t="s">
        <v>178</v>
      </c>
      <c r="D2" s="284" t="s">
        <v>179</v>
      </c>
      <c r="E2" s="284" t="s">
        <v>0</v>
      </c>
      <c r="F2" s="284" t="s">
        <v>43</v>
      </c>
      <c r="G2" s="284" t="s">
        <v>72</v>
      </c>
      <c r="H2" s="285" t="s">
        <v>1</v>
      </c>
      <c r="I2" s="285" t="s">
        <v>2</v>
      </c>
      <c r="J2" s="285" t="s">
        <v>238</v>
      </c>
      <c r="K2" s="285" t="s">
        <v>239</v>
      </c>
      <c r="L2" s="284" t="s">
        <v>74</v>
      </c>
      <c r="M2" s="286" t="s">
        <v>73</v>
      </c>
      <c r="N2" s="287" t="s">
        <v>47</v>
      </c>
      <c r="O2" s="286" t="s">
        <v>73</v>
      </c>
      <c r="P2" s="286" t="s">
        <v>47</v>
      </c>
      <c r="Q2" s="286" t="s">
        <v>73</v>
      </c>
      <c r="R2" s="286" t="s">
        <v>47</v>
      </c>
      <c r="S2" s="286" t="s">
        <v>73</v>
      </c>
      <c r="T2" s="286" t="s">
        <v>47</v>
      </c>
      <c r="U2" s="310" t="s">
        <v>240</v>
      </c>
    </row>
    <row r="3" spans="1:21" ht="15" customHeight="1" x14ac:dyDescent="0.2">
      <c r="A3" s="170"/>
      <c r="B3" s="170"/>
      <c r="C3" s="170"/>
      <c r="D3" s="170"/>
      <c r="E3" s="280" t="str">
        <f>+S!B5</f>
        <v>Fernando Gonzalez Sanchez, Juan Francisco Herrera Sanchez</v>
      </c>
      <c r="F3" s="280" t="str">
        <f>+S!E5</f>
        <v>Booking.com</v>
      </c>
      <c r="G3" s="281">
        <f>+S!A5</f>
        <v>4200218208</v>
      </c>
      <c r="H3" s="108">
        <f>+S!C5</f>
        <v>45231</v>
      </c>
      <c r="I3" s="108">
        <f>+S!D5</f>
        <v>45234</v>
      </c>
      <c r="J3" s="282">
        <f>+S!L5</f>
        <v>2</v>
      </c>
      <c r="K3" s="283">
        <f>+S!K5</f>
        <v>3</v>
      </c>
      <c r="L3" s="111">
        <f>+S!J5</f>
        <v>1108.08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184.67999999999998</v>
      </c>
    </row>
    <row r="4" spans="1:21" ht="15" customHeight="1" x14ac:dyDescent="0.2">
      <c r="A4" s="170"/>
      <c r="B4" s="170"/>
      <c r="C4" s="170"/>
      <c r="D4" s="170"/>
      <c r="E4" s="280" t="str">
        <f>+S!B6</f>
        <v>Anna Serdyuk, Natallia Maisak</v>
      </c>
      <c r="F4" s="280" t="str">
        <f>+S!E6</f>
        <v>Booking.com</v>
      </c>
      <c r="G4" s="281">
        <f>+S!A6</f>
        <v>4028595715</v>
      </c>
      <c r="H4" s="108">
        <f>+S!C6</f>
        <v>45231</v>
      </c>
      <c r="I4" s="108">
        <f>+S!D6</f>
        <v>45232</v>
      </c>
      <c r="J4" s="282">
        <f>+S!L6</f>
        <v>1</v>
      </c>
      <c r="K4" s="283">
        <f>+S!K6</f>
        <v>1</v>
      </c>
      <c r="L4" s="111">
        <f>+S!J6</f>
        <v>205.2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25" si="0">+L4/(K4*J4)</f>
        <v>205.2</v>
      </c>
    </row>
    <row r="5" spans="1:21" ht="15" customHeight="1" x14ac:dyDescent="0.2">
      <c r="A5" s="170"/>
      <c r="B5" s="170"/>
      <c r="C5" s="170"/>
      <c r="D5" s="170"/>
      <c r="E5" s="280" t="str">
        <f>+S!B7</f>
        <v>Marcelo Croce</v>
      </c>
      <c r="F5" s="280" t="str">
        <f>+S!E7</f>
        <v>Direct Booking</v>
      </c>
      <c r="G5" s="281" t="str">
        <f>+S!A7</f>
        <v>BB23051311153226</v>
      </c>
      <c r="H5" s="108">
        <f>+S!C7</f>
        <v>45232</v>
      </c>
      <c r="I5" s="108">
        <f>+S!D7</f>
        <v>45234</v>
      </c>
      <c r="J5" s="282">
        <f>+S!L7</f>
        <v>1</v>
      </c>
      <c r="K5" s="283">
        <f>+S!K7</f>
        <v>2</v>
      </c>
      <c r="L5" s="111">
        <f>+S!J7</f>
        <v>380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190</v>
      </c>
    </row>
    <row r="6" spans="1:21" ht="15" customHeight="1" x14ac:dyDescent="0.2">
      <c r="A6" s="170"/>
      <c r="B6" s="170"/>
      <c r="C6" s="170"/>
      <c r="D6" s="170"/>
      <c r="E6" s="280" t="str">
        <f>+S!B8</f>
        <v>Chun wai Cheung</v>
      </c>
      <c r="F6" s="280" t="str">
        <f>+S!E8</f>
        <v>Booking.com</v>
      </c>
      <c r="G6" s="281">
        <f>+S!A8</f>
        <v>3343626229</v>
      </c>
      <c r="H6" s="108">
        <f>+S!C8</f>
        <v>45232</v>
      </c>
      <c r="I6" s="108">
        <f>+S!D8</f>
        <v>45233</v>
      </c>
      <c r="J6" s="282">
        <f>+S!L8</f>
        <v>1</v>
      </c>
      <c r="K6" s="283">
        <f>+S!K8</f>
        <v>1</v>
      </c>
      <c r="L6" s="111">
        <f>+S!J8</f>
        <v>219.45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219.45</v>
      </c>
    </row>
    <row r="7" spans="1:21" ht="15" customHeight="1" x14ac:dyDescent="0.2">
      <c r="A7" s="170"/>
      <c r="B7" s="170"/>
      <c r="C7" s="170"/>
      <c r="D7" s="170"/>
      <c r="E7" s="280" t="str">
        <f>+S!B9</f>
        <v>CHUNG WAI CHEUNG</v>
      </c>
      <c r="F7" s="280" t="str">
        <f>+S!E9</f>
        <v>Booking.com</v>
      </c>
      <c r="G7" s="281">
        <f>+S!A9</f>
        <v>2808448788</v>
      </c>
      <c r="H7" s="108">
        <f>+S!C9</f>
        <v>45232</v>
      </c>
      <c r="I7" s="108">
        <f>+S!D9</f>
        <v>45233</v>
      </c>
      <c r="J7" s="282">
        <f>+S!L9</f>
        <v>1</v>
      </c>
      <c r="K7" s="283">
        <f>+S!K9</f>
        <v>1</v>
      </c>
      <c r="L7" s="111">
        <f>+S!J9</f>
        <v>219.45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219.45</v>
      </c>
    </row>
    <row r="8" spans="1:21" ht="15" customHeight="1" x14ac:dyDescent="0.2">
      <c r="A8" s="170"/>
      <c r="B8" s="170"/>
      <c r="C8" s="170"/>
      <c r="D8" s="170"/>
      <c r="E8" s="280" t="str">
        <f>+S!B10</f>
        <v>Claudio Tadashi</v>
      </c>
      <c r="F8" s="280" t="str">
        <f>+S!E10</f>
        <v>Booking.com</v>
      </c>
      <c r="G8" s="281">
        <f>+S!A10</f>
        <v>4070230475</v>
      </c>
      <c r="H8" s="108">
        <f>+S!C10</f>
        <v>45233</v>
      </c>
      <c r="I8" s="108">
        <f>+S!D10</f>
        <v>45234</v>
      </c>
      <c r="J8" s="282">
        <f>+S!L10</f>
        <v>1</v>
      </c>
      <c r="K8" s="283">
        <f>+S!K10</f>
        <v>1</v>
      </c>
      <c r="L8" s="111">
        <f>+S!J10</f>
        <v>205.2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205.2</v>
      </c>
    </row>
    <row r="9" spans="1:21" ht="15" customHeight="1" x14ac:dyDescent="0.2">
      <c r="A9" s="170"/>
      <c r="B9" s="170"/>
      <c r="C9" s="170"/>
      <c r="D9" s="170"/>
      <c r="E9" s="280" t="str">
        <f>+S!B11</f>
        <v>Laura Rodriguez Marcos</v>
      </c>
      <c r="F9" s="280" t="str">
        <f>+S!E11</f>
        <v>Direct Booking</v>
      </c>
      <c r="G9" s="281" t="str">
        <f>+S!A11</f>
        <v>BB23031710664469</v>
      </c>
      <c r="H9" s="108">
        <f>+S!C11</f>
        <v>45234</v>
      </c>
      <c r="I9" s="108">
        <f>+S!D11</f>
        <v>45237</v>
      </c>
      <c r="J9" s="282">
        <f>+S!L11</f>
        <v>3</v>
      </c>
      <c r="K9" s="283">
        <f>+S!K11</f>
        <v>3</v>
      </c>
      <c r="L9" s="111">
        <f>+S!J11</f>
        <v>1710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190</v>
      </c>
    </row>
    <row r="10" spans="1:21" ht="15" customHeight="1" x14ac:dyDescent="0.2">
      <c r="A10" s="170"/>
      <c r="B10" s="170"/>
      <c r="C10" s="170"/>
      <c r="D10" s="170"/>
      <c r="E10" s="280" t="str">
        <f>+S!B12</f>
        <v>Marcelo Croce</v>
      </c>
      <c r="F10" s="280" t="str">
        <f>+S!E12</f>
        <v>Direct Booking</v>
      </c>
      <c r="G10" s="281" t="str">
        <f>+S!A12</f>
        <v>BB23031710664440</v>
      </c>
      <c r="H10" s="108">
        <f>+S!C12</f>
        <v>45234</v>
      </c>
      <c r="I10" s="108">
        <f>+S!D12</f>
        <v>45237</v>
      </c>
      <c r="J10" s="282">
        <f>+S!L12</f>
        <v>3</v>
      </c>
      <c r="K10" s="283">
        <f>+S!K12</f>
        <v>3</v>
      </c>
      <c r="L10" s="111">
        <f>+S!J12</f>
        <v>1710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190</v>
      </c>
    </row>
    <row r="11" spans="1:21" ht="15" customHeight="1" x14ac:dyDescent="0.2">
      <c r="A11" s="170"/>
      <c r="B11" s="170"/>
      <c r="C11" s="170"/>
      <c r="D11" s="170"/>
      <c r="E11" s="280" t="str">
        <f>+S!B13</f>
        <v>Marcelo Croce</v>
      </c>
      <c r="F11" s="280" t="str">
        <f>+S!E13</f>
        <v>Direct Booking</v>
      </c>
      <c r="G11" s="281" t="str">
        <f>+S!A13</f>
        <v>BB23031710664545</v>
      </c>
      <c r="H11" s="108">
        <f>+S!C13</f>
        <v>45234</v>
      </c>
      <c r="I11" s="108">
        <f>+S!D13</f>
        <v>45237</v>
      </c>
      <c r="J11" s="282">
        <f>+S!L13</f>
        <v>2</v>
      </c>
      <c r="K11" s="283">
        <f>+S!K13</f>
        <v>3</v>
      </c>
      <c r="L11" s="111">
        <f>+S!J13</f>
        <v>1140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190</v>
      </c>
    </row>
    <row r="12" spans="1:21" ht="15" customHeight="1" x14ac:dyDescent="0.2">
      <c r="A12" s="170"/>
      <c r="B12" s="170"/>
      <c r="C12" s="170"/>
      <c r="D12" s="170"/>
      <c r="E12" s="280" t="str">
        <f>+S!B14</f>
        <v>Laura Rodriguez Marcos</v>
      </c>
      <c r="F12" s="280" t="str">
        <f>+S!E14</f>
        <v>Direct Booking</v>
      </c>
      <c r="G12" s="281" t="str">
        <f>+S!A14</f>
        <v>BB23040610838354</v>
      </c>
      <c r="H12" s="108">
        <f>+S!C14</f>
        <v>45234</v>
      </c>
      <c r="I12" s="108">
        <f>+S!D14</f>
        <v>45237</v>
      </c>
      <c r="J12" s="282">
        <f>+S!L14</f>
        <v>2</v>
      </c>
      <c r="K12" s="283">
        <f>+S!K14</f>
        <v>3</v>
      </c>
      <c r="L12" s="111">
        <f>+S!J14</f>
        <v>1140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190</v>
      </c>
    </row>
    <row r="13" spans="1:21" ht="15" customHeight="1" x14ac:dyDescent="0.2">
      <c r="A13" s="170"/>
      <c r="B13" s="170"/>
      <c r="C13" s="170"/>
      <c r="D13" s="170"/>
      <c r="E13" s="280" t="str">
        <f>+S!B15</f>
        <v>Katia Goldman</v>
      </c>
      <c r="F13" s="280" t="str">
        <f>+S!E15</f>
        <v>Expedia</v>
      </c>
      <c r="G13" s="281">
        <f>+S!A15</f>
        <v>62846166</v>
      </c>
      <c r="H13" s="108">
        <f>+S!C15</f>
        <v>45237</v>
      </c>
      <c r="I13" s="108">
        <f>+S!D15</f>
        <v>45243</v>
      </c>
      <c r="J13" s="282">
        <f>+S!L15</f>
        <v>1</v>
      </c>
      <c r="K13" s="283">
        <f>+S!K15</f>
        <v>6</v>
      </c>
      <c r="L13" s="111">
        <f>+S!J15</f>
        <v>1316.7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219.45000000000002</v>
      </c>
    </row>
    <row r="14" spans="1:21" ht="15" customHeight="1" x14ac:dyDescent="0.2">
      <c r="A14" s="170"/>
      <c r="B14" s="170"/>
      <c r="C14" s="170"/>
      <c r="D14" s="170"/>
      <c r="E14" s="280" t="str">
        <f>+S!B16</f>
        <v>Marco Reimann</v>
      </c>
      <c r="F14" s="280" t="str">
        <f>+S!E16</f>
        <v>Booking.com</v>
      </c>
      <c r="G14" s="281">
        <f>+S!A16</f>
        <v>4230357680</v>
      </c>
      <c r="H14" s="108">
        <f>+S!C16</f>
        <v>45237</v>
      </c>
      <c r="I14" s="108">
        <f>+S!D16</f>
        <v>45241</v>
      </c>
      <c r="J14" s="282">
        <f>+S!L16</f>
        <v>1</v>
      </c>
      <c r="K14" s="283">
        <f>+S!K16</f>
        <v>4</v>
      </c>
      <c r="L14" s="111">
        <f>+S!J16</f>
        <v>820.8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205.2</v>
      </c>
    </row>
    <row r="15" spans="1:21" ht="15" customHeight="1" x14ac:dyDescent="0.2">
      <c r="A15" s="170"/>
      <c r="B15" s="170"/>
      <c r="C15" s="170"/>
      <c r="D15" s="170"/>
      <c r="E15" s="280" t="str">
        <f>+S!B17</f>
        <v>David Yuen</v>
      </c>
      <c r="F15" s="280" t="str">
        <f>+S!E17</f>
        <v>Expedia</v>
      </c>
      <c r="G15" s="281">
        <f>+S!A17</f>
        <v>1461462657</v>
      </c>
      <c r="H15" s="108">
        <f>+S!C17</f>
        <v>45238</v>
      </c>
      <c r="I15" s="108">
        <f>+S!D17</f>
        <v>45242</v>
      </c>
      <c r="J15" s="282">
        <f>+S!L17</f>
        <v>1</v>
      </c>
      <c r="K15" s="283">
        <f>+S!K17</f>
        <v>4</v>
      </c>
      <c r="L15" s="111">
        <f>+S!J17</f>
        <v>821.96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205.49</v>
      </c>
    </row>
    <row r="16" spans="1:21" ht="15" customHeight="1" x14ac:dyDescent="0.2">
      <c r="A16" s="170"/>
      <c r="B16" s="170"/>
      <c r="C16" s="170"/>
      <c r="D16" s="170"/>
      <c r="E16" s="280" t="str">
        <f>+S!B18</f>
        <v>Erika Daniela Esquivel Romero</v>
      </c>
      <c r="F16" s="280" t="str">
        <f>+S!E18</f>
        <v>Booking.com</v>
      </c>
      <c r="G16" s="281">
        <f>+S!A18</f>
        <v>2733779780</v>
      </c>
      <c r="H16" s="108">
        <f>+S!C18</f>
        <v>45238</v>
      </c>
      <c r="I16" s="108">
        <f>+S!D18</f>
        <v>45241</v>
      </c>
      <c r="J16" s="282">
        <f>+S!L18</f>
        <v>1</v>
      </c>
      <c r="K16" s="283">
        <f>+S!K18</f>
        <v>3</v>
      </c>
      <c r="L16" s="111">
        <f>+S!J18</f>
        <v>592.53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197.51</v>
      </c>
    </row>
    <row r="17" spans="1:21" ht="15" customHeight="1" x14ac:dyDescent="0.2">
      <c r="A17" s="170"/>
      <c r="B17" s="170"/>
      <c r="C17" s="170"/>
      <c r="D17" s="170"/>
      <c r="E17" s="280" t="str">
        <f>+S!B19</f>
        <v>SUSAN ORREGO</v>
      </c>
      <c r="F17" s="280" t="str">
        <f>+S!E19</f>
        <v>Direct Booking</v>
      </c>
      <c r="G17" s="281" t="str">
        <f>+S!A19</f>
        <v>BB23103112577398</v>
      </c>
      <c r="H17" s="108">
        <f>+S!C19</f>
        <v>45238</v>
      </c>
      <c r="I17" s="108">
        <f>+S!D19</f>
        <v>45241</v>
      </c>
      <c r="J17" s="282">
        <f>+S!L19</f>
        <v>2</v>
      </c>
      <c r="K17" s="283">
        <f>+S!K19</f>
        <v>3</v>
      </c>
      <c r="L17" s="111">
        <f>+S!J19</f>
        <v>1137.18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189.53</v>
      </c>
    </row>
    <row r="18" spans="1:21" ht="15" customHeight="1" x14ac:dyDescent="0.2">
      <c r="A18" s="170"/>
      <c r="B18" s="170"/>
      <c r="C18" s="170"/>
      <c r="D18" s="170"/>
      <c r="E18" s="280" t="str">
        <f>+S!B20</f>
        <v>Viral Patel</v>
      </c>
      <c r="F18" s="280" t="str">
        <f>+S!E20</f>
        <v>Expedia</v>
      </c>
      <c r="G18" s="281">
        <f>+S!A20</f>
        <v>86342794</v>
      </c>
      <c r="H18" s="108">
        <f>+S!C20</f>
        <v>45239</v>
      </c>
      <c r="I18" s="108">
        <f>+S!D20</f>
        <v>45241</v>
      </c>
      <c r="J18" s="282">
        <f>+S!L20</f>
        <v>1</v>
      </c>
      <c r="K18" s="283">
        <f>+S!K20</f>
        <v>2</v>
      </c>
      <c r="L18" s="111">
        <f>+S!J20</f>
        <v>369.36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184.68</v>
      </c>
    </row>
    <row r="19" spans="1:21" ht="15" customHeight="1" x14ac:dyDescent="0.2">
      <c r="A19" s="170"/>
      <c r="B19" s="170"/>
      <c r="C19" s="170"/>
      <c r="D19" s="170"/>
      <c r="E19" s="280" t="str">
        <f>+S!B21</f>
        <v>Kashyap Patel</v>
      </c>
      <c r="F19" s="280" t="str">
        <f>+S!E21</f>
        <v>Expedia</v>
      </c>
      <c r="G19" s="281">
        <f>+S!A21</f>
        <v>86342796</v>
      </c>
      <c r="H19" s="108">
        <f>+S!C21</f>
        <v>45239</v>
      </c>
      <c r="I19" s="108">
        <f>+S!D21</f>
        <v>45241</v>
      </c>
      <c r="J19" s="282">
        <f>+S!L21</f>
        <v>1</v>
      </c>
      <c r="K19" s="283">
        <f>+S!K21</f>
        <v>2</v>
      </c>
      <c r="L19" s="111">
        <f>+S!J21</f>
        <v>369.36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184.68</v>
      </c>
    </row>
    <row r="20" spans="1:21" ht="15" customHeight="1" x14ac:dyDescent="0.2">
      <c r="A20" s="170"/>
      <c r="B20" s="170"/>
      <c r="C20" s="170"/>
      <c r="D20" s="170"/>
      <c r="E20" s="280" t="str">
        <f>+S!B22</f>
        <v>Marcelo Claro</v>
      </c>
      <c r="F20" s="280" t="str">
        <f>+S!E22</f>
        <v>Booking.com</v>
      </c>
      <c r="G20" s="281">
        <f>+S!A22</f>
        <v>2395795737</v>
      </c>
      <c r="H20" s="108">
        <f>+S!C22</f>
        <v>45240</v>
      </c>
      <c r="I20" s="108">
        <f>+S!D22</f>
        <v>45246</v>
      </c>
      <c r="J20" s="282">
        <f>+S!L22</f>
        <v>1</v>
      </c>
      <c r="K20" s="283">
        <f>+S!K22</f>
        <v>6</v>
      </c>
      <c r="L20" s="111">
        <f>+S!J22</f>
        <v>1131.18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188.53</v>
      </c>
    </row>
    <row r="21" spans="1:21" ht="15" customHeight="1" x14ac:dyDescent="0.2">
      <c r="A21" s="170"/>
      <c r="B21" s="170"/>
      <c r="C21" s="170"/>
      <c r="D21" s="170"/>
      <c r="E21" s="280" t="str">
        <f>+S!B23</f>
        <v>ALEXANDRE MARINHO</v>
      </c>
      <c r="F21" s="280" t="str">
        <f>+S!E23</f>
        <v>Booking.com</v>
      </c>
      <c r="G21" s="281">
        <f>+S!A23</f>
        <v>4033211758</v>
      </c>
      <c r="H21" s="108">
        <f>+S!C23</f>
        <v>45240</v>
      </c>
      <c r="I21" s="108">
        <f>+S!D23</f>
        <v>45241</v>
      </c>
      <c r="J21" s="282">
        <f>+S!L23</f>
        <v>1</v>
      </c>
      <c r="K21" s="283">
        <f>+S!K23</f>
        <v>1</v>
      </c>
      <c r="L21" s="111">
        <f>+S!J23</f>
        <v>205.2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205.2</v>
      </c>
    </row>
    <row r="22" spans="1:21" ht="15" customHeight="1" x14ac:dyDescent="0.2">
      <c r="A22" s="170"/>
      <c r="B22" s="170"/>
      <c r="C22" s="170"/>
      <c r="D22" s="170"/>
      <c r="E22" s="280" t="str">
        <f>+S!B24</f>
        <v>Ellen Van Cauwenberge</v>
      </c>
      <c r="F22" s="280" t="str">
        <f>+S!E24</f>
        <v>Booking.com</v>
      </c>
      <c r="G22" s="281">
        <f>+S!A24</f>
        <v>2582107427</v>
      </c>
      <c r="H22" s="108">
        <f>+S!C24</f>
        <v>45241</v>
      </c>
      <c r="I22" s="108">
        <f>+S!D24</f>
        <v>45242</v>
      </c>
      <c r="J22" s="282">
        <f>+S!L24</f>
        <v>1</v>
      </c>
      <c r="K22" s="283">
        <f>+S!K24</f>
        <v>1</v>
      </c>
      <c r="L22" s="111">
        <f>+S!J24</f>
        <v>219.45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219.45</v>
      </c>
    </row>
    <row r="23" spans="1:21" ht="15" customHeight="1" x14ac:dyDescent="0.2">
      <c r="A23" s="170"/>
      <c r="B23" s="170"/>
      <c r="C23" s="170"/>
      <c r="D23" s="170"/>
      <c r="E23" s="280" t="str">
        <f>+S!B25</f>
        <v>Denise Rodrigues</v>
      </c>
      <c r="F23" s="280" t="str">
        <f>+S!E25</f>
        <v>Expedia</v>
      </c>
      <c r="G23" s="281">
        <f>+S!A25</f>
        <v>70007271</v>
      </c>
      <c r="H23" s="108">
        <f>+S!C25</f>
        <v>45241</v>
      </c>
      <c r="I23" s="108">
        <f>+S!D25</f>
        <v>45245</v>
      </c>
      <c r="J23" s="282">
        <f>+S!L25</f>
        <v>1</v>
      </c>
      <c r="K23" s="283">
        <f>+S!K25</f>
        <v>4</v>
      </c>
      <c r="L23" s="111">
        <f>+S!J25</f>
        <v>877.8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219.45</v>
      </c>
    </row>
    <row r="24" spans="1:21" ht="15" customHeight="1" x14ac:dyDescent="0.2">
      <c r="A24" s="170"/>
      <c r="B24" s="170"/>
      <c r="C24" s="170"/>
      <c r="D24" s="170"/>
      <c r="E24" s="280" t="str">
        <f>+S!B26</f>
        <v>Thais Braz Pereira</v>
      </c>
      <c r="F24" s="280" t="str">
        <f>+S!E26</f>
        <v>Booking.com</v>
      </c>
      <c r="G24" s="281">
        <f>+S!A26</f>
        <v>4234284486</v>
      </c>
      <c r="H24" s="108">
        <f>+S!C26</f>
        <v>45241</v>
      </c>
      <c r="I24" s="108">
        <f>+S!D26</f>
        <v>45242</v>
      </c>
      <c r="J24" s="282">
        <f>+S!L26</f>
        <v>1</v>
      </c>
      <c r="K24" s="283">
        <f>+S!K26</f>
        <v>1</v>
      </c>
      <c r="L24" s="111">
        <f>+S!J26</f>
        <v>228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228</v>
      </c>
    </row>
    <row r="25" spans="1:21" ht="15" customHeight="1" x14ac:dyDescent="0.2">
      <c r="A25" s="170"/>
      <c r="B25" s="170"/>
      <c r="C25" s="170"/>
      <c r="D25" s="170"/>
      <c r="E25" s="280" t="str">
        <f>+S!B27</f>
        <v>ALANA NAIAD ALMEIDA LINS RIBEIRO</v>
      </c>
      <c r="F25" s="280" t="str">
        <f>+S!E27</f>
        <v>Expedia</v>
      </c>
      <c r="G25" s="281">
        <f>+S!A27</f>
        <v>35743812</v>
      </c>
      <c r="H25" s="108">
        <f>+S!C27</f>
        <v>45241</v>
      </c>
      <c r="I25" s="108">
        <f>+S!D27</f>
        <v>45245</v>
      </c>
      <c r="J25" s="282">
        <f>+S!L27</f>
        <v>1</v>
      </c>
      <c r="K25" s="283">
        <f>+S!K27</f>
        <v>4</v>
      </c>
      <c r="L25" s="111">
        <f>+S!J27</f>
        <v>837.92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209.48</v>
      </c>
    </row>
    <row r="26" spans="1:21" ht="15" customHeight="1" x14ac:dyDescent="0.2">
      <c r="A26" s="170"/>
      <c r="B26" s="170"/>
      <c r="C26" s="170"/>
      <c r="D26" s="170"/>
      <c r="E26" s="280" t="str">
        <f>+S!B28</f>
        <v>Thomas Roemer</v>
      </c>
      <c r="F26" s="280" t="str">
        <f>+S!E28</f>
        <v>Booking.com</v>
      </c>
      <c r="G26" s="281">
        <f>+S!A28</f>
        <v>3168047844</v>
      </c>
      <c r="H26" s="108">
        <f>+S!C28</f>
        <v>45241</v>
      </c>
      <c r="I26" s="108">
        <f>+S!D28</f>
        <v>45245</v>
      </c>
      <c r="J26" s="282">
        <f>+S!L28</f>
        <v>1</v>
      </c>
      <c r="K26" s="283">
        <f>+S!K28</f>
        <v>4</v>
      </c>
      <c r="L26" s="111">
        <f>+S!J28</f>
        <v>837.92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ref="U26:U34" si="1">+L26/(K26*J26)</f>
        <v>209.48</v>
      </c>
    </row>
    <row r="27" spans="1:21" ht="15" customHeight="1" x14ac:dyDescent="0.2">
      <c r="A27" s="170"/>
      <c r="B27" s="170"/>
      <c r="C27" s="170"/>
      <c r="D27" s="170"/>
      <c r="E27" s="280" t="str">
        <f>+S!B29</f>
        <v>Javier Ballester Lafuente</v>
      </c>
      <c r="F27" s="280" t="str">
        <f>+S!E29</f>
        <v>Booking.com</v>
      </c>
      <c r="G27" s="281">
        <f>+S!A29</f>
        <v>3270145854</v>
      </c>
      <c r="H27" s="108">
        <f>+S!C29</f>
        <v>45241</v>
      </c>
      <c r="I27" s="108">
        <f>+S!D29</f>
        <v>45246</v>
      </c>
      <c r="J27" s="282">
        <f>+S!L29</f>
        <v>1</v>
      </c>
      <c r="K27" s="283">
        <f>+S!K29</f>
        <v>5</v>
      </c>
      <c r="L27" s="111">
        <f>+S!J29</f>
        <v>942.65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1"/>
        <v>188.53</v>
      </c>
    </row>
    <row r="28" spans="1:21" ht="15" customHeight="1" x14ac:dyDescent="0.2">
      <c r="A28" s="170"/>
      <c r="B28" s="170"/>
      <c r="C28" s="170"/>
      <c r="D28" s="170"/>
      <c r="E28" s="280" t="str">
        <f>+S!B30</f>
        <v>Jennifer Fletcher</v>
      </c>
      <c r="F28" s="280" t="str">
        <f>+S!E30</f>
        <v>Booking.com</v>
      </c>
      <c r="G28" s="281">
        <f>+S!A30</f>
        <v>3423462200</v>
      </c>
      <c r="H28" s="108">
        <f>+S!C30</f>
        <v>45241</v>
      </c>
      <c r="I28" s="108">
        <f>+S!D30</f>
        <v>45244</v>
      </c>
      <c r="J28" s="282">
        <f>+S!L30</f>
        <v>1</v>
      </c>
      <c r="K28" s="283">
        <f>+S!K30</f>
        <v>3</v>
      </c>
      <c r="L28" s="111">
        <f>+S!J30</f>
        <v>658.35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1"/>
        <v>219.45000000000002</v>
      </c>
    </row>
    <row r="29" spans="1:21" ht="15" customHeight="1" x14ac:dyDescent="0.2">
      <c r="A29" s="170"/>
      <c r="B29" s="170"/>
      <c r="C29" s="170"/>
      <c r="D29" s="170"/>
      <c r="E29" s="280" t="str">
        <f>+S!B31</f>
        <v>vanessa santoro ferreira</v>
      </c>
      <c r="F29" s="280" t="str">
        <f>+S!E31</f>
        <v>Booking.com</v>
      </c>
      <c r="G29" s="281">
        <f>+S!A31</f>
        <v>3848141943</v>
      </c>
      <c r="H29" s="108">
        <f>+S!C31</f>
        <v>45242</v>
      </c>
      <c r="I29" s="108">
        <f>+S!D31</f>
        <v>45247</v>
      </c>
      <c r="J29" s="282">
        <f>+S!L31</f>
        <v>1</v>
      </c>
      <c r="K29" s="283">
        <f>+S!K31</f>
        <v>5</v>
      </c>
      <c r="L29" s="111">
        <f>+S!J31</f>
        <v>987.55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1"/>
        <v>197.51</v>
      </c>
    </row>
    <row r="30" spans="1:21" ht="15" customHeight="1" x14ac:dyDescent="0.2">
      <c r="A30" s="170"/>
      <c r="B30" s="170"/>
      <c r="C30" s="170"/>
      <c r="D30" s="170"/>
      <c r="E30" s="280" t="str">
        <f>+S!B32</f>
        <v>Terri Houston</v>
      </c>
      <c r="F30" s="280" t="str">
        <f>+S!E32</f>
        <v>Booking.com</v>
      </c>
      <c r="G30" s="281">
        <f>+S!A32</f>
        <v>4135532356</v>
      </c>
      <c r="H30" s="108">
        <f>+S!C32</f>
        <v>45242</v>
      </c>
      <c r="I30" s="108">
        <f>+S!D32</f>
        <v>45243</v>
      </c>
      <c r="J30" s="282">
        <f>+S!L32</f>
        <v>1</v>
      </c>
      <c r="K30" s="283">
        <f>+S!K32</f>
        <v>1</v>
      </c>
      <c r="L30" s="111">
        <f>+S!J32</f>
        <v>205.2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1"/>
        <v>205.2</v>
      </c>
    </row>
    <row r="31" spans="1:21" ht="15" customHeight="1" x14ac:dyDescent="0.2">
      <c r="A31" s="170"/>
      <c r="B31" s="170"/>
      <c r="C31" s="170"/>
      <c r="D31" s="170"/>
      <c r="E31" s="280" t="str">
        <f>+S!B33</f>
        <v>Yolanda Maldonado</v>
      </c>
      <c r="F31" s="280" t="str">
        <f>+S!E33</f>
        <v>Booking.com</v>
      </c>
      <c r="G31" s="281">
        <f>+S!A33</f>
        <v>4272508587</v>
      </c>
      <c r="H31" s="108">
        <f>+S!C33</f>
        <v>45242</v>
      </c>
      <c r="I31" s="108">
        <f>+S!D33</f>
        <v>45245</v>
      </c>
      <c r="J31" s="282">
        <f>+S!L33</f>
        <v>1</v>
      </c>
      <c r="K31" s="283">
        <f>+S!K33</f>
        <v>3</v>
      </c>
      <c r="L31" s="111">
        <f>+S!J33</f>
        <v>615.6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1"/>
        <v>205.20000000000002</v>
      </c>
    </row>
    <row r="32" spans="1:21" ht="15" customHeight="1" x14ac:dyDescent="0.2">
      <c r="A32" s="170"/>
      <c r="B32" s="170"/>
      <c r="C32" s="170"/>
      <c r="D32" s="170"/>
      <c r="E32" s="280" t="str">
        <f>+S!B34</f>
        <v>Alexandre Bigliazzi</v>
      </c>
      <c r="F32" s="280" t="str">
        <f>+S!E34</f>
        <v>Booking.com</v>
      </c>
      <c r="G32" s="281">
        <f>+S!A34</f>
        <v>3834449399</v>
      </c>
      <c r="H32" s="108">
        <f>+S!C34</f>
        <v>45244</v>
      </c>
      <c r="I32" s="108">
        <f>+S!D34</f>
        <v>45251</v>
      </c>
      <c r="J32" s="282">
        <f>+S!L34</f>
        <v>1</v>
      </c>
      <c r="K32" s="283">
        <f>+S!K34</f>
        <v>7</v>
      </c>
      <c r="L32" s="111">
        <f>+S!J34</f>
        <v>1466.36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1"/>
        <v>209.48</v>
      </c>
    </row>
    <row r="33" spans="1:21" ht="15" customHeight="1" x14ac:dyDescent="0.2">
      <c r="A33" s="170"/>
      <c r="B33" s="170"/>
      <c r="C33" s="170"/>
      <c r="D33" s="170"/>
      <c r="E33" s="280" t="str">
        <f>+S!B35</f>
        <v>Elizabeth Wood-Hull</v>
      </c>
      <c r="F33" s="280" t="str">
        <f>+S!E35</f>
        <v>Direct Booking</v>
      </c>
      <c r="G33" s="281" t="str">
        <f>+S!A35</f>
        <v>BB23110912644619</v>
      </c>
      <c r="H33" s="108">
        <f>+S!C35</f>
        <v>45244</v>
      </c>
      <c r="I33" s="108">
        <f>+S!D35</f>
        <v>45248</v>
      </c>
      <c r="J33" s="282">
        <f>+S!L35</f>
        <v>1</v>
      </c>
      <c r="K33" s="283">
        <f>+S!K35</f>
        <v>4</v>
      </c>
      <c r="L33" s="111">
        <f>+S!J35</f>
        <v>798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1"/>
        <v>199.5</v>
      </c>
    </row>
    <row r="34" spans="1:21" ht="15" customHeight="1" x14ac:dyDescent="0.2">
      <c r="A34" s="170"/>
      <c r="B34" s="170"/>
      <c r="C34" s="170"/>
      <c r="D34" s="170"/>
      <c r="E34" s="280" t="str">
        <f>+S!B36</f>
        <v>Erin Karsten</v>
      </c>
      <c r="F34" s="280" t="str">
        <f>+S!E36</f>
        <v>Booking.com</v>
      </c>
      <c r="G34" s="281">
        <f>+S!A36</f>
        <v>4089335429</v>
      </c>
      <c r="H34" s="108">
        <f>+S!C36</f>
        <v>45245</v>
      </c>
      <c r="I34" s="108">
        <f>+S!D36</f>
        <v>45249</v>
      </c>
      <c r="J34" s="282">
        <f>+S!L36</f>
        <v>1</v>
      </c>
      <c r="K34" s="283">
        <f>+S!K36</f>
        <v>4</v>
      </c>
      <c r="L34" s="111">
        <f>+S!J36</f>
        <v>738.72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1"/>
        <v>184.68</v>
      </c>
    </row>
    <row r="35" spans="1:21" ht="15" customHeight="1" x14ac:dyDescent="0.2">
      <c r="A35" s="170"/>
      <c r="B35" s="170"/>
      <c r="C35" s="170"/>
      <c r="D35" s="170"/>
      <c r="E35" s="280" t="str">
        <f>+S!B37</f>
        <v>Alessandro Ayres</v>
      </c>
      <c r="F35" s="280" t="str">
        <f>+S!E37</f>
        <v>Booking.com</v>
      </c>
      <c r="G35" s="281">
        <f>+S!A37</f>
        <v>2681101883</v>
      </c>
      <c r="H35" s="108">
        <f>+S!C37</f>
        <v>45245</v>
      </c>
      <c r="I35" s="108">
        <f>+S!D37</f>
        <v>45249</v>
      </c>
      <c r="J35" s="282">
        <f>+S!L37</f>
        <v>1</v>
      </c>
      <c r="K35" s="283">
        <f>+S!K37</f>
        <v>4</v>
      </c>
      <c r="L35" s="111">
        <f>+S!J37</f>
        <v>754.12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ref="U35:U47" si="2">+L35/(K35*J35)</f>
        <v>188.53</v>
      </c>
    </row>
    <row r="36" spans="1:21" ht="15" customHeight="1" x14ac:dyDescent="0.2">
      <c r="A36" s="170"/>
      <c r="B36" s="170"/>
      <c r="C36" s="170"/>
      <c r="D36" s="170"/>
      <c r="E36" s="280" t="str">
        <f>+S!B38</f>
        <v>Ellen Van Cauwenberge</v>
      </c>
      <c r="F36" s="280" t="str">
        <f>+S!E38</f>
        <v>Booking.com</v>
      </c>
      <c r="G36" s="281">
        <f>+S!A38</f>
        <v>2879261020</v>
      </c>
      <c r="H36" s="108">
        <f>+S!C38</f>
        <v>45245</v>
      </c>
      <c r="I36" s="108">
        <f>+S!D38</f>
        <v>45246</v>
      </c>
      <c r="J36" s="282">
        <f>+S!L38</f>
        <v>1</v>
      </c>
      <c r="K36" s="283">
        <f>+S!K38</f>
        <v>1</v>
      </c>
      <c r="L36" s="111">
        <f>+S!J38</f>
        <v>219.45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2"/>
        <v>219.45</v>
      </c>
    </row>
    <row r="37" spans="1:21" ht="15" customHeight="1" x14ac:dyDescent="0.2">
      <c r="A37" s="170"/>
      <c r="B37" s="170"/>
      <c r="C37" s="170"/>
      <c r="D37" s="170"/>
      <c r="E37" s="280" t="str">
        <f>+S!B39</f>
        <v>Claudia Mara Gueiros</v>
      </c>
      <c r="F37" s="280" t="str">
        <f>+S!E39</f>
        <v>Booking.com</v>
      </c>
      <c r="G37" s="281">
        <f>+S!A39</f>
        <v>3283799949</v>
      </c>
      <c r="H37" s="108">
        <f>+S!C39</f>
        <v>45245</v>
      </c>
      <c r="I37" s="108">
        <f>+S!D39</f>
        <v>45249</v>
      </c>
      <c r="J37" s="282">
        <f>+S!L39</f>
        <v>1</v>
      </c>
      <c r="K37" s="283">
        <f>+S!K39</f>
        <v>4</v>
      </c>
      <c r="L37" s="111">
        <f>+S!J39</f>
        <v>754.12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2"/>
        <v>188.53</v>
      </c>
    </row>
    <row r="38" spans="1:21" ht="15" customHeight="1" x14ac:dyDescent="0.2">
      <c r="A38" s="170"/>
      <c r="B38" s="170"/>
      <c r="C38" s="170"/>
      <c r="D38" s="170"/>
      <c r="E38" s="280" t="str">
        <f>+S!B40</f>
        <v>Pia Pennyfather</v>
      </c>
      <c r="F38" s="280" t="str">
        <f>+S!E40</f>
        <v>Booking.com</v>
      </c>
      <c r="G38" s="281">
        <f>+S!A40</f>
        <v>2340654063</v>
      </c>
      <c r="H38" s="108">
        <f>+S!C40</f>
        <v>45245</v>
      </c>
      <c r="I38" s="108">
        <f>+S!D40</f>
        <v>45247</v>
      </c>
      <c r="J38" s="282">
        <f>+S!L40</f>
        <v>1</v>
      </c>
      <c r="K38" s="283">
        <f>+S!K40</f>
        <v>2</v>
      </c>
      <c r="L38" s="111">
        <f>+S!J40</f>
        <v>418.96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2"/>
        <v>209.48</v>
      </c>
    </row>
    <row r="39" spans="1:21" ht="15" customHeight="1" x14ac:dyDescent="0.2">
      <c r="A39" s="170"/>
      <c r="B39" s="170"/>
      <c r="C39" s="170"/>
      <c r="D39" s="170"/>
      <c r="E39" s="280" t="str">
        <f>+S!B41</f>
        <v>Mark Fidelman</v>
      </c>
      <c r="F39" s="280" t="str">
        <f>+S!E41</f>
        <v>Direct Booking</v>
      </c>
      <c r="G39" s="281" t="str">
        <f>+S!A41</f>
        <v>BB23010810059029</v>
      </c>
      <c r="H39" s="108">
        <f>+S!C41</f>
        <v>45246</v>
      </c>
      <c r="I39" s="108">
        <f>+S!D41</f>
        <v>45249</v>
      </c>
      <c r="J39" s="282">
        <f>+S!L41</f>
        <v>2</v>
      </c>
      <c r="K39" s="283">
        <f>+S!K41</f>
        <v>3</v>
      </c>
      <c r="L39" s="111">
        <f>+S!J41</f>
        <v>1116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2"/>
        <v>186</v>
      </c>
    </row>
    <row r="40" spans="1:21" ht="15" customHeight="1" x14ac:dyDescent="0.2">
      <c r="A40" s="170"/>
      <c r="B40" s="170"/>
      <c r="C40" s="170"/>
      <c r="D40" s="170"/>
      <c r="E40" s="280" t="str">
        <f>+S!B42</f>
        <v>Angela Ferrari</v>
      </c>
      <c r="F40" s="280" t="str">
        <f>+S!E42</f>
        <v>Booking.com</v>
      </c>
      <c r="G40" s="281">
        <f>+S!A42</f>
        <v>2738067537</v>
      </c>
      <c r="H40" s="108">
        <f>+S!C42</f>
        <v>45247</v>
      </c>
      <c r="I40" s="108">
        <f>+S!D42</f>
        <v>45252</v>
      </c>
      <c r="J40" s="282">
        <f>+S!L42</f>
        <v>1</v>
      </c>
      <c r="K40" s="283">
        <f>+S!K42</f>
        <v>5</v>
      </c>
      <c r="L40" s="111">
        <f>+S!J42</f>
        <v>942.65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2"/>
        <v>188.53</v>
      </c>
    </row>
    <row r="41" spans="1:21" ht="15" customHeight="1" x14ac:dyDescent="0.2">
      <c r="A41" s="170"/>
      <c r="B41" s="170"/>
      <c r="C41" s="170"/>
      <c r="D41" s="170"/>
      <c r="E41" s="280" t="str">
        <f>+S!B43</f>
        <v>Annamaria Molnar, Molnar Annamaria</v>
      </c>
      <c r="F41" s="280" t="str">
        <f>+S!E43</f>
        <v>Booking.com</v>
      </c>
      <c r="G41" s="281">
        <f>+S!A43</f>
        <v>4012926190</v>
      </c>
      <c r="H41" s="108">
        <f>+S!C43</f>
        <v>45247</v>
      </c>
      <c r="I41" s="108">
        <f>+S!D43</f>
        <v>45248</v>
      </c>
      <c r="J41" s="282">
        <f>+S!L43</f>
        <v>1</v>
      </c>
      <c r="K41" s="283">
        <f>+S!K43</f>
        <v>1</v>
      </c>
      <c r="L41" s="111">
        <f>+S!J43</f>
        <v>205.2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si="2"/>
        <v>205.2</v>
      </c>
    </row>
    <row r="42" spans="1:21" ht="15" customHeight="1" x14ac:dyDescent="0.2">
      <c r="A42" s="170"/>
      <c r="B42" s="170"/>
      <c r="C42" s="170"/>
      <c r="D42" s="170"/>
      <c r="E42" s="280" t="str">
        <f>+S!B44</f>
        <v>Maria-Pilar Dominguez</v>
      </c>
      <c r="F42" s="280" t="str">
        <f>+S!E44</f>
        <v>Booking.com</v>
      </c>
      <c r="G42" s="281">
        <f>+S!A44</f>
        <v>4064887200</v>
      </c>
      <c r="H42" s="108">
        <f>+S!C44</f>
        <v>45247</v>
      </c>
      <c r="I42" s="108">
        <f>+S!D44</f>
        <v>45248</v>
      </c>
      <c r="J42" s="282">
        <f>+S!L44</f>
        <v>1</v>
      </c>
      <c r="K42" s="283">
        <f>+S!K44</f>
        <v>1</v>
      </c>
      <c r="L42" s="111">
        <f>+S!J44</f>
        <v>205.2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2"/>
        <v>205.2</v>
      </c>
    </row>
    <row r="43" spans="1:21" ht="15" customHeight="1" x14ac:dyDescent="0.2">
      <c r="A43" s="170"/>
      <c r="B43" s="170"/>
      <c r="C43" s="170"/>
      <c r="D43" s="170"/>
      <c r="E43" s="280" t="str">
        <f>+S!B45</f>
        <v>Annamaria Molnar, Molnar Annamaria</v>
      </c>
      <c r="F43" s="280" t="str">
        <f>+S!E45</f>
        <v>Booking.com</v>
      </c>
      <c r="G43" s="281">
        <f>+S!A45</f>
        <v>4204352314</v>
      </c>
      <c r="H43" s="108">
        <f>+S!C45</f>
        <v>45248</v>
      </c>
      <c r="I43" s="108">
        <f>+S!D45</f>
        <v>45249</v>
      </c>
      <c r="J43" s="282">
        <f>+S!L45</f>
        <v>1</v>
      </c>
      <c r="K43" s="283">
        <f>+S!K45</f>
        <v>1</v>
      </c>
      <c r="L43" s="111">
        <f>+S!J45</f>
        <v>205.2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2"/>
        <v>205.2</v>
      </c>
    </row>
    <row r="44" spans="1:21" ht="15" customHeight="1" x14ac:dyDescent="0.2">
      <c r="A44" s="170"/>
      <c r="B44" s="170"/>
      <c r="C44" s="170"/>
      <c r="D44" s="170"/>
      <c r="E44" s="280" t="str">
        <f>+S!B46</f>
        <v>Gianin MÃ¼ller</v>
      </c>
      <c r="F44" s="280" t="str">
        <f>+S!E46</f>
        <v>Direct Booking</v>
      </c>
      <c r="G44" s="281" t="str">
        <f>+S!A46</f>
        <v>BB23031210614492</v>
      </c>
      <c r="H44" s="108">
        <f>+S!C46</f>
        <v>45248</v>
      </c>
      <c r="I44" s="108">
        <f>+S!D46</f>
        <v>45252</v>
      </c>
      <c r="J44" s="282">
        <f>+S!L46</f>
        <v>1</v>
      </c>
      <c r="K44" s="283">
        <f>+S!K46</f>
        <v>4</v>
      </c>
      <c r="L44" s="111">
        <f>+S!J46</f>
        <v>760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2"/>
        <v>190</v>
      </c>
    </row>
    <row r="45" spans="1:21" ht="15" customHeight="1" x14ac:dyDescent="0.2">
      <c r="A45" s="170"/>
      <c r="B45" s="170"/>
      <c r="C45" s="170"/>
      <c r="D45" s="170"/>
      <c r="E45" s="280" t="str">
        <f>+S!B47</f>
        <v>Andre Carvalho Foster Vidal</v>
      </c>
      <c r="F45" s="280" t="str">
        <f>+S!E47</f>
        <v>Booking.com</v>
      </c>
      <c r="G45" s="281">
        <f>+S!A47</f>
        <v>4230716793</v>
      </c>
      <c r="H45" s="108">
        <f>+S!C47</f>
        <v>45248</v>
      </c>
      <c r="I45" s="108">
        <f>+S!D47</f>
        <v>45250</v>
      </c>
      <c r="J45" s="282">
        <f>+S!L47</f>
        <v>1</v>
      </c>
      <c r="K45" s="283">
        <f>+S!K47</f>
        <v>2</v>
      </c>
      <c r="L45" s="111">
        <f>+S!J47</f>
        <v>369.36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2"/>
        <v>184.68</v>
      </c>
    </row>
    <row r="46" spans="1:21" ht="15" customHeight="1" x14ac:dyDescent="0.2">
      <c r="A46" s="170"/>
      <c r="B46" s="170"/>
      <c r="C46" s="170"/>
      <c r="D46" s="170"/>
      <c r="E46" s="280" t="str">
        <f>+S!B48</f>
        <v>Benjamin Stein</v>
      </c>
      <c r="F46" s="280" t="str">
        <f>+S!E48</f>
        <v>Booking.com</v>
      </c>
      <c r="G46" s="281">
        <f>+S!A48</f>
        <v>3343668352</v>
      </c>
      <c r="H46" s="108">
        <f>+S!C48</f>
        <v>45249</v>
      </c>
      <c r="I46" s="108">
        <f>+S!D48</f>
        <v>45252</v>
      </c>
      <c r="J46" s="282">
        <f>+S!L48</f>
        <v>1</v>
      </c>
      <c r="K46" s="283">
        <f>+S!K48</f>
        <v>3</v>
      </c>
      <c r="L46" s="111">
        <f>+S!J48</f>
        <v>658.35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2"/>
        <v>219.45000000000002</v>
      </c>
    </row>
    <row r="47" spans="1:21" ht="15" customHeight="1" x14ac:dyDescent="0.2">
      <c r="A47" s="170"/>
      <c r="B47" s="170"/>
      <c r="C47" s="170"/>
      <c r="D47" s="170"/>
      <c r="E47" s="280" t="str">
        <f>+S!B49</f>
        <v>Mary Przybylski</v>
      </c>
      <c r="F47" s="280" t="str">
        <f>+S!E49</f>
        <v>Expedia</v>
      </c>
      <c r="G47" s="281">
        <f>+S!A49</f>
        <v>65900712</v>
      </c>
      <c r="H47" s="108">
        <f>+S!C49</f>
        <v>45249</v>
      </c>
      <c r="I47" s="108">
        <f>+S!D49</f>
        <v>45252</v>
      </c>
      <c r="J47" s="282">
        <f>+S!L49</f>
        <v>1</v>
      </c>
      <c r="K47" s="283">
        <f>+S!K49</f>
        <v>3</v>
      </c>
      <c r="L47" s="111">
        <f>+S!J49</f>
        <v>658.35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2"/>
        <v>219.45000000000002</v>
      </c>
    </row>
    <row r="48" spans="1:21" ht="15" customHeight="1" x14ac:dyDescent="0.2">
      <c r="A48" s="170"/>
      <c r="B48" s="170"/>
      <c r="C48" s="170"/>
      <c r="D48" s="170"/>
      <c r="E48" s="280" t="str">
        <f>+S!B50</f>
        <v>Tiago FalcÃ£o Flores</v>
      </c>
      <c r="F48" s="280" t="str">
        <f>+S!E50</f>
        <v>Expedia</v>
      </c>
      <c r="G48" s="281">
        <f>+S!A50</f>
        <v>60526439</v>
      </c>
      <c r="H48" s="108">
        <f>+S!C50</f>
        <v>45249</v>
      </c>
      <c r="I48" s="108">
        <f>+S!D50</f>
        <v>45254</v>
      </c>
      <c r="J48" s="282">
        <f>+S!L50</f>
        <v>1</v>
      </c>
      <c r="K48" s="283">
        <f>+S!K50</f>
        <v>5</v>
      </c>
      <c r="L48" s="111">
        <f>+S!J50</f>
        <v>1097.25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ref="U48:U62" si="3">+L48/(K48*J48)</f>
        <v>219.45</v>
      </c>
    </row>
    <row r="49" spans="1:21" ht="15" customHeight="1" x14ac:dyDescent="0.2">
      <c r="A49" s="170"/>
      <c r="B49" s="170"/>
      <c r="C49" s="170"/>
      <c r="D49" s="170"/>
      <c r="E49" s="280" t="str">
        <f>+S!B51</f>
        <v>Jake Schiff</v>
      </c>
      <c r="F49" s="280" t="str">
        <f>+S!E51</f>
        <v>Booking.com</v>
      </c>
      <c r="G49" s="281">
        <f>+S!A51</f>
        <v>3563020472</v>
      </c>
      <c r="H49" s="108">
        <f>+S!C51</f>
        <v>45249</v>
      </c>
      <c r="I49" s="108">
        <f>+S!D51</f>
        <v>45252</v>
      </c>
      <c r="J49" s="282">
        <f>+S!L51</f>
        <v>1</v>
      </c>
      <c r="K49" s="283">
        <f>+S!K51</f>
        <v>3</v>
      </c>
      <c r="L49" s="111">
        <f>+S!J51</f>
        <v>658.35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3"/>
        <v>219.45000000000002</v>
      </c>
    </row>
    <row r="50" spans="1:21" ht="15" customHeight="1" x14ac:dyDescent="0.2">
      <c r="A50" s="170"/>
      <c r="B50" s="170"/>
      <c r="C50" s="170"/>
      <c r="D50" s="170"/>
      <c r="E50" s="280" t="str">
        <f>+S!B52</f>
        <v>Luiza Maia Bevilaqua Contursi</v>
      </c>
      <c r="F50" s="280" t="str">
        <f>+S!E52</f>
        <v>Booking.com</v>
      </c>
      <c r="G50" s="281">
        <f>+S!A52</f>
        <v>4075628714</v>
      </c>
      <c r="H50" s="108">
        <f>+S!C52</f>
        <v>45249</v>
      </c>
      <c r="I50" s="108">
        <f>+S!D52</f>
        <v>45250</v>
      </c>
      <c r="J50" s="282">
        <f>+S!L52</f>
        <v>1</v>
      </c>
      <c r="K50" s="283">
        <f>+S!K52</f>
        <v>1</v>
      </c>
      <c r="L50" s="111">
        <f>+S!J52</f>
        <v>205.2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3"/>
        <v>205.2</v>
      </c>
    </row>
    <row r="51" spans="1:21" ht="15" customHeight="1" x14ac:dyDescent="0.2">
      <c r="A51" s="170"/>
      <c r="B51" s="170"/>
      <c r="C51" s="170"/>
      <c r="D51" s="170"/>
      <c r="E51" s="280" t="str">
        <f>+S!B53</f>
        <v>Helen Green</v>
      </c>
      <c r="F51" s="280" t="str">
        <f>+S!E53</f>
        <v>Booking.com</v>
      </c>
      <c r="G51" s="281">
        <f>+S!A53</f>
        <v>2824499815</v>
      </c>
      <c r="H51" s="108">
        <f>+S!C53</f>
        <v>45250</v>
      </c>
      <c r="I51" s="108">
        <f>+S!D53</f>
        <v>45254</v>
      </c>
      <c r="J51" s="282">
        <f>+S!L53</f>
        <v>1</v>
      </c>
      <c r="K51" s="283">
        <f>+S!K53</f>
        <v>4</v>
      </c>
      <c r="L51" s="111">
        <f>+S!J53</f>
        <v>837.92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3"/>
        <v>209.48</v>
      </c>
    </row>
    <row r="52" spans="1:21" ht="15" customHeight="1" x14ac:dyDescent="0.2">
      <c r="A52" s="170"/>
      <c r="B52" s="170"/>
      <c r="C52" s="170"/>
      <c r="D52" s="170"/>
      <c r="E52" s="280" t="str">
        <f>+S!B54</f>
        <v>Trevor Bone</v>
      </c>
      <c r="F52" s="280" t="str">
        <f>+S!E54</f>
        <v>Booking.com</v>
      </c>
      <c r="G52" s="281">
        <f>+S!A54</f>
        <v>3560339933</v>
      </c>
      <c r="H52" s="108">
        <f>+S!C54</f>
        <v>45250</v>
      </c>
      <c r="I52" s="108">
        <f>+S!D54</f>
        <v>45254</v>
      </c>
      <c r="J52" s="282">
        <f>+S!L54</f>
        <v>1</v>
      </c>
      <c r="K52" s="283">
        <f>+S!K54</f>
        <v>4</v>
      </c>
      <c r="L52" s="111">
        <f>+S!J54</f>
        <v>837.92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si="3"/>
        <v>209.48</v>
      </c>
    </row>
    <row r="53" spans="1:21" ht="15" customHeight="1" x14ac:dyDescent="0.2">
      <c r="A53" s="170"/>
      <c r="B53" s="170"/>
      <c r="C53" s="170"/>
      <c r="D53" s="170"/>
      <c r="E53" s="280" t="str">
        <f>+S!B55</f>
        <v>Carla Portugal</v>
      </c>
      <c r="F53" s="280" t="str">
        <f>+S!E55</f>
        <v>Booking.com</v>
      </c>
      <c r="G53" s="281">
        <f>+S!A55</f>
        <v>2933626089</v>
      </c>
      <c r="H53" s="108">
        <f>+S!C55</f>
        <v>45250</v>
      </c>
      <c r="I53" s="108">
        <f>+S!D55</f>
        <v>45255</v>
      </c>
      <c r="J53" s="282">
        <f>+S!L55</f>
        <v>1</v>
      </c>
      <c r="K53" s="283">
        <f>+S!K55</f>
        <v>5</v>
      </c>
      <c r="L53" s="111">
        <f>+S!J55</f>
        <v>987.55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3"/>
        <v>197.51</v>
      </c>
    </row>
    <row r="54" spans="1:21" ht="15" customHeight="1" x14ac:dyDescent="0.2">
      <c r="A54" s="170"/>
      <c r="B54" s="170"/>
      <c r="C54" s="170"/>
      <c r="D54" s="170"/>
      <c r="E54" s="280" t="str">
        <f>+S!B56</f>
        <v>LAURENCE MEENS</v>
      </c>
      <c r="F54" s="280" t="str">
        <f>+S!E56</f>
        <v>Direct Booking</v>
      </c>
      <c r="G54" s="281" t="str">
        <f>+S!A56</f>
        <v>BB23112012721249</v>
      </c>
      <c r="H54" s="108">
        <f>+S!C56</f>
        <v>45251</v>
      </c>
      <c r="I54" s="108">
        <f>+S!D56</f>
        <v>45253</v>
      </c>
      <c r="J54" s="282">
        <f>+S!L56</f>
        <v>1</v>
      </c>
      <c r="K54" s="283">
        <f>+S!K56</f>
        <v>2</v>
      </c>
      <c r="L54" s="111">
        <f>+S!J56</f>
        <v>399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3"/>
        <v>199.5</v>
      </c>
    </row>
    <row r="55" spans="1:21" ht="15" customHeight="1" x14ac:dyDescent="0.2">
      <c r="A55" s="170"/>
      <c r="B55" s="170"/>
      <c r="C55" s="170"/>
      <c r="D55" s="170"/>
      <c r="E55" s="280" t="str">
        <f>+S!B57</f>
        <v>YazmÃ­n Chino Morales</v>
      </c>
      <c r="F55" s="280" t="str">
        <f>+S!E57</f>
        <v>Expedia</v>
      </c>
      <c r="G55" s="281">
        <f>+S!A57</f>
        <v>125280668</v>
      </c>
      <c r="H55" s="108">
        <f>+S!C57</f>
        <v>45252</v>
      </c>
      <c r="I55" s="108">
        <f>+S!D57</f>
        <v>45253</v>
      </c>
      <c r="J55" s="282">
        <f>+S!L57</f>
        <v>1</v>
      </c>
      <c r="K55" s="283">
        <f>+S!K57</f>
        <v>1</v>
      </c>
      <c r="L55" s="111">
        <f>+S!J57</f>
        <v>205.2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3"/>
        <v>205.2</v>
      </c>
    </row>
    <row r="56" spans="1:21" ht="15" customHeight="1" x14ac:dyDescent="0.2">
      <c r="A56" s="170"/>
      <c r="B56" s="170"/>
      <c r="C56" s="170"/>
      <c r="D56" s="170"/>
      <c r="E56" s="280" t="str">
        <f>+S!B58</f>
        <v>SCOTT SINDELAR</v>
      </c>
      <c r="F56" s="280" t="str">
        <f>+S!E58</f>
        <v>Direct Booking</v>
      </c>
      <c r="G56" s="281" t="str">
        <f>+S!A58</f>
        <v>BB23100612403311</v>
      </c>
      <c r="H56" s="108">
        <f>+S!C58</f>
        <v>45252</v>
      </c>
      <c r="I56" s="108">
        <f>+S!D58</f>
        <v>45256</v>
      </c>
      <c r="J56" s="282">
        <f>+S!L58</f>
        <v>1</v>
      </c>
      <c r="K56" s="283">
        <f>+S!K58</f>
        <v>4</v>
      </c>
      <c r="L56" s="111">
        <f>+S!J58</f>
        <v>798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3"/>
        <v>199.5</v>
      </c>
    </row>
    <row r="57" spans="1:21" ht="15" customHeight="1" x14ac:dyDescent="0.2">
      <c r="A57" s="170"/>
      <c r="B57" s="170"/>
      <c r="C57" s="170"/>
      <c r="D57" s="170"/>
      <c r="E57" s="280" t="str">
        <f>+S!B59</f>
        <v>Telma RÃ­os Condado</v>
      </c>
      <c r="F57" s="280" t="str">
        <f>+S!E59</f>
        <v>Expedia</v>
      </c>
      <c r="G57" s="281">
        <f>+S!A59</f>
        <v>125280670</v>
      </c>
      <c r="H57" s="108">
        <f>+S!C59</f>
        <v>45252</v>
      </c>
      <c r="I57" s="108">
        <f>+S!D59</f>
        <v>45253</v>
      </c>
      <c r="J57" s="282">
        <f>+S!L59</f>
        <v>1</v>
      </c>
      <c r="K57" s="283">
        <f>+S!K59</f>
        <v>1</v>
      </c>
      <c r="L57" s="111">
        <f>+S!J59</f>
        <v>205.2</v>
      </c>
      <c r="M57" s="173"/>
      <c r="N57" s="174"/>
      <c r="O57" s="173"/>
      <c r="P57" s="173"/>
      <c r="Q57" s="173"/>
      <c r="R57" s="173"/>
      <c r="S57" s="173"/>
      <c r="T57" s="173"/>
      <c r="U57" s="173">
        <f t="shared" si="3"/>
        <v>205.2</v>
      </c>
    </row>
    <row r="58" spans="1:21" ht="15" customHeight="1" x14ac:dyDescent="0.2">
      <c r="A58" s="170"/>
      <c r="B58" s="170"/>
      <c r="C58" s="170"/>
      <c r="D58" s="170"/>
      <c r="E58" s="280" t="str">
        <f>+S!B60</f>
        <v>Nikita Patel</v>
      </c>
      <c r="F58" s="280" t="str">
        <f>+S!E60</f>
        <v>Booking.com</v>
      </c>
      <c r="G58" s="281">
        <f>+S!A60</f>
        <v>3651502963</v>
      </c>
      <c r="H58" s="108">
        <f>+S!C60</f>
        <v>45253</v>
      </c>
      <c r="I58" s="108">
        <f>+S!D60</f>
        <v>45256</v>
      </c>
      <c r="J58" s="282">
        <f>+S!L60</f>
        <v>1</v>
      </c>
      <c r="K58" s="283">
        <f>+S!K60</f>
        <v>3</v>
      </c>
      <c r="L58" s="111">
        <f>+S!J60</f>
        <v>582.26</v>
      </c>
      <c r="M58" s="173"/>
      <c r="N58" s="174"/>
      <c r="O58" s="173"/>
      <c r="P58" s="173"/>
      <c r="Q58" s="173"/>
      <c r="R58" s="173"/>
      <c r="S58" s="173"/>
      <c r="T58" s="173"/>
      <c r="U58" s="173">
        <f t="shared" si="3"/>
        <v>194.08666666666667</v>
      </c>
    </row>
    <row r="59" spans="1:21" ht="15" customHeight="1" x14ac:dyDescent="0.2">
      <c r="A59" s="170"/>
      <c r="B59" s="170"/>
      <c r="C59" s="170"/>
      <c r="D59" s="170"/>
      <c r="E59" s="280" t="str">
        <f>+S!B61</f>
        <v>Bartosz Skowronek</v>
      </c>
      <c r="F59" s="280" t="str">
        <f>+S!E61</f>
        <v>Direct Booking</v>
      </c>
      <c r="G59" s="281" t="str">
        <f>+S!A61</f>
        <v>BB23072511797368</v>
      </c>
      <c r="H59" s="108">
        <f>+S!C61</f>
        <v>45253</v>
      </c>
      <c r="I59" s="108">
        <f>+S!D61</f>
        <v>45259</v>
      </c>
      <c r="J59" s="282">
        <f>+S!L61</f>
        <v>1</v>
      </c>
      <c r="K59" s="283">
        <f>+S!K61</f>
        <v>6</v>
      </c>
      <c r="L59" s="111">
        <f>+S!J61</f>
        <v>1140</v>
      </c>
      <c r="M59" s="173"/>
      <c r="N59" s="174"/>
      <c r="O59" s="173"/>
      <c r="P59" s="173"/>
      <c r="Q59" s="173"/>
      <c r="R59" s="173"/>
      <c r="S59" s="173"/>
      <c r="T59" s="173"/>
      <c r="U59" s="173">
        <f t="shared" si="3"/>
        <v>190</v>
      </c>
    </row>
    <row r="60" spans="1:21" ht="15" customHeight="1" x14ac:dyDescent="0.2">
      <c r="A60" s="170"/>
      <c r="B60" s="170"/>
      <c r="C60" s="170"/>
      <c r="D60" s="170"/>
      <c r="E60" s="280" t="str">
        <f>+S!B62</f>
        <v>Maria Fernanda Quezada Valladares</v>
      </c>
      <c r="F60" s="280" t="str">
        <f>+S!E62</f>
        <v>Expedia</v>
      </c>
      <c r="G60" s="281">
        <f>+S!A62</f>
        <v>85194846</v>
      </c>
      <c r="H60" s="108">
        <f>+S!C62</f>
        <v>45253</v>
      </c>
      <c r="I60" s="108">
        <f>+S!D62</f>
        <v>45256</v>
      </c>
      <c r="J60" s="282">
        <f>+S!L62</f>
        <v>1</v>
      </c>
      <c r="K60" s="283">
        <f>+S!K62</f>
        <v>3</v>
      </c>
      <c r="L60" s="111">
        <f>+S!J62</f>
        <v>684</v>
      </c>
      <c r="M60" s="173"/>
      <c r="N60" s="174"/>
      <c r="O60" s="173"/>
      <c r="P60" s="173"/>
      <c r="Q60" s="173"/>
      <c r="R60" s="173"/>
      <c r="S60" s="173"/>
      <c r="T60" s="173"/>
      <c r="U60" s="173">
        <f t="shared" si="3"/>
        <v>228</v>
      </c>
    </row>
    <row r="61" spans="1:21" ht="15" customHeight="1" x14ac:dyDescent="0.2">
      <c r="A61" s="170"/>
      <c r="B61" s="170"/>
      <c r="C61" s="170"/>
      <c r="D61" s="170"/>
      <c r="E61" s="280" t="str">
        <f>+S!B63</f>
        <v>Elda Beatriz Micheli</v>
      </c>
      <c r="F61" s="280" t="str">
        <f>+S!E63</f>
        <v>Booking.com</v>
      </c>
      <c r="G61" s="281">
        <f>+S!A63</f>
        <v>3993549122</v>
      </c>
      <c r="H61" s="108">
        <f>+S!C63</f>
        <v>45253</v>
      </c>
      <c r="I61" s="108">
        <f>+S!D63</f>
        <v>45259</v>
      </c>
      <c r="J61" s="282">
        <f>+S!L63</f>
        <v>2</v>
      </c>
      <c r="K61" s="283">
        <f>+S!K63</f>
        <v>6</v>
      </c>
      <c r="L61" s="111">
        <f>+S!J63</f>
        <v>2633.4</v>
      </c>
      <c r="M61" s="173"/>
      <c r="N61" s="174"/>
      <c r="O61" s="173"/>
      <c r="P61" s="173"/>
      <c r="Q61" s="173"/>
      <c r="R61" s="173"/>
      <c r="S61" s="173"/>
      <c r="T61" s="173"/>
      <c r="U61" s="173">
        <f t="shared" si="3"/>
        <v>219.45000000000002</v>
      </c>
    </row>
    <row r="62" spans="1:21" ht="15" customHeight="1" x14ac:dyDescent="0.2">
      <c r="A62" s="170"/>
      <c r="B62" s="170"/>
      <c r="C62" s="170"/>
      <c r="D62" s="170"/>
      <c r="E62" s="280" t="str">
        <f>+S!B64</f>
        <v>Ganapathy Somayanda</v>
      </c>
      <c r="F62" s="280" t="str">
        <f>+S!E64</f>
        <v>Booking.com</v>
      </c>
      <c r="G62" s="281">
        <f>+S!A64</f>
        <v>4071528463</v>
      </c>
      <c r="H62" s="108">
        <f>+S!C64</f>
        <v>45254</v>
      </c>
      <c r="I62" s="108">
        <f>+S!D64</f>
        <v>45256</v>
      </c>
      <c r="J62" s="282">
        <f>+S!L64</f>
        <v>1</v>
      </c>
      <c r="K62" s="283">
        <f>+S!K64</f>
        <v>2</v>
      </c>
      <c r="L62" s="111">
        <f>+S!J64</f>
        <v>410.4</v>
      </c>
      <c r="M62" s="173"/>
      <c r="N62" s="174"/>
      <c r="O62" s="173"/>
      <c r="P62" s="173"/>
      <c r="Q62" s="173"/>
      <c r="R62" s="173"/>
      <c r="S62" s="173"/>
      <c r="T62" s="173"/>
      <c r="U62" s="173">
        <f t="shared" si="3"/>
        <v>205.2</v>
      </c>
    </row>
    <row r="63" spans="1:21" ht="15" customHeight="1" x14ac:dyDescent="0.2">
      <c r="A63" s="170"/>
      <c r="B63" s="170"/>
      <c r="C63" s="170"/>
      <c r="D63" s="170"/>
      <c r="E63" s="280" t="str">
        <f>+S!B65</f>
        <v>Magalhaes Furlanetto Mateus</v>
      </c>
      <c r="F63" s="280" t="str">
        <f>+S!E65</f>
        <v>Booking.com</v>
      </c>
      <c r="G63" s="281">
        <f>+S!A65</f>
        <v>2624555902</v>
      </c>
      <c r="H63" s="108">
        <f>+S!C65</f>
        <v>45254</v>
      </c>
      <c r="I63" s="108">
        <f>+S!D65</f>
        <v>45261</v>
      </c>
      <c r="J63" s="282">
        <f>+S!L65</f>
        <v>1</v>
      </c>
      <c r="K63" s="283">
        <f>+S!K65</f>
        <v>7</v>
      </c>
      <c r="L63" s="111">
        <f>+S!J65</f>
        <v>1476.33</v>
      </c>
      <c r="M63" s="173"/>
      <c r="N63" s="174"/>
      <c r="O63" s="173"/>
      <c r="P63" s="173"/>
      <c r="Q63" s="173"/>
      <c r="R63" s="173"/>
      <c r="S63" s="173"/>
      <c r="T63" s="173"/>
      <c r="U63" s="173">
        <f t="shared" ref="U63:U65" si="4">+L63/(K63*J63)</f>
        <v>210.90428571428569</v>
      </c>
    </row>
    <row r="64" spans="1:21" ht="15" customHeight="1" x14ac:dyDescent="0.2">
      <c r="A64" s="170"/>
      <c r="B64" s="170"/>
      <c r="C64" s="170"/>
      <c r="D64" s="170"/>
      <c r="E64" s="280" t="str">
        <f>+S!B66</f>
        <v>shahab behjat</v>
      </c>
      <c r="F64" s="280" t="str">
        <f>+S!E66</f>
        <v>Booking.com</v>
      </c>
      <c r="G64" s="281">
        <f>+S!A66</f>
        <v>4219697292</v>
      </c>
      <c r="H64" s="108">
        <f>+S!C66</f>
        <v>45255</v>
      </c>
      <c r="I64" s="108">
        <f>+S!D66</f>
        <v>45257</v>
      </c>
      <c r="J64" s="282">
        <f>+S!L66</f>
        <v>1</v>
      </c>
      <c r="K64" s="283">
        <f>+S!K66</f>
        <v>2</v>
      </c>
      <c r="L64" s="111">
        <f>+S!J66</f>
        <v>410.4</v>
      </c>
      <c r="M64" s="173"/>
      <c r="N64" s="174"/>
      <c r="O64" s="173"/>
      <c r="P64" s="173"/>
      <c r="Q64" s="173"/>
      <c r="R64" s="173"/>
      <c r="S64" s="173"/>
      <c r="T64" s="173"/>
      <c r="U64" s="173">
        <f t="shared" si="4"/>
        <v>205.2</v>
      </c>
    </row>
    <row r="65" spans="1:21" ht="15" customHeight="1" x14ac:dyDescent="0.2">
      <c r="A65" s="170"/>
      <c r="B65" s="170"/>
      <c r="C65" s="170"/>
      <c r="D65" s="170"/>
      <c r="E65" s="280" t="str">
        <f>+S!B67</f>
        <v>sandra shaffer</v>
      </c>
      <c r="F65" s="280" t="str">
        <f>+S!E67</f>
        <v>Direct Booking</v>
      </c>
      <c r="G65" s="281" t="str">
        <f>+S!A67</f>
        <v>BB23111212662245</v>
      </c>
      <c r="H65" s="108">
        <f>+S!C67</f>
        <v>45256</v>
      </c>
      <c r="I65" s="108">
        <f>+S!D67</f>
        <v>45259</v>
      </c>
      <c r="J65" s="282">
        <f>+S!L67</f>
        <v>1</v>
      </c>
      <c r="K65" s="283">
        <f>+S!K67</f>
        <v>3</v>
      </c>
      <c r="L65" s="111">
        <f>+S!J67</f>
        <v>598.5</v>
      </c>
      <c r="M65" s="173"/>
      <c r="N65" s="174"/>
      <c r="O65" s="173"/>
      <c r="P65" s="173"/>
      <c r="Q65" s="173"/>
      <c r="R65" s="173"/>
      <c r="S65" s="173"/>
      <c r="T65" s="173"/>
      <c r="U65" s="173">
        <f t="shared" si="4"/>
        <v>199.5</v>
      </c>
    </row>
    <row r="66" spans="1:21" ht="15" customHeight="1" x14ac:dyDescent="0.2">
      <c r="A66" s="170"/>
      <c r="B66" s="170"/>
      <c r="C66" s="170"/>
      <c r="D66" s="170"/>
      <c r="E66" s="280" t="str">
        <f>+S!B68</f>
        <v>Kim and Mark Mahan</v>
      </c>
      <c r="F66" s="280" t="str">
        <f>+S!E68</f>
        <v>Booking.com</v>
      </c>
      <c r="G66" s="281">
        <f>+S!A68</f>
        <v>2641659427</v>
      </c>
      <c r="H66" s="108">
        <f>+S!C68</f>
        <v>45256</v>
      </c>
      <c r="I66" s="108">
        <f>+S!D68</f>
        <v>45260</v>
      </c>
      <c r="J66" s="282">
        <f>+S!L68</f>
        <v>1</v>
      </c>
      <c r="K66" s="283">
        <f>+S!K68</f>
        <v>4</v>
      </c>
      <c r="L66" s="111">
        <f>+S!J68</f>
        <v>837.92</v>
      </c>
      <c r="M66" s="173"/>
      <c r="N66" s="174"/>
      <c r="O66" s="173"/>
      <c r="P66" s="173"/>
      <c r="Q66" s="173"/>
      <c r="R66" s="173"/>
      <c r="S66" s="173"/>
      <c r="T66" s="173"/>
      <c r="U66" s="173">
        <f t="shared" ref="U66:U73" si="5">+L66/(K66*J66)</f>
        <v>209.48</v>
      </c>
    </row>
    <row r="67" spans="1:21" ht="15" customHeight="1" x14ac:dyDescent="0.2">
      <c r="A67" s="170"/>
      <c r="B67" s="170"/>
      <c r="C67" s="170"/>
      <c r="D67" s="170"/>
      <c r="E67" s="280" t="str">
        <f>+S!B69</f>
        <v>Katrien Keysers</v>
      </c>
      <c r="F67" s="280" t="str">
        <f>+S!E69</f>
        <v>Booking.com</v>
      </c>
      <c r="G67" s="281">
        <f>+S!A69</f>
        <v>2720618255</v>
      </c>
      <c r="H67" s="108">
        <f>+S!C69</f>
        <v>45256</v>
      </c>
      <c r="I67" s="108">
        <f>+S!D69</f>
        <v>45257</v>
      </c>
      <c r="J67" s="282">
        <f>+S!L69</f>
        <v>2</v>
      </c>
      <c r="K67" s="283">
        <f>+S!K69</f>
        <v>1</v>
      </c>
      <c r="L67" s="111">
        <f>+S!J69</f>
        <v>438.9</v>
      </c>
      <c r="M67" s="173"/>
      <c r="N67" s="174"/>
      <c r="O67" s="173"/>
      <c r="P67" s="173"/>
      <c r="Q67" s="173"/>
      <c r="R67" s="173"/>
      <c r="S67" s="173"/>
      <c r="T67" s="173"/>
      <c r="U67" s="173">
        <f t="shared" si="5"/>
        <v>219.45</v>
      </c>
    </row>
    <row r="68" spans="1:21" ht="15" customHeight="1" x14ac:dyDescent="0.2">
      <c r="A68" s="170"/>
      <c r="B68" s="170"/>
      <c r="C68" s="170"/>
      <c r="D68" s="170"/>
      <c r="E68" s="280" t="str">
        <f>+S!B70</f>
        <v>Portugal Carla Luisa</v>
      </c>
      <c r="F68" s="280" t="str">
        <f>+S!E70</f>
        <v>Booking.com</v>
      </c>
      <c r="G68" s="281">
        <f>+S!A70</f>
        <v>4067274727</v>
      </c>
      <c r="H68" s="108">
        <f>+S!C70</f>
        <v>45257</v>
      </c>
      <c r="I68" s="108">
        <f>+S!D70</f>
        <v>45259</v>
      </c>
      <c r="J68" s="282">
        <f>+S!L70</f>
        <v>1</v>
      </c>
      <c r="K68" s="283">
        <f>+S!K70</f>
        <v>2</v>
      </c>
      <c r="L68" s="111">
        <f>+S!J70</f>
        <v>410.4</v>
      </c>
      <c r="M68" s="173"/>
      <c r="N68" s="174"/>
      <c r="O68" s="173"/>
      <c r="P68" s="173"/>
      <c r="Q68" s="173"/>
      <c r="R68" s="173"/>
      <c r="S68" s="173"/>
      <c r="T68" s="173"/>
      <c r="U68" s="173">
        <f t="shared" si="5"/>
        <v>205.2</v>
      </c>
    </row>
    <row r="69" spans="1:21" ht="15" customHeight="1" x14ac:dyDescent="0.2">
      <c r="A69" s="170"/>
      <c r="B69" s="170"/>
      <c r="C69" s="170"/>
      <c r="D69" s="170"/>
      <c r="E69" s="280" t="str">
        <f>+S!B71</f>
        <v>Dakshi Devgan</v>
      </c>
      <c r="F69" s="280" t="str">
        <f>+S!E71</f>
        <v>Expedia</v>
      </c>
      <c r="G69" s="281">
        <f>+S!A71</f>
        <v>114036063</v>
      </c>
      <c r="H69" s="108">
        <f>+S!C71</f>
        <v>45258</v>
      </c>
      <c r="I69" s="108">
        <f>+S!D71</f>
        <v>45260</v>
      </c>
      <c r="J69" s="282">
        <f>+S!L71</f>
        <v>1</v>
      </c>
      <c r="K69" s="283">
        <f>+S!K71</f>
        <v>2</v>
      </c>
      <c r="L69" s="111">
        <f>+S!J71</f>
        <v>369.36</v>
      </c>
      <c r="M69" s="173"/>
      <c r="N69" s="174"/>
      <c r="O69" s="173"/>
      <c r="P69" s="173"/>
      <c r="Q69" s="173"/>
      <c r="R69" s="173"/>
      <c r="S69" s="173"/>
      <c r="T69" s="173"/>
      <c r="U69" s="173">
        <f t="shared" si="5"/>
        <v>184.68</v>
      </c>
    </row>
    <row r="70" spans="1:21" ht="15" customHeight="1" x14ac:dyDescent="0.2">
      <c r="A70" s="170"/>
      <c r="B70" s="170"/>
      <c r="C70" s="170"/>
      <c r="D70" s="170"/>
      <c r="E70" s="280" t="str">
        <f>+S!B72</f>
        <v>Betty Liu</v>
      </c>
      <c r="F70" s="280" t="str">
        <f>+S!E72</f>
        <v>Booking.com</v>
      </c>
      <c r="G70" s="281">
        <f>+S!A72</f>
        <v>3938901869</v>
      </c>
      <c r="H70" s="108">
        <f>+S!C72</f>
        <v>45259</v>
      </c>
      <c r="I70" s="108">
        <f>+S!D72</f>
        <v>45262</v>
      </c>
      <c r="J70" s="282">
        <f>+S!L72</f>
        <v>1</v>
      </c>
      <c r="K70" s="283">
        <f>+S!K72</f>
        <v>3</v>
      </c>
      <c r="L70" s="111">
        <f>+S!J72</f>
        <v>666.9</v>
      </c>
      <c r="M70" s="173"/>
      <c r="N70" s="174"/>
      <c r="O70" s="173"/>
      <c r="P70" s="173"/>
      <c r="Q70" s="173"/>
      <c r="R70" s="173"/>
      <c r="S70" s="173"/>
      <c r="T70" s="173"/>
      <c r="U70" s="173">
        <f t="shared" si="5"/>
        <v>222.29999999999998</v>
      </c>
    </row>
    <row r="71" spans="1:21" ht="15" customHeight="1" x14ac:dyDescent="0.2">
      <c r="A71" s="170"/>
      <c r="B71" s="170"/>
      <c r="C71" s="170"/>
      <c r="D71" s="170"/>
      <c r="E71" s="280" t="str">
        <f>+S!B73</f>
        <v>Patricia Bauer</v>
      </c>
      <c r="F71" s="280" t="str">
        <f>+S!E73</f>
        <v>Booking.com</v>
      </c>
      <c r="G71" s="281">
        <f>+S!A73</f>
        <v>3809126082</v>
      </c>
      <c r="H71" s="108">
        <f>+S!C73</f>
        <v>45259</v>
      </c>
      <c r="I71" s="108">
        <f>+S!D73</f>
        <v>45261</v>
      </c>
      <c r="J71" s="282">
        <f>+S!L73</f>
        <v>1</v>
      </c>
      <c r="K71" s="283">
        <f>+S!K73</f>
        <v>2</v>
      </c>
      <c r="L71" s="111">
        <f>+S!J73</f>
        <v>377.06</v>
      </c>
      <c r="M71" s="173"/>
      <c r="N71" s="174"/>
      <c r="O71" s="173"/>
      <c r="P71" s="173"/>
      <c r="Q71" s="173"/>
      <c r="R71" s="173"/>
      <c r="S71" s="173"/>
      <c r="T71" s="173"/>
      <c r="U71" s="173">
        <f t="shared" si="5"/>
        <v>188.53</v>
      </c>
    </row>
    <row r="72" spans="1:21" ht="15" customHeight="1" x14ac:dyDescent="0.2">
      <c r="A72" s="170"/>
      <c r="B72" s="170"/>
      <c r="C72" s="170"/>
      <c r="D72" s="170"/>
      <c r="E72" s="280" t="str">
        <f>+S!B74</f>
        <v>Bonnie Oldham</v>
      </c>
      <c r="F72" s="280" t="str">
        <f>+S!E74</f>
        <v>Booking.com</v>
      </c>
      <c r="G72" s="281">
        <f>+S!A74</f>
        <v>2251997982</v>
      </c>
      <c r="H72" s="108">
        <f>+S!C74</f>
        <v>45259</v>
      </c>
      <c r="I72" s="108">
        <f>+S!D74</f>
        <v>45261</v>
      </c>
      <c r="J72" s="282">
        <f>+S!L74</f>
        <v>1</v>
      </c>
      <c r="K72" s="283">
        <f>+S!K74</f>
        <v>2</v>
      </c>
      <c r="L72" s="111">
        <f>+S!J74</f>
        <v>355.5</v>
      </c>
      <c r="M72" s="173"/>
      <c r="N72" s="174"/>
      <c r="O72" s="173"/>
      <c r="P72" s="173"/>
      <c r="Q72" s="173"/>
      <c r="R72" s="173"/>
      <c r="S72" s="173"/>
      <c r="T72" s="173"/>
      <c r="U72" s="173">
        <f t="shared" si="5"/>
        <v>177.75</v>
      </c>
    </row>
    <row r="73" spans="1:21" ht="15" customHeight="1" x14ac:dyDescent="0.2">
      <c r="A73" s="170"/>
      <c r="B73" s="170"/>
      <c r="C73" s="170"/>
      <c r="D73" s="170"/>
      <c r="E73" s="280" t="str">
        <f>+S!B75</f>
        <v>Nichole Meyer, Peter Meyer</v>
      </c>
      <c r="F73" s="280" t="str">
        <f>+S!E75</f>
        <v>Booking.com</v>
      </c>
      <c r="G73" s="281">
        <f>+S!A75</f>
        <v>4035012187</v>
      </c>
      <c r="H73" s="108">
        <f>+S!C75</f>
        <v>45260</v>
      </c>
      <c r="I73" s="108">
        <f>+S!D75</f>
        <v>45263</v>
      </c>
      <c r="J73" s="282">
        <f>+S!L75</f>
        <v>2</v>
      </c>
      <c r="K73" s="283">
        <f>+S!K75</f>
        <v>3</v>
      </c>
      <c r="L73" s="111">
        <f>+S!J75</f>
        <v>1231.2</v>
      </c>
      <c r="M73" s="173"/>
      <c r="N73" s="174"/>
      <c r="O73" s="173"/>
      <c r="P73" s="173"/>
      <c r="Q73" s="173"/>
      <c r="R73" s="173"/>
      <c r="S73" s="173"/>
      <c r="T73" s="173"/>
      <c r="U73" s="173">
        <f t="shared" si="5"/>
        <v>205.20000000000002</v>
      </c>
    </row>
    <row r="74" spans="1:21" ht="15" customHeight="1" x14ac:dyDescent="0.2">
      <c r="A74" s="170"/>
      <c r="B74" s="170"/>
      <c r="C74" s="170"/>
      <c r="D74" s="170"/>
      <c r="E74" s="280" t="str">
        <f>+S!B76</f>
        <v>Ilya Rabich</v>
      </c>
      <c r="F74" s="280" t="str">
        <f>+S!E76</f>
        <v>Expedia</v>
      </c>
      <c r="G74" s="281">
        <f>+S!A76</f>
        <v>100805766</v>
      </c>
      <c r="H74" s="108">
        <f>+S!C76</f>
        <v>45260</v>
      </c>
      <c r="I74" s="108">
        <f>+S!D76</f>
        <v>45262</v>
      </c>
      <c r="J74" s="282">
        <f>+S!L76</f>
        <v>1</v>
      </c>
      <c r="K74" s="283">
        <f>+S!K76</f>
        <v>2</v>
      </c>
      <c r="L74" s="111">
        <f>+S!J76</f>
        <v>410.4</v>
      </c>
      <c r="M74" s="173"/>
      <c r="N74" s="174"/>
      <c r="O74" s="173"/>
      <c r="P74" s="173"/>
      <c r="Q74" s="173"/>
      <c r="R74" s="173"/>
      <c r="S74" s="173"/>
      <c r="T74" s="173"/>
      <c r="U74" s="173">
        <f t="shared" ref="U74" si="6">+L74/(K74*J74)</f>
        <v>205.2</v>
      </c>
    </row>
    <row r="75" spans="1:21" ht="15" customHeight="1" x14ac:dyDescent="0.2">
      <c r="A75" s="170"/>
      <c r="B75" s="170"/>
      <c r="C75" s="170"/>
      <c r="D75" s="170"/>
      <c r="E75" s="280"/>
      <c r="F75" s="280"/>
      <c r="G75" s="281"/>
      <c r="H75" s="108"/>
      <c r="I75" s="108"/>
      <c r="J75" s="282"/>
      <c r="K75" s="283"/>
      <c r="L75" s="111"/>
      <c r="M75" s="173"/>
      <c r="N75" s="174"/>
      <c r="O75" s="173"/>
      <c r="P75" s="173"/>
      <c r="Q75" s="173"/>
      <c r="R75" s="173"/>
      <c r="S75" s="173"/>
      <c r="T75" s="173"/>
      <c r="U75" s="173"/>
    </row>
    <row r="76" spans="1:21" ht="15" customHeight="1" x14ac:dyDescent="0.2">
      <c r="A76" s="170"/>
      <c r="B76" s="170"/>
      <c r="C76" s="170"/>
      <c r="D76" s="170"/>
      <c r="E76" s="280"/>
      <c r="F76" s="280"/>
      <c r="G76" s="281"/>
      <c r="H76" s="108"/>
      <c r="I76" s="108"/>
      <c r="J76" s="282"/>
      <c r="K76" s="283"/>
      <c r="L76" s="111"/>
      <c r="M76" s="173"/>
      <c r="N76" s="174"/>
      <c r="O76" s="173"/>
      <c r="P76" s="173"/>
      <c r="Q76" s="173"/>
      <c r="R76" s="173"/>
      <c r="S76" s="173"/>
      <c r="T76" s="173"/>
      <c r="U76" s="173"/>
    </row>
    <row r="77" spans="1:21" ht="15" customHeight="1" x14ac:dyDescent="0.2">
      <c r="A77" s="170"/>
      <c r="B77" s="170"/>
      <c r="C77" s="170"/>
      <c r="D77" s="170"/>
      <c r="E77" s="280"/>
      <c r="F77" s="280"/>
      <c r="G77" s="281"/>
      <c r="H77" s="108"/>
      <c r="I77" s="108"/>
      <c r="J77" s="282"/>
      <c r="K77" s="283"/>
      <c r="L77" s="111"/>
      <c r="M77" s="173"/>
      <c r="N77" s="174"/>
      <c r="O77" s="173"/>
      <c r="P77" s="173"/>
      <c r="Q77" s="173"/>
      <c r="R77" s="173"/>
      <c r="S77" s="173"/>
      <c r="T77" s="173"/>
      <c r="U77" s="173"/>
    </row>
    <row r="78" spans="1:21" ht="15" customHeight="1" x14ac:dyDescent="0.2">
      <c r="A78" s="170"/>
      <c r="B78" s="170"/>
      <c r="C78" s="170"/>
      <c r="D78" s="170"/>
      <c r="E78" s="280"/>
      <c r="F78" s="280"/>
      <c r="G78" s="281"/>
      <c r="H78" s="108"/>
      <c r="I78" s="108"/>
      <c r="J78" s="282"/>
      <c r="K78" s="283"/>
      <c r="L78" s="111"/>
      <c r="M78" s="173"/>
      <c r="N78" s="174"/>
      <c r="O78" s="173"/>
      <c r="P78" s="173"/>
      <c r="Q78" s="173"/>
      <c r="R78" s="173"/>
      <c r="S78" s="173"/>
      <c r="T78" s="173"/>
      <c r="U78" s="173"/>
    </row>
    <row r="79" spans="1:21" ht="15" customHeight="1" x14ac:dyDescent="0.2">
      <c r="A79" s="170"/>
      <c r="B79" s="170"/>
      <c r="C79" s="170"/>
      <c r="D79" s="170"/>
      <c r="E79" s="280"/>
      <c r="F79" s="280"/>
      <c r="G79" s="281"/>
      <c r="H79" s="108"/>
      <c r="I79" s="108"/>
      <c r="J79" s="282"/>
      <c r="K79" s="283"/>
      <c r="L79" s="111"/>
      <c r="M79" s="173"/>
      <c r="N79" s="174"/>
      <c r="O79" s="173"/>
      <c r="P79" s="173"/>
      <c r="Q79" s="173"/>
      <c r="R79" s="173"/>
      <c r="S79" s="173"/>
      <c r="T79" s="173"/>
      <c r="U79" s="173"/>
    </row>
    <row r="80" spans="1:21" ht="15" customHeight="1" x14ac:dyDescent="0.2">
      <c r="A80" s="170"/>
      <c r="B80" s="170"/>
      <c r="C80" s="170"/>
      <c r="D80" s="170"/>
      <c r="E80" s="280"/>
      <c r="F80" s="280"/>
      <c r="G80" s="281"/>
      <c r="H80" s="108"/>
      <c r="I80" s="108"/>
      <c r="J80" s="282"/>
      <c r="K80" s="283"/>
      <c r="L80" s="111"/>
      <c r="M80" s="173"/>
      <c r="N80" s="174"/>
      <c r="O80" s="173"/>
      <c r="P80" s="173"/>
      <c r="Q80" s="173"/>
      <c r="R80" s="173"/>
      <c r="S80" s="173"/>
      <c r="T80" s="173"/>
      <c r="U80" s="173"/>
    </row>
    <row r="81" spans="1:16381" ht="15" customHeight="1" x14ac:dyDescent="0.2">
      <c r="A81" s="170"/>
      <c r="B81" s="170"/>
      <c r="C81" s="170"/>
      <c r="D81" s="170"/>
      <c r="E81" s="280"/>
      <c r="F81" s="280"/>
      <c r="G81" s="281"/>
      <c r="H81" s="108"/>
      <c r="I81" s="108"/>
      <c r="J81" s="282"/>
      <c r="K81" s="283"/>
      <c r="L81" s="111"/>
      <c r="M81" s="173"/>
      <c r="N81" s="174"/>
      <c r="O81" s="173"/>
      <c r="P81" s="173"/>
      <c r="Q81" s="173"/>
      <c r="R81" s="173"/>
      <c r="S81" s="173"/>
      <c r="T81" s="173"/>
      <c r="U81" s="173"/>
    </row>
    <row r="82" spans="1:16381" ht="15" customHeight="1" x14ac:dyDescent="0.2">
      <c r="A82" s="170"/>
      <c r="B82" s="170"/>
      <c r="C82" s="170"/>
      <c r="D82" s="170"/>
      <c r="E82" s="280"/>
      <c r="F82" s="280"/>
      <c r="G82" s="281"/>
      <c r="H82" s="108"/>
      <c r="I82" s="108"/>
      <c r="J82" s="282"/>
      <c r="K82" s="283"/>
      <c r="L82" s="111"/>
      <c r="M82" s="173"/>
      <c r="N82" s="174"/>
      <c r="O82" s="173"/>
      <c r="P82" s="173"/>
      <c r="Q82" s="173"/>
      <c r="R82" s="173"/>
      <c r="S82" s="173"/>
      <c r="T82" s="173"/>
      <c r="U82" s="173"/>
    </row>
    <row r="83" spans="1:16381" ht="15" customHeight="1" x14ac:dyDescent="0.2">
      <c r="A83" s="170"/>
      <c r="B83" s="170"/>
      <c r="C83" s="170"/>
      <c r="D83" s="170"/>
      <c r="E83" s="280"/>
      <c r="F83" s="280"/>
      <c r="G83" s="281"/>
      <c r="H83" s="108"/>
      <c r="I83" s="108"/>
      <c r="J83" s="282"/>
      <c r="K83" s="283"/>
      <c r="L83" s="111"/>
      <c r="M83" s="173"/>
      <c r="N83" s="174"/>
      <c r="O83" s="173"/>
      <c r="P83" s="173"/>
      <c r="Q83" s="173"/>
      <c r="R83" s="173"/>
      <c r="S83" s="173"/>
      <c r="T83" s="173"/>
      <c r="U83" s="173"/>
    </row>
    <row r="84" spans="1:16381" ht="15" customHeight="1" x14ac:dyDescent="0.2">
      <c r="A84" s="170"/>
      <c r="B84" s="170"/>
      <c r="C84" s="170"/>
      <c r="D84" s="170"/>
      <c r="E84" s="280"/>
      <c r="F84" s="280"/>
      <c r="G84" s="281"/>
      <c r="H84" s="108"/>
      <c r="I84" s="108"/>
      <c r="J84" s="282"/>
      <c r="K84" s="283"/>
      <c r="L84" s="111"/>
      <c r="M84" s="173"/>
      <c r="N84" s="174"/>
      <c r="O84" s="173"/>
      <c r="P84" s="173"/>
      <c r="Q84" s="173"/>
      <c r="R84" s="173"/>
      <c r="S84" s="173"/>
      <c r="T84" s="173"/>
      <c r="U84" s="173"/>
    </row>
    <row r="85" spans="1:16381" ht="15" customHeight="1" x14ac:dyDescent="0.2">
      <c r="A85" s="170"/>
      <c r="B85" s="170"/>
      <c r="C85" s="170"/>
      <c r="D85" s="170"/>
      <c r="E85" s="280"/>
      <c r="F85" s="280"/>
      <c r="G85" s="281"/>
      <c r="H85" s="108"/>
      <c r="I85" s="108"/>
      <c r="J85" s="282"/>
      <c r="K85" s="283"/>
      <c r="L85" s="111"/>
      <c r="M85" s="173"/>
      <c r="N85" s="174"/>
      <c r="O85" s="173"/>
      <c r="P85" s="173"/>
      <c r="Q85" s="173"/>
      <c r="R85" s="173"/>
      <c r="S85" s="173"/>
      <c r="T85" s="173"/>
      <c r="U85" s="173"/>
    </row>
    <row r="86" spans="1:16381" ht="15" customHeight="1" x14ac:dyDescent="0.2">
      <c r="A86" s="170"/>
      <c r="B86" s="170"/>
      <c r="C86" s="170"/>
      <c r="D86" s="170"/>
      <c r="E86" s="280"/>
      <c r="F86" s="280"/>
      <c r="G86" s="281"/>
      <c r="H86" s="108"/>
      <c r="I86" s="108"/>
      <c r="J86" s="282"/>
      <c r="K86" s="283"/>
      <c r="L86" s="111"/>
      <c r="M86" s="173"/>
      <c r="N86" s="174"/>
      <c r="O86" s="173"/>
      <c r="P86" s="173"/>
      <c r="Q86" s="173"/>
      <c r="R86" s="173"/>
      <c r="S86" s="173"/>
      <c r="T86" s="173"/>
      <c r="U86" s="173"/>
    </row>
    <row r="87" spans="1:16381" ht="15" customHeight="1" x14ac:dyDescent="0.2">
      <c r="A87" s="170"/>
      <c r="B87" s="170"/>
      <c r="C87" s="170"/>
      <c r="D87" s="170"/>
      <c r="E87" s="280"/>
      <c r="F87" s="280"/>
      <c r="G87" s="281"/>
      <c r="H87" s="108"/>
      <c r="I87" s="108"/>
      <c r="J87" s="282"/>
      <c r="K87" s="283"/>
      <c r="L87" s="111"/>
      <c r="M87" s="173"/>
      <c r="N87" s="174"/>
      <c r="O87" s="173"/>
      <c r="P87" s="173"/>
      <c r="Q87" s="173"/>
      <c r="R87" s="173"/>
      <c r="S87" s="173"/>
      <c r="T87" s="173"/>
      <c r="U87" s="173"/>
    </row>
    <row r="88" spans="1:16381" ht="15" customHeight="1" x14ac:dyDescent="0.2">
      <c r="A88" s="170"/>
      <c r="B88" s="170"/>
      <c r="C88" s="170"/>
      <c r="D88" s="170"/>
      <c r="E88" s="280"/>
      <c r="F88" s="280"/>
      <c r="G88" s="281"/>
      <c r="H88" s="108"/>
      <c r="I88" s="108"/>
      <c r="J88" s="282"/>
      <c r="K88" s="283"/>
      <c r="L88" s="111"/>
      <c r="M88" s="173"/>
      <c r="N88" s="174"/>
      <c r="O88" s="173"/>
      <c r="P88" s="173"/>
      <c r="Q88" s="173"/>
      <c r="R88" s="173"/>
      <c r="S88" s="173"/>
      <c r="T88" s="173"/>
      <c r="U88" s="173"/>
    </row>
    <row r="89" spans="1:16381" ht="15" customHeight="1" x14ac:dyDescent="0.2">
      <c r="A89" s="170"/>
      <c r="B89" s="170"/>
      <c r="C89" s="170"/>
      <c r="D89" s="170"/>
      <c r="E89" s="280"/>
      <c r="F89" s="280"/>
      <c r="G89" s="281"/>
      <c r="H89" s="108"/>
      <c r="I89" s="108"/>
      <c r="J89" s="282"/>
      <c r="K89" s="283"/>
      <c r="L89" s="111"/>
      <c r="M89" s="173"/>
      <c r="N89" s="174"/>
      <c r="O89" s="173"/>
      <c r="P89" s="173"/>
      <c r="Q89" s="173"/>
      <c r="R89" s="173"/>
      <c r="S89" s="173"/>
      <c r="T89" s="173"/>
      <c r="U89" s="173"/>
    </row>
    <row r="90" spans="1:16381" ht="15" customHeight="1" x14ac:dyDescent="0.2">
      <c r="A90" s="170"/>
      <c r="B90" s="170"/>
      <c r="C90" s="170"/>
      <c r="D90" s="170"/>
      <c r="E90" s="280"/>
      <c r="F90" s="280"/>
      <c r="G90" s="281"/>
      <c r="H90" s="108"/>
      <c r="I90" s="108"/>
      <c r="J90" s="282"/>
      <c r="K90" s="283"/>
      <c r="L90" s="111"/>
      <c r="M90" s="173"/>
      <c r="N90" s="174"/>
      <c r="O90" s="173"/>
      <c r="P90" s="173"/>
      <c r="Q90" s="173"/>
      <c r="R90" s="173"/>
      <c r="S90" s="173"/>
      <c r="T90" s="173"/>
      <c r="U90" s="173"/>
    </row>
    <row r="91" spans="1:16381" ht="15" customHeight="1" x14ac:dyDescent="0.2">
      <c r="A91" s="170"/>
      <c r="B91" s="170"/>
      <c r="C91" s="170"/>
      <c r="D91" s="170"/>
      <c r="E91" s="280"/>
      <c r="F91" s="280"/>
      <c r="G91" s="281"/>
      <c r="H91" s="108"/>
      <c r="I91" s="108"/>
      <c r="J91" s="282"/>
      <c r="K91" s="283"/>
      <c r="L91" s="111"/>
      <c r="M91" s="173"/>
      <c r="N91" s="174"/>
      <c r="O91" s="173"/>
      <c r="P91" s="173"/>
      <c r="Q91" s="173"/>
      <c r="R91" s="173"/>
      <c r="S91" s="173"/>
      <c r="T91" s="173"/>
      <c r="U91" s="173"/>
    </row>
    <row r="92" spans="1:16381" ht="15" customHeight="1" x14ac:dyDescent="0.2">
      <c r="A92" s="170"/>
      <c r="B92" s="170"/>
      <c r="C92" s="170"/>
      <c r="D92" s="170"/>
      <c r="E92" s="280"/>
      <c r="F92" s="280"/>
      <c r="G92" s="281"/>
      <c r="H92" s="108"/>
      <c r="I92" s="108"/>
      <c r="J92" s="282"/>
      <c r="K92" s="283"/>
      <c r="L92" s="111"/>
      <c r="M92" s="173"/>
      <c r="N92" s="174"/>
      <c r="O92" s="173"/>
      <c r="P92" s="173"/>
      <c r="Q92" s="173"/>
      <c r="R92" s="173"/>
      <c r="S92" s="173"/>
      <c r="T92" s="173"/>
      <c r="U92" s="173"/>
    </row>
    <row r="93" spans="1:16381" ht="15" customHeight="1" x14ac:dyDescent="0.2">
      <c r="A93" s="170"/>
      <c r="B93" s="170"/>
      <c r="C93" s="170"/>
      <c r="D93" s="170"/>
      <c r="E93" s="280"/>
      <c r="F93" s="280"/>
      <c r="G93" s="281"/>
      <c r="H93" s="108"/>
      <c r="I93" s="108"/>
      <c r="J93" s="282"/>
      <c r="K93" s="283"/>
      <c r="L93" s="111"/>
      <c r="M93" s="173"/>
      <c r="N93" s="174"/>
      <c r="O93" s="173"/>
      <c r="P93" s="173"/>
      <c r="Q93" s="173"/>
      <c r="R93" s="173"/>
      <c r="S93" s="173"/>
      <c r="T93" s="173"/>
      <c r="U93" s="173"/>
    </row>
    <row r="94" spans="1:16381" ht="15" customHeight="1" x14ac:dyDescent="0.2">
      <c r="A94" s="170"/>
      <c r="B94" s="170"/>
      <c r="C94" s="170"/>
      <c r="D94" s="170"/>
      <c r="E94" s="280"/>
      <c r="F94" s="280"/>
      <c r="G94" s="281"/>
      <c r="H94" s="108"/>
      <c r="I94" s="108"/>
      <c r="J94" s="282"/>
      <c r="K94" s="283"/>
      <c r="L94" s="111"/>
      <c r="M94" s="173"/>
      <c r="N94" s="174"/>
      <c r="O94" s="173"/>
      <c r="P94" s="173"/>
      <c r="Q94" s="173"/>
      <c r="R94" s="173"/>
      <c r="S94" s="173"/>
      <c r="T94" s="173"/>
      <c r="U94" s="173"/>
    </row>
    <row r="95" spans="1:16381" ht="15" customHeight="1" x14ac:dyDescent="0.2">
      <c r="A95" s="288"/>
      <c r="B95" s="288"/>
      <c r="C95" s="288"/>
      <c r="D95" s="288"/>
      <c r="E95" s="289"/>
      <c r="F95" s="289"/>
      <c r="G95" s="290"/>
      <c r="H95" s="291"/>
      <c r="I95" s="291"/>
      <c r="J95" s="291"/>
      <c r="K95" s="294">
        <f>SUMPRODUCT(K3:K94,J3:J94)</f>
        <v>252</v>
      </c>
      <c r="L95" s="294">
        <f>SUM(L3:L94)</f>
        <v>50746.65</v>
      </c>
      <c r="M95" s="292"/>
      <c r="N95" s="293"/>
      <c r="O95" s="292"/>
      <c r="P95" s="292"/>
      <c r="Q95" s="292"/>
      <c r="R95" s="292"/>
      <c r="S95" s="292"/>
      <c r="T95" s="292"/>
      <c r="U95" s="292">
        <f>+L95/K95</f>
        <v>201.37559523809526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295" t="s">
        <v>15</v>
      </c>
      <c r="K97" s="296">
        <f>+K95/(310)</f>
        <v>0.81290322580645158</v>
      </c>
      <c r="L97" s="152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2"/>
  <sheetViews>
    <sheetView topLeftCell="A362" zoomScale="70" zoomScaleNormal="70" workbookViewId="0">
      <selection activeCell="A390" sqref="A390:T390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4" t="s">
        <v>194</v>
      </c>
      <c r="D1" s="244" t="s">
        <v>195</v>
      </c>
      <c r="E1" s="244" t="s">
        <v>196</v>
      </c>
      <c r="F1" s="244" t="s">
        <v>197</v>
      </c>
      <c r="G1" s="244" t="s">
        <v>198</v>
      </c>
      <c r="H1" s="244" t="s">
        <v>199</v>
      </c>
      <c r="I1" s="244" t="s">
        <v>200</v>
      </c>
      <c r="J1" s="244" t="s">
        <v>201</v>
      </c>
      <c r="K1" s="244" t="s">
        <v>99</v>
      </c>
      <c r="L1" s="244" t="s">
        <v>202</v>
      </c>
      <c r="M1" s="244" t="s">
        <v>203</v>
      </c>
      <c r="N1" s="244" t="s">
        <v>204</v>
      </c>
      <c r="O1" s="244" t="s">
        <v>205</v>
      </c>
      <c r="P1" s="244" t="s">
        <v>206</v>
      </c>
      <c r="Q1" s="244" t="s">
        <v>207</v>
      </c>
      <c r="R1" s="244" t="s">
        <v>208</v>
      </c>
      <c r="S1" s="244" t="s">
        <v>209</v>
      </c>
      <c r="T1" s="244" t="s">
        <v>210</v>
      </c>
      <c r="U1" s="244" t="s">
        <v>211</v>
      </c>
      <c r="V1" s="244" t="s">
        <v>212</v>
      </c>
    </row>
    <row r="3" spans="1:22" x14ac:dyDescent="0.25">
      <c r="A3" t="s">
        <v>215</v>
      </c>
      <c r="B3" t="s">
        <v>214</v>
      </c>
      <c r="C3" s="239" t="s">
        <v>194</v>
      </c>
      <c r="D3" s="239" t="s">
        <v>195</v>
      </c>
      <c r="E3" s="239" t="s">
        <v>196</v>
      </c>
      <c r="F3" s="239" t="s">
        <v>197</v>
      </c>
      <c r="G3" s="239" t="s">
        <v>198</v>
      </c>
      <c r="H3" s="239" t="s">
        <v>199</v>
      </c>
      <c r="I3" s="239" t="s">
        <v>200</v>
      </c>
      <c r="J3" s="239" t="s">
        <v>201</v>
      </c>
      <c r="K3" s="239" t="s">
        <v>99</v>
      </c>
      <c r="L3" s="239" t="s">
        <v>202</v>
      </c>
      <c r="M3" s="239" t="s">
        <v>203</v>
      </c>
      <c r="N3" s="239" t="s">
        <v>204</v>
      </c>
      <c r="O3" s="239" t="s">
        <v>205</v>
      </c>
      <c r="P3" s="239" t="s">
        <v>206</v>
      </c>
      <c r="Q3" s="239" t="s">
        <v>207</v>
      </c>
      <c r="R3" s="239" t="s">
        <v>208</v>
      </c>
      <c r="S3" s="239" t="s">
        <v>209</v>
      </c>
      <c r="T3" s="239" t="s">
        <v>210</v>
      </c>
      <c r="U3" s="239" t="s">
        <v>212</v>
      </c>
      <c r="V3" s="239" t="s">
        <v>212</v>
      </c>
    </row>
    <row r="4" spans="1:22" x14ac:dyDescent="0.25">
      <c r="A4">
        <f>+U4</f>
        <v>1704</v>
      </c>
      <c r="B4" s="154">
        <f>IF(O4="PESO",VALUE(K4),K4*EERR!$D$2)</f>
        <v>167037.57999999999</v>
      </c>
      <c r="C4" s="239" t="s">
        <v>795</v>
      </c>
      <c r="D4" s="239"/>
      <c r="E4" s="239" t="s">
        <v>226</v>
      </c>
      <c r="F4" s="239"/>
      <c r="G4" s="239" t="s">
        <v>229</v>
      </c>
      <c r="H4" s="240"/>
      <c r="I4" s="240"/>
      <c r="J4" s="240"/>
      <c r="K4" s="240">
        <v>188.53</v>
      </c>
      <c r="L4" s="239"/>
      <c r="M4" s="240"/>
      <c r="N4" s="241"/>
      <c r="O4" s="242" t="s">
        <v>227</v>
      </c>
      <c r="P4" s="239"/>
      <c r="Q4" s="239" t="s">
        <v>796</v>
      </c>
      <c r="R4" s="239"/>
      <c r="S4" s="239"/>
      <c r="T4" s="239"/>
      <c r="U4" s="239">
        <v>1704</v>
      </c>
      <c r="V4" s="239"/>
    </row>
    <row r="5" spans="1:22" x14ac:dyDescent="0.25">
      <c r="A5">
        <f t="shared" ref="A5:A68" si="0">+U5</f>
        <v>1705</v>
      </c>
      <c r="B5" s="154">
        <f>IF(O5="PESO",VALUE(K5),K5*EERR!$D$2)</f>
        <v>490879.43999999994</v>
      </c>
      <c r="C5" s="239" t="s">
        <v>797</v>
      </c>
      <c r="D5" s="239"/>
      <c r="E5" s="239" t="s">
        <v>226</v>
      </c>
      <c r="F5" s="239"/>
      <c r="G5" s="239" t="s">
        <v>229</v>
      </c>
      <c r="H5" s="240"/>
      <c r="I5" s="240"/>
      <c r="J5" s="240"/>
      <c r="K5" s="240">
        <v>554.04</v>
      </c>
      <c r="L5" s="239"/>
      <c r="M5" s="240"/>
      <c r="N5" s="241"/>
      <c r="O5" s="242" t="s">
        <v>227</v>
      </c>
      <c r="P5" s="239"/>
      <c r="Q5" s="239" t="s">
        <v>798</v>
      </c>
      <c r="R5" s="239"/>
      <c r="S5" s="239"/>
      <c r="T5" s="239"/>
      <c r="U5" s="239">
        <v>1705</v>
      </c>
      <c r="V5" s="239"/>
    </row>
    <row r="6" spans="1:22" x14ac:dyDescent="0.25">
      <c r="A6">
        <f t="shared" si="0"/>
        <v>1706</v>
      </c>
      <c r="B6" s="154">
        <f>IF(O6="PESO",VALUE(K6),K6*EERR!$D$2)</f>
        <v>329592</v>
      </c>
      <c r="C6" s="239" t="s">
        <v>799</v>
      </c>
      <c r="D6" s="239"/>
      <c r="E6" s="239" t="s">
        <v>226</v>
      </c>
      <c r="F6" s="239"/>
      <c r="G6" s="239" t="s">
        <v>229</v>
      </c>
      <c r="H6" s="240"/>
      <c r="I6" s="240"/>
      <c r="J6" s="240"/>
      <c r="K6" s="240">
        <v>372</v>
      </c>
      <c r="L6" s="239"/>
      <c r="M6" s="240"/>
      <c r="N6" s="241"/>
      <c r="O6" s="242" t="s">
        <v>227</v>
      </c>
      <c r="P6" s="239"/>
      <c r="Q6" s="239" t="s">
        <v>800</v>
      </c>
      <c r="R6" s="239"/>
      <c r="S6" s="239"/>
      <c r="T6" s="239"/>
      <c r="U6" s="239">
        <v>1706</v>
      </c>
      <c r="V6" s="239"/>
    </row>
    <row r="7" spans="1:22" x14ac:dyDescent="0.25">
      <c r="A7">
        <f t="shared" si="0"/>
        <v>1707</v>
      </c>
      <c r="B7" s="154">
        <f>IF(O7="PESO",VALUE(K7),K7*EERR!$D$2)</f>
        <v>185599.28</v>
      </c>
      <c r="C7" s="239" t="s">
        <v>801</v>
      </c>
      <c r="D7" s="239"/>
      <c r="E7" s="239" t="s">
        <v>226</v>
      </c>
      <c r="F7" s="239"/>
      <c r="G7" s="239" t="s">
        <v>229</v>
      </c>
      <c r="H7" s="240"/>
      <c r="I7" s="240"/>
      <c r="J7" s="240"/>
      <c r="K7" s="240">
        <v>209.48</v>
      </c>
      <c r="L7" s="239"/>
      <c r="M7" s="240"/>
      <c r="N7" s="241"/>
      <c r="O7" s="242" t="s">
        <v>227</v>
      </c>
      <c r="P7" s="239"/>
      <c r="Q7" s="239" t="s">
        <v>802</v>
      </c>
      <c r="R7" s="239"/>
      <c r="S7" s="239"/>
      <c r="T7" s="239"/>
      <c r="U7" s="239">
        <v>1707</v>
      </c>
      <c r="V7" s="239"/>
    </row>
    <row r="8" spans="1:22" x14ac:dyDescent="0.25">
      <c r="A8">
        <f t="shared" si="0"/>
        <v>1708</v>
      </c>
      <c r="B8" s="154">
        <f>IF(O8="PESO",VALUE(K8),K8*EERR!$D$2)</f>
        <v>363614.39999999997</v>
      </c>
      <c r="C8" s="239" t="s">
        <v>803</v>
      </c>
      <c r="D8" s="239"/>
      <c r="E8" s="239" t="s">
        <v>226</v>
      </c>
      <c r="F8" s="239"/>
      <c r="G8" s="239" t="s">
        <v>229</v>
      </c>
      <c r="H8" s="240"/>
      <c r="I8" s="240"/>
      <c r="J8" s="240"/>
      <c r="K8" s="240">
        <v>410.4</v>
      </c>
      <c r="L8" s="239"/>
      <c r="M8" s="240"/>
      <c r="N8" s="241"/>
      <c r="O8" s="242" t="s">
        <v>227</v>
      </c>
      <c r="P8" s="239"/>
      <c r="Q8" s="239" t="s">
        <v>804</v>
      </c>
      <c r="R8" s="239"/>
      <c r="S8" s="239"/>
      <c r="T8" s="239"/>
      <c r="U8" s="239">
        <v>1708</v>
      </c>
      <c r="V8" s="239"/>
    </row>
    <row r="9" spans="1:22" x14ac:dyDescent="0.25">
      <c r="A9">
        <f t="shared" si="0"/>
        <v>1709</v>
      </c>
      <c r="B9" s="154">
        <f>IF(O9="PESO",VALUE(K9),K9*EERR!$D$2)</f>
        <v>167037.57999999999</v>
      </c>
      <c r="C9" s="239" t="s">
        <v>805</v>
      </c>
      <c r="D9" s="239"/>
      <c r="E9" s="239" t="s">
        <v>226</v>
      </c>
      <c r="F9" s="239"/>
      <c r="G9" s="239" t="s">
        <v>229</v>
      </c>
      <c r="H9" s="240"/>
      <c r="I9" s="240"/>
      <c r="J9" s="240"/>
      <c r="K9" s="240">
        <v>188.53</v>
      </c>
      <c r="L9" s="239"/>
      <c r="M9" s="240"/>
      <c r="N9" s="241"/>
      <c r="O9" s="242" t="s">
        <v>227</v>
      </c>
      <c r="P9" s="239"/>
      <c r="Q9" s="239" t="s">
        <v>806</v>
      </c>
      <c r="R9" s="239"/>
      <c r="S9" s="239"/>
      <c r="T9" s="239"/>
      <c r="U9" s="239">
        <v>1709</v>
      </c>
      <c r="V9" s="239"/>
    </row>
    <row r="10" spans="1:22" x14ac:dyDescent="0.25">
      <c r="A10">
        <f t="shared" si="0"/>
        <v>1710</v>
      </c>
      <c r="B10" s="154">
        <f>IF(O10="PESO",VALUE(K10),K10*EERR!$D$2)</f>
        <v>185599.28</v>
      </c>
      <c r="C10" s="239" t="s">
        <v>807</v>
      </c>
      <c r="D10" s="239"/>
      <c r="E10" s="239" t="s">
        <v>226</v>
      </c>
      <c r="F10" s="239"/>
      <c r="G10" s="239" t="s">
        <v>229</v>
      </c>
      <c r="H10" s="240"/>
      <c r="I10" s="240"/>
      <c r="J10" s="240"/>
      <c r="K10" s="240">
        <v>209.48</v>
      </c>
      <c r="L10" s="239"/>
      <c r="M10" s="240"/>
      <c r="N10" s="241"/>
      <c r="O10" s="242" t="s">
        <v>227</v>
      </c>
      <c r="P10" s="239"/>
      <c r="Q10" s="239" t="s">
        <v>808</v>
      </c>
      <c r="R10" s="239"/>
      <c r="S10" s="239"/>
      <c r="T10" s="239"/>
      <c r="U10" s="239">
        <v>1710</v>
      </c>
      <c r="V10" s="239"/>
    </row>
    <row r="11" spans="1:22" x14ac:dyDescent="0.25">
      <c r="A11">
        <f t="shared" si="0"/>
        <v>1711</v>
      </c>
      <c r="B11" s="154">
        <f>IF(O11="PESO",VALUE(K11),K11*EERR!$D$2)</f>
        <v>168340</v>
      </c>
      <c r="C11" s="239" t="s">
        <v>809</v>
      </c>
      <c r="D11" s="239"/>
      <c r="E11" s="239" t="s">
        <v>226</v>
      </c>
      <c r="F11" s="239"/>
      <c r="G11" s="239" t="s">
        <v>229</v>
      </c>
      <c r="H11" s="240"/>
      <c r="I11" s="240"/>
      <c r="J11" s="240"/>
      <c r="K11" s="240">
        <v>190</v>
      </c>
      <c r="L11" s="239"/>
      <c r="M11" s="240"/>
      <c r="N11" s="241"/>
      <c r="O11" s="242" t="s">
        <v>227</v>
      </c>
      <c r="P11" s="239"/>
      <c r="Q11" s="239" t="s">
        <v>810</v>
      </c>
      <c r="R11" s="239"/>
      <c r="S11" s="239"/>
      <c r="T11" s="239"/>
      <c r="U11" s="239">
        <v>1711</v>
      </c>
      <c r="V11" s="239"/>
    </row>
    <row r="12" spans="1:22" x14ac:dyDescent="0.25">
      <c r="A12">
        <f t="shared" si="0"/>
        <v>1712</v>
      </c>
      <c r="B12" s="154">
        <f>IF(O12="PESO",VALUE(K12),K12*EERR!$D$2)</f>
        <v>327252.96000000002</v>
      </c>
      <c r="C12" s="239" t="s">
        <v>811</v>
      </c>
      <c r="D12" s="239"/>
      <c r="E12" s="239" t="s">
        <v>226</v>
      </c>
      <c r="F12" s="239"/>
      <c r="G12" s="239" t="s">
        <v>229</v>
      </c>
      <c r="H12" s="240"/>
      <c r="I12" s="240"/>
      <c r="J12" s="240"/>
      <c r="K12" s="240">
        <v>369.36</v>
      </c>
      <c r="L12" s="239"/>
      <c r="M12" s="240"/>
      <c r="N12" s="241"/>
      <c r="O12" s="242" t="s">
        <v>227</v>
      </c>
      <c r="P12" s="239"/>
      <c r="Q12" s="239" t="s">
        <v>812</v>
      </c>
      <c r="R12" s="239"/>
      <c r="S12" s="239"/>
      <c r="T12" s="239"/>
      <c r="U12" s="239">
        <v>1712</v>
      </c>
      <c r="V12" s="239"/>
    </row>
    <row r="13" spans="1:22" x14ac:dyDescent="0.25">
      <c r="A13">
        <f t="shared" si="0"/>
        <v>1713</v>
      </c>
      <c r="B13" s="154">
        <f>IF(O13="PESO",VALUE(K13),K13*EERR!$D$2)</f>
        <v>194432.69999999998</v>
      </c>
      <c r="C13" s="239" t="s">
        <v>813</v>
      </c>
      <c r="D13" s="239"/>
      <c r="E13" s="239" t="s">
        <v>226</v>
      </c>
      <c r="F13" s="239"/>
      <c r="G13" s="239" t="s">
        <v>229</v>
      </c>
      <c r="H13" s="240"/>
      <c r="I13" s="240"/>
      <c r="J13" s="240"/>
      <c r="K13" s="240">
        <v>219.45</v>
      </c>
      <c r="L13" s="239"/>
      <c r="M13" s="240"/>
      <c r="N13" s="241"/>
      <c r="O13" s="242" t="s">
        <v>227</v>
      </c>
      <c r="P13" s="239"/>
      <c r="Q13" s="239" t="s">
        <v>814</v>
      </c>
      <c r="R13" s="239"/>
      <c r="S13" s="239"/>
      <c r="T13" s="239"/>
      <c r="U13" s="239">
        <v>1713</v>
      </c>
      <c r="V13" s="239"/>
    </row>
    <row r="14" spans="1:22" x14ac:dyDescent="0.25">
      <c r="A14">
        <f t="shared" si="0"/>
        <v>1714</v>
      </c>
      <c r="B14" s="154">
        <f>IF(O14="PESO",VALUE(K14),K14*EERR!$D$2)</f>
        <v>194432.69999999998</v>
      </c>
      <c r="C14" s="239" t="s">
        <v>815</v>
      </c>
      <c r="D14" s="239"/>
      <c r="E14" s="239" t="s">
        <v>226</v>
      </c>
      <c r="F14" s="239"/>
      <c r="G14" s="239" t="s">
        <v>229</v>
      </c>
      <c r="H14" s="240"/>
      <c r="I14" s="240"/>
      <c r="J14" s="240"/>
      <c r="K14" s="240">
        <v>219.45</v>
      </c>
      <c r="L14" s="239"/>
      <c r="M14" s="240"/>
      <c r="N14" s="241"/>
      <c r="O14" s="242" t="s">
        <v>227</v>
      </c>
      <c r="P14" s="239"/>
      <c r="Q14" s="239" t="s">
        <v>816</v>
      </c>
      <c r="R14" s="239"/>
      <c r="S14" s="239"/>
      <c r="T14" s="239"/>
      <c r="U14" s="239">
        <v>1714</v>
      </c>
      <c r="V14" s="239"/>
    </row>
    <row r="15" spans="1:22" x14ac:dyDescent="0.25">
      <c r="A15">
        <f t="shared" si="0"/>
        <v>1715</v>
      </c>
      <c r="B15" s="154">
        <f>IF(O15="PESO",VALUE(K15),K15*EERR!$D$2)</f>
        <v>194432.69999999998</v>
      </c>
      <c r="C15" s="239" t="s">
        <v>817</v>
      </c>
      <c r="D15" s="239"/>
      <c r="E15" s="239" t="s">
        <v>226</v>
      </c>
      <c r="F15" s="239"/>
      <c r="G15" s="239" t="s">
        <v>229</v>
      </c>
      <c r="H15" s="240"/>
      <c r="I15" s="240"/>
      <c r="J15" s="240"/>
      <c r="K15" s="240">
        <v>219.45</v>
      </c>
      <c r="L15" s="239"/>
      <c r="M15" s="240"/>
      <c r="N15" s="241"/>
      <c r="O15" s="242" t="s">
        <v>227</v>
      </c>
      <c r="P15" s="239"/>
      <c r="Q15" s="239" t="s">
        <v>818</v>
      </c>
      <c r="R15" s="239"/>
      <c r="S15" s="239"/>
      <c r="T15" s="239"/>
      <c r="U15" s="239">
        <v>1715</v>
      </c>
      <c r="V15" s="239"/>
    </row>
    <row r="16" spans="1:22" x14ac:dyDescent="0.25">
      <c r="A16">
        <f t="shared" si="0"/>
        <v>1716</v>
      </c>
      <c r="B16" s="154">
        <f>IF(O16="PESO",VALUE(K16),K16*EERR!$D$2)</f>
        <v>194432.69999999998</v>
      </c>
      <c r="C16" s="239" t="s">
        <v>819</v>
      </c>
      <c r="D16" s="239"/>
      <c r="E16" s="239" t="s">
        <v>226</v>
      </c>
      <c r="F16" s="239"/>
      <c r="G16" s="239" t="s">
        <v>229</v>
      </c>
      <c r="H16" s="240"/>
      <c r="I16" s="240"/>
      <c r="J16" s="240"/>
      <c r="K16" s="240">
        <v>219.45</v>
      </c>
      <c r="L16" s="239"/>
      <c r="M16" s="240"/>
      <c r="N16" s="241"/>
      <c r="O16" s="242" t="s">
        <v>227</v>
      </c>
      <c r="P16" s="239"/>
      <c r="Q16" s="239" t="s">
        <v>820</v>
      </c>
      <c r="R16" s="239"/>
      <c r="S16" s="239"/>
      <c r="T16" s="239"/>
      <c r="U16" s="239">
        <v>1716</v>
      </c>
      <c r="V16" s="239"/>
    </row>
    <row r="17" spans="1:22" x14ac:dyDescent="0.25">
      <c r="A17">
        <f t="shared" si="0"/>
        <v>1717</v>
      </c>
      <c r="B17" s="154">
        <f>IF(O17="PESO",VALUE(K17),K17*EERR!$D$2)</f>
        <v>185599.28</v>
      </c>
      <c r="C17" s="239" t="s">
        <v>821</v>
      </c>
      <c r="D17" s="239"/>
      <c r="E17" s="239" t="s">
        <v>226</v>
      </c>
      <c r="F17" s="239"/>
      <c r="G17" s="239" t="s">
        <v>229</v>
      </c>
      <c r="H17" s="240"/>
      <c r="I17" s="240"/>
      <c r="J17" s="240"/>
      <c r="K17" s="240">
        <v>209.48</v>
      </c>
      <c r="L17" s="239"/>
      <c r="M17" s="240"/>
      <c r="N17" s="241"/>
      <c r="O17" s="242" t="s">
        <v>227</v>
      </c>
      <c r="P17" s="239"/>
      <c r="Q17" s="239" t="s">
        <v>822</v>
      </c>
      <c r="R17" s="239"/>
      <c r="S17" s="239"/>
      <c r="T17" s="239"/>
      <c r="U17" s="239">
        <v>1717</v>
      </c>
      <c r="V17" s="239"/>
    </row>
    <row r="18" spans="1:22" x14ac:dyDescent="0.25">
      <c r="A18">
        <f t="shared" si="0"/>
        <v>1718</v>
      </c>
      <c r="B18" s="154">
        <f>IF(O18="PESO",VALUE(K18),K18*EERR!$D$2)</f>
        <v>174993.86</v>
      </c>
      <c r="C18" s="239" t="s">
        <v>823</v>
      </c>
      <c r="D18" s="239"/>
      <c r="E18" s="239" t="s">
        <v>226</v>
      </c>
      <c r="F18" s="239"/>
      <c r="G18" s="239" t="s">
        <v>229</v>
      </c>
      <c r="H18" s="240"/>
      <c r="I18" s="240"/>
      <c r="J18" s="240"/>
      <c r="K18" s="240">
        <v>197.51</v>
      </c>
      <c r="L18" s="239"/>
      <c r="M18" s="240"/>
      <c r="N18" s="241"/>
      <c r="O18" s="242" t="s">
        <v>227</v>
      </c>
      <c r="P18" s="239"/>
      <c r="Q18" s="239" t="s">
        <v>824</v>
      </c>
      <c r="R18" s="239"/>
      <c r="S18" s="239"/>
      <c r="T18" s="239"/>
      <c r="U18" s="239">
        <v>1718</v>
      </c>
      <c r="V18" s="239"/>
    </row>
    <row r="19" spans="1:22" x14ac:dyDescent="0.25">
      <c r="A19">
        <f t="shared" si="0"/>
        <v>1719</v>
      </c>
      <c r="B19" s="154">
        <f>IF(O19="PESO",VALUE(K19),K19*EERR!$D$2)</f>
        <v>181807.19999999998</v>
      </c>
      <c r="C19" s="239" t="s">
        <v>825</v>
      </c>
      <c r="D19" s="239"/>
      <c r="E19" s="239" t="s">
        <v>226</v>
      </c>
      <c r="F19" s="239"/>
      <c r="G19" s="239" t="s">
        <v>229</v>
      </c>
      <c r="H19" s="240"/>
      <c r="I19" s="240"/>
      <c r="J19" s="240"/>
      <c r="K19" s="240">
        <v>205.2</v>
      </c>
      <c r="L19" s="239"/>
      <c r="M19" s="240"/>
      <c r="N19" s="241"/>
      <c r="O19" s="242" t="s">
        <v>227</v>
      </c>
      <c r="P19" s="239"/>
      <c r="Q19" s="239" t="s">
        <v>826</v>
      </c>
      <c r="R19" s="239"/>
      <c r="S19" s="239"/>
      <c r="T19" s="239"/>
      <c r="U19" s="239">
        <v>1719</v>
      </c>
      <c r="V19" s="239"/>
    </row>
    <row r="20" spans="1:22" x14ac:dyDescent="0.25">
      <c r="A20">
        <f t="shared" si="0"/>
        <v>1720</v>
      </c>
      <c r="B20" s="154">
        <f>IF(O20="PESO",VALUE(K20),K20*EERR!$D$2)</f>
        <v>185599.28</v>
      </c>
      <c r="C20" s="239" t="s">
        <v>827</v>
      </c>
      <c r="D20" s="239"/>
      <c r="E20" s="239" t="s">
        <v>226</v>
      </c>
      <c r="F20" s="239"/>
      <c r="G20" s="239" t="s">
        <v>229</v>
      </c>
      <c r="H20" s="240"/>
      <c r="I20" s="240"/>
      <c r="J20" s="240"/>
      <c r="K20" s="240">
        <v>209.48</v>
      </c>
      <c r="L20" s="239"/>
      <c r="M20" s="240"/>
      <c r="N20" s="241"/>
      <c r="O20" s="242" t="s">
        <v>227</v>
      </c>
      <c r="P20" s="239"/>
      <c r="Q20" s="239" t="s">
        <v>828</v>
      </c>
      <c r="R20" s="239"/>
      <c r="S20" s="239"/>
      <c r="T20" s="239"/>
      <c r="U20" s="239">
        <v>1720</v>
      </c>
      <c r="V20" s="239"/>
    </row>
    <row r="21" spans="1:22" x14ac:dyDescent="0.25">
      <c r="A21">
        <f t="shared" si="0"/>
        <v>1721</v>
      </c>
      <c r="B21" s="154">
        <f>IF(O21="PESO",VALUE(K21),K21*EERR!$D$2)</f>
        <v>654505.92000000004</v>
      </c>
      <c r="C21" s="239" t="s">
        <v>829</v>
      </c>
      <c r="D21" s="239"/>
      <c r="E21" s="239" t="s">
        <v>226</v>
      </c>
      <c r="F21" s="239"/>
      <c r="G21" s="239" t="s">
        <v>229</v>
      </c>
      <c r="H21" s="240"/>
      <c r="I21" s="240"/>
      <c r="J21" s="240"/>
      <c r="K21" s="240">
        <v>738.72</v>
      </c>
      <c r="L21" s="239"/>
      <c r="M21" s="240"/>
      <c r="N21" s="241"/>
      <c r="O21" s="242" t="s">
        <v>227</v>
      </c>
      <c r="P21" s="239"/>
      <c r="Q21" s="239" t="s">
        <v>830</v>
      </c>
      <c r="R21" s="239"/>
      <c r="S21" s="239"/>
      <c r="T21" s="239"/>
      <c r="U21" s="239">
        <v>1721</v>
      </c>
      <c r="V21" s="239"/>
    </row>
    <row r="22" spans="1:22" x14ac:dyDescent="0.25">
      <c r="A22">
        <f t="shared" si="0"/>
        <v>1722</v>
      </c>
      <c r="B22" s="154">
        <f>IF(O22="PESO",VALUE(K22),K22*EERR!$D$2)</f>
        <v>2000</v>
      </c>
      <c r="C22" s="239" t="s">
        <v>831</v>
      </c>
      <c r="D22" s="239"/>
      <c r="E22" s="239" t="s">
        <v>189</v>
      </c>
      <c r="F22" s="239"/>
      <c r="G22" s="239" t="s">
        <v>235</v>
      </c>
      <c r="H22" s="240"/>
      <c r="I22" s="240"/>
      <c r="J22" s="240"/>
      <c r="K22" s="240">
        <v>2000</v>
      </c>
      <c r="L22" s="239"/>
      <c r="M22" s="240"/>
      <c r="N22" s="241"/>
      <c r="O22" s="242" t="s">
        <v>213</v>
      </c>
      <c r="P22" s="239"/>
      <c r="Q22" s="239" t="s">
        <v>832</v>
      </c>
      <c r="R22" s="239"/>
      <c r="S22" s="239"/>
      <c r="T22" s="239"/>
      <c r="U22" s="239">
        <v>1722</v>
      </c>
      <c r="V22" s="239"/>
    </row>
    <row r="23" spans="1:22" x14ac:dyDescent="0.25">
      <c r="A23">
        <f t="shared" si="0"/>
        <v>1723</v>
      </c>
      <c r="B23" s="154">
        <f>IF(O23="PESO",VALUE(K23),K23*EERR!$D$2)</f>
        <v>545421.6</v>
      </c>
      <c r="C23" s="239" t="s">
        <v>833</v>
      </c>
      <c r="D23" s="239"/>
      <c r="E23" s="239" t="s">
        <v>226</v>
      </c>
      <c r="F23" s="239"/>
      <c r="G23" s="239" t="s">
        <v>229</v>
      </c>
      <c r="H23" s="240"/>
      <c r="I23" s="240"/>
      <c r="J23" s="240"/>
      <c r="K23" s="240">
        <v>615.6</v>
      </c>
      <c r="L23" s="239"/>
      <c r="M23" s="240"/>
      <c r="N23" s="241"/>
      <c r="O23" s="242" t="s">
        <v>227</v>
      </c>
      <c r="P23" s="239"/>
      <c r="Q23" s="239" t="s">
        <v>834</v>
      </c>
      <c r="R23" s="239"/>
      <c r="S23" s="239"/>
      <c r="T23" s="239"/>
      <c r="U23" s="239">
        <v>1723</v>
      </c>
      <c r="V23" s="239"/>
    </row>
    <row r="24" spans="1:22" x14ac:dyDescent="0.25">
      <c r="A24">
        <f t="shared" si="0"/>
        <v>1724</v>
      </c>
      <c r="B24" s="154">
        <f>IF(O24="PESO",VALUE(K24),K24*EERR!$D$2)</f>
        <v>503770.74000000005</v>
      </c>
      <c r="C24" s="239" t="s">
        <v>835</v>
      </c>
      <c r="D24" s="239"/>
      <c r="E24" s="239" t="s">
        <v>226</v>
      </c>
      <c r="F24" s="239"/>
      <c r="G24" s="239" t="s">
        <v>229</v>
      </c>
      <c r="H24" s="240"/>
      <c r="I24" s="240"/>
      <c r="J24" s="240"/>
      <c r="K24" s="240">
        <v>568.59</v>
      </c>
      <c r="L24" s="239"/>
      <c r="M24" s="240"/>
      <c r="N24" s="241"/>
      <c r="O24" s="242" t="s">
        <v>227</v>
      </c>
      <c r="P24" s="239"/>
      <c r="Q24" s="239" t="s">
        <v>836</v>
      </c>
      <c r="R24" s="239"/>
      <c r="S24" s="239"/>
      <c r="T24" s="239"/>
      <c r="U24" s="239">
        <v>1724</v>
      </c>
      <c r="V24" s="239"/>
    </row>
    <row r="25" spans="1:22" x14ac:dyDescent="0.25">
      <c r="A25">
        <f t="shared" si="0"/>
        <v>1725</v>
      </c>
      <c r="B25" s="154">
        <f>IF(O25="PESO",VALUE(K25),K25*EERR!$D$2)</f>
        <v>176757</v>
      </c>
      <c r="C25" s="239" t="s">
        <v>837</v>
      </c>
      <c r="D25" s="239"/>
      <c r="E25" s="239" t="s">
        <v>226</v>
      </c>
      <c r="F25" s="239"/>
      <c r="G25" s="239" t="s">
        <v>229</v>
      </c>
      <c r="H25" s="240"/>
      <c r="I25" s="240"/>
      <c r="J25" s="240"/>
      <c r="K25" s="240">
        <v>199.5</v>
      </c>
      <c r="L25" s="239"/>
      <c r="M25" s="240"/>
      <c r="N25" s="241"/>
      <c r="O25" s="242" t="s">
        <v>227</v>
      </c>
      <c r="P25" s="239"/>
      <c r="Q25" s="239" t="s">
        <v>838</v>
      </c>
      <c r="R25" s="239"/>
      <c r="S25" s="239"/>
      <c r="T25" s="239"/>
      <c r="U25" s="239">
        <v>1725</v>
      </c>
      <c r="V25" s="239"/>
    </row>
    <row r="26" spans="1:22" x14ac:dyDescent="0.25">
      <c r="A26">
        <f t="shared" si="0"/>
        <v>1726</v>
      </c>
      <c r="B26" s="154">
        <f>IF(O26="PESO",VALUE(K26),K26*EERR!$D$2)</f>
        <v>349987.72</v>
      </c>
      <c r="C26" s="239" t="s">
        <v>839</v>
      </c>
      <c r="D26" s="239"/>
      <c r="E26" s="239" t="s">
        <v>226</v>
      </c>
      <c r="F26" s="239"/>
      <c r="G26" s="239" t="s">
        <v>229</v>
      </c>
      <c r="H26" s="240"/>
      <c r="I26" s="240"/>
      <c r="J26" s="240"/>
      <c r="K26" s="240">
        <v>395.02</v>
      </c>
      <c r="L26" s="239"/>
      <c r="M26" s="240"/>
      <c r="N26" s="241"/>
      <c r="O26" s="242" t="s">
        <v>227</v>
      </c>
      <c r="P26" s="239"/>
      <c r="Q26" s="239" t="s">
        <v>650</v>
      </c>
      <c r="R26" s="239"/>
      <c r="S26" s="239"/>
      <c r="T26" s="239"/>
      <c r="U26" s="239">
        <v>1726</v>
      </c>
      <c r="V26" s="239"/>
    </row>
    <row r="27" spans="1:22" x14ac:dyDescent="0.25">
      <c r="A27">
        <f t="shared" si="0"/>
        <v>1727</v>
      </c>
      <c r="B27" s="154">
        <f>IF(O27="PESO",VALUE(K27),K27*EERR!$D$2)</f>
        <v>167037.57999999999</v>
      </c>
      <c r="C27" s="239" t="s">
        <v>840</v>
      </c>
      <c r="D27" s="239"/>
      <c r="E27" s="239" t="s">
        <v>226</v>
      </c>
      <c r="F27" s="239"/>
      <c r="G27" s="239" t="s">
        <v>229</v>
      </c>
      <c r="H27" s="240"/>
      <c r="I27" s="240"/>
      <c r="J27" s="240"/>
      <c r="K27" s="240">
        <v>188.53</v>
      </c>
      <c r="L27" s="239"/>
      <c r="M27" s="240"/>
      <c r="N27" s="241"/>
      <c r="O27" s="242" t="s">
        <v>227</v>
      </c>
      <c r="P27" s="239"/>
      <c r="Q27" s="239" t="s">
        <v>841</v>
      </c>
      <c r="R27" s="239"/>
      <c r="S27" s="239"/>
      <c r="T27" s="239"/>
      <c r="U27" s="239">
        <v>1727</v>
      </c>
      <c r="V27" s="239"/>
    </row>
    <row r="28" spans="1:22" x14ac:dyDescent="0.25">
      <c r="A28">
        <f t="shared" si="0"/>
        <v>1728</v>
      </c>
      <c r="B28" s="154">
        <f>IF(O28="PESO",VALUE(K28),K28*EERR!$D$2)</f>
        <v>546192.42000000004</v>
      </c>
      <c r="C28" s="239" t="s">
        <v>842</v>
      </c>
      <c r="D28" s="239"/>
      <c r="E28" s="239" t="s">
        <v>226</v>
      </c>
      <c r="F28" s="239"/>
      <c r="G28" s="239" t="s">
        <v>229</v>
      </c>
      <c r="H28" s="240"/>
      <c r="I28" s="240"/>
      <c r="J28" s="240"/>
      <c r="K28" s="240">
        <v>616.47</v>
      </c>
      <c r="L28" s="239"/>
      <c r="M28" s="240"/>
      <c r="N28" s="241"/>
      <c r="O28" s="242" t="s">
        <v>227</v>
      </c>
      <c r="P28" s="239"/>
      <c r="Q28" s="239" t="s">
        <v>652</v>
      </c>
      <c r="R28" s="239"/>
      <c r="S28" s="239"/>
      <c r="T28" s="239"/>
      <c r="U28" s="239">
        <v>1728</v>
      </c>
      <c r="V28" s="239"/>
    </row>
    <row r="29" spans="1:22" x14ac:dyDescent="0.25">
      <c r="A29">
        <f t="shared" si="0"/>
        <v>1729</v>
      </c>
      <c r="B29" s="154">
        <f>IF(O29="PESO",VALUE(K29),K29*EERR!$D$2)</f>
        <v>388865.39999999997</v>
      </c>
      <c r="C29" s="239" t="s">
        <v>843</v>
      </c>
      <c r="D29" s="239"/>
      <c r="E29" s="239" t="s">
        <v>226</v>
      </c>
      <c r="F29" s="239"/>
      <c r="G29" s="239" t="s">
        <v>229</v>
      </c>
      <c r="H29" s="240"/>
      <c r="I29" s="240"/>
      <c r="J29" s="240"/>
      <c r="K29" s="240">
        <v>438.9</v>
      </c>
      <c r="L29" s="239"/>
      <c r="M29" s="240"/>
      <c r="N29" s="241"/>
      <c r="O29" s="242" t="s">
        <v>227</v>
      </c>
      <c r="P29" s="239"/>
      <c r="Q29" s="239" t="s">
        <v>844</v>
      </c>
      <c r="R29" s="239"/>
      <c r="S29" s="239"/>
      <c r="T29" s="239"/>
      <c r="U29" s="239">
        <v>1729</v>
      </c>
      <c r="V29" s="239"/>
    </row>
    <row r="30" spans="1:22" x14ac:dyDescent="0.25">
      <c r="A30">
        <f t="shared" si="0"/>
        <v>1729</v>
      </c>
      <c r="B30" s="154">
        <f>IF(O30="PESO",VALUE(K30),K30*EERR!$D$2)</f>
        <v>-388865.39999999997</v>
      </c>
      <c r="C30" s="239" t="s">
        <v>843</v>
      </c>
      <c r="D30" s="239"/>
      <c r="E30" s="239" t="s">
        <v>226</v>
      </c>
      <c r="F30" s="239"/>
      <c r="G30" s="239" t="s">
        <v>281</v>
      </c>
      <c r="H30" s="240"/>
      <c r="I30" s="240"/>
      <c r="J30" s="240"/>
      <c r="K30" s="240">
        <v>-438.9</v>
      </c>
      <c r="L30" s="239"/>
      <c r="M30" s="240"/>
      <c r="N30" s="241"/>
      <c r="O30" s="242" t="s">
        <v>227</v>
      </c>
      <c r="P30" s="239"/>
      <c r="Q30" s="239" t="s">
        <v>844</v>
      </c>
      <c r="R30" s="239"/>
      <c r="S30" s="239"/>
      <c r="T30" s="239"/>
      <c r="U30" s="239">
        <v>1729</v>
      </c>
      <c r="V30" s="239"/>
    </row>
    <row r="31" spans="1:22" x14ac:dyDescent="0.25">
      <c r="A31">
        <f t="shared" si="0"/>
        <v>1730</v>
      </c>
      <c r="B31" s="154">
        <f>IF(O31="PESO",VALUE(K31),K31*EERR!$D$2)</f>
        <v>202008</v>
      </c>
      <c r="C31" s="239" t="s">
        <v>845</v>
      </c>
      <c r="D31" s="239"/>
      <c r="E31" s="239" t="s">
        <v>226</v>
      </c>
      <c r="F31" s="239"/>
      <c r="G31" s="239" t="s">
        <v>229</v>
      </c>
      <c r="H31" s="240"/>
      <c r="I31" s="240"/>
      <c r="J31" s="240"/>
      <c r="K31" s="240">
        <v>228</v>
      </c>
      <c r="L31" s="239"/>
      <c r="M31" s="240"/>
      <c r="N31" s="241"/>
      <c r="O31" s="242" t="s">
        <v>227</v>
      </c>
      <c r="P31" s="239"/>
      <c r="Q31" s="239" t="s">
        <v>846</v>
      </c>
      <c r="R31" s="239"/>
      <c r="S31" s="239"/>
      <c r="T31" s="239"/>
      <c r="U31" s="239">
        <v>1730</v>
      </c>
      <c r="V31" s="239"/>
    </row>
    <row r="32" spans="1:22" x14ac:dyDescent="0.25">
      <c r="A32">
        <f t="shared" si="0"/>
        <v>1731</v>
      </c>
      <c r="B32" s="154">
        <f>IF(O32="PESO",VALUE(K32),K32*EERR!$D$2)</f>
        <v>336680</v>
      </c>
      <c r="C32" s="239" t="s">
        <v>847</v>
      </c>
      <c r="D32" s="239"/>
      <c r="E32" s="239" t="s">
        <v>226</v>
      </c>
      <c r="F32" s="239"/>
      <c r="G32" s="239" t="s">
        <v>229</v>
      </c>
      <c r="H32" s="240"/>
      <c r="I32" s="240"/>
      <c r="J32" s="240"/>
      <c r="K32" s="240">
        <v>380</v>
      </c>
      <c r="L32" s="239"/>
      <c r="M32" s="240"/>
      <c r="N32" s="241"/>
      <c r="O32" s="242" t="s">
        <v>227</v>
      </c>
      <c r="P32" s="239"/>
      <c r="Q32" s="239" t="s">
        <v>848</v>
      </c>
      <c r="R32" s="239"/>
      <c r="S32" s="239"/>
      <c r="T32" s="239"/>
      <c r="U32" s="239">
        <v>1731</v>
      </c>
      <c r="V32" s="239"/>
    </row>
    <row r="33" spans="1:22" x14ac:dyDescent="0.25">
      <c r="A33">
        <f t="shared" si="0"/>
        <v>1732</v>
      </c>
      <c r="B33" s="154">
        <f>IF(O33="PESO",VALUE(K33),K33*EERR!$D$2)</f>
        <v>176757</v>
      </c>
      <c r="C33" s="239" t="s">
        <v>849</v>
      </c>
      <c r="D33" s="239"/>
      <c r="E33" s="239" t="s">
        <v>226</v>
      </c>
      <c r="F33" s="239"/>
      <c r="G33" s="239" t="s">
        <v>229</v>
      </c>
      <c r="H33" s="240"/>
      <c r="I33" s="240"/>
      <c r="J33" s="240"/>
      <c r="K33" s="240">
        <v>199.5</v>
      </c>
      <c r="L33" s="239"/>
      <c r="M33" s="240"/>
      <c r="N33" s="241"/>
      <c r="O33" s="242" t="s">
        <v>227</v>
      </c>
      <c r="P33" s="239"/>
      <c r="Q33" s="239" t="s">
        <v>850</v>
      </c>
      <c r="R33" s="239"/>
      <c r="S33" s="239"/>
      <c r="T33" s="239"/>
      <c r="U33" s="239">
        <v>1732</v>
      </c>
      <c r="V33" s="239"/>
    </row>
    <row r="34" spans="1:22" x14ac:dyDescent="0.25">
      <c r="A34">
        <f t="shared" si="0"/>
        <v>1733</v>
      </c>
      <c r="B34" s="154">
        <f>IF(O34="PESO",VALUE(K34),K34*EERR!$D$2)</f>
        <v>185599.28</v>
      </c>
      <c r="C34" s="239" t="s">
        <v>851</v>
      </c>
      <c r="D34" s="239"/>
      <c r="E34" s="239" t="s">
        <v>226</v>
      </c>
      <c r="F34" s="239"/>
      <c r="G34" s="239" t="s">
        <v>229</v>
      </c>
      <c r="H34" s="240"/>
      <c r="I34" s="240"/>
      <c r="J34" s="240"/>
      <c r="K34" s="240">
        <v>209.48</v>
      </c>
      <c r="L34" s="239"/>
      <c r="M34" s="240"/>
      <c r="N34" s="241"/>
      <c r="O34" s="242" t="s">
        <v>227</v>
      </c>
      <c r="P34" s="239"/>
      <c r="Q34" s="239" t="s">
        <v>852</v>
      </c>
      <c r="R34" s="239"/>
      <c r="S34" s="239"/>
      <c r="T34" s="239"/>
      <c r="U34" s="239">
        <v>1733</v>
      </c>
      <c r="V34" s="239"/>
    </row>
    <row r="35" spans="1:22" x14ac:dyDescent="0.25">
      <c r="A35">
        <f t="shared" si="0"/>
        <v>1734</v>
      </c>
      <c r="B35" s="154">
        <f>IF(O35="PESO",VALUE(K35),K35*EERR!$D$2)</f>
        <v>181807.19999999998</v>
      </c>
      <c r="C35" s="239" t="s">
        <v>853</v>
      </c>
      <c r="D35" s="239"/>
      <c r="E35" s="239" t="s">
        <v>226</v>
      </c>
      <c r="F35" s="239"/>
      <c r="G35" s="239" t="s">
        <v>229</v>
      </c>
      <c r="H35" s="240"/>
      <c r="I35" s="240"/>
      <c r="J35" s="240"/>
      <c r="K35" s="240">
        <v>205.2</v>
      </c>
      <c r="L35" s="239"/>
      <c r="M35" s="240"/>
      <c r="N35" s="241"/>
      <c r="O35" s="242" t="s">
        <v>227</v>
      </c>
      <c r="P35" s="239"/>
      <c r="Q35" s="239" t="s">
        <v>854</v>
      </c>
      <c r="R35" s="239"/>
      <c r="S35" s="239"/>
      <c r="T35" s="239"/>
      <c r="U35" s="239">
        <v>1734</v>
      </c>
      <c r="V35" s="239"/>
    </row>
    <row r="36" spans="1:22" x14ac:dyDescent="0.25">
      <c r="A36">
        <f t="shared" si="0"/>
        <v>1735</v>
      </c>
      <c r="B36" s="154">
        <f>IF(O36="PESO",VALUE(K36),K36*EERR!$D$2)</f>
        <v>1309011.8400000001</v>
      </c>
      <c r="C36" s="239" t="s">
        <v>855</v>
      </c>
      <c r="D36" s="239"/>
      <c r="E36" s="239" t="s">
        <v>226</v>
      </c>
      <c r="F36" s="239"/>
      <c r="G36" s="239" t="s">
        <v>229</v>
      </c>
      <c r="H36" s="240"/>
      <c r="I36" s="240"/>
      <c r="J36" s="240"/>
      <c r="K36" s="240">
        <v>1477.44</v>
      </c>
      <c r="L36" s="239"/>
      <c r="M36" s="240"/>
      <c r="N36" s="241"/>
      <c r="O36" s="242" t="s">
        <v>227</v>
      </c>
      <c r="P36" s="239"/>
      <c r="Q36" s="239" t="s">
        <v>856</v>
      </c>
      <c r="R36" s="239"/>
      <c r="S36" s="239"/>
      <c r="T36" s="239"/>
      <c r="U36" s="239">
        <v>1735</v>
      </c>
      <c r="V36" s="239"/>
    </row>
    <row r="37" spans="1:22" x14ac:dyDescent="0.25">
      <c r="A37">
        <f t="shared" si="0"/>
        <v>1736</v>
      </c>
      <c r="B37" s="154">
        <f>IF(O37="PESO",VALUE(K37),K37*EERR!$D$2)</f>
        <v>181807.19999999998</v>
      </c>
      <c r="C37" s="239" t="s">
        <v>857</v>
      </c>
      <c r="D37" s="239"/>
      <c r="E37" s="239" t="s">
        <v>226</v>
      </c>
      <c r="F37" s="239"/>
      <c r="G37" s="239" t="s">
        <v>229</v>
      </c>
      <c r="H37" s="240"/>
      <c r="I37" s="240"/>
      <c r="J37" s="240"/>
      <c r="K37" s="240">
        <v>205.2</v>
      </c>
      <c r="L37" s="239"/>
      <c r="M37" s="240"/>
      <c r="N37" s="241"/>
      <c r="O37" s="242" t="s">
        <v>227</v>
      </c>
      <c r="P37" s="239"/>
      <c r="Q37" s="239" t="s">
        <v>858</v>
      </c>
      <c r="R37" s="239"/>
      <c r="S37" s="239"/>
      <c r="T37" s="239"/>
      <c r="U37" s="239">
        <v>1736</v>
      </c>
      <c r="V37" s="239"/>
    </row>
    <row r="38" spans="1:22" x14ac:dyDescent="0.25">
      <c r="A38">
        <f t="shared" si="0"/>
        <v>1737</v>
      </c>
      <c r="B38" s="154">
        <f>IF(O38="PESO",VALUE(K38),K38*EERR!$D$2)</f>
        <v>90903.599999999991</v>
      </c>
      <c r="C38" s="239" t="s">
        <v>859</v>
      </c>
      <c r="D38" s="239"/>
      <c r="E38" s="239" t="s">
        <v>226</v>
      </c>
      <c r="F38" s="239"/>
      <c r="G38" s="239" t="s">
        <v>229</v>
      </c>
      <c r="H38" s="240"/>
      <c r="I38" s="240"/>
      <c r="J38" s="240"/>
      <c r="K38" s="240">
        <v>102.6</v>
      </c>
      <c r="L38" s="239"/>
      <c r="M38" s="240"/>
      <c r="N38" s="241"/>
      <c r="O38" s="242" t="s">
        <v>227</v>
      </c>
      <c r="P38" s="239"/>
      <c r="Q38" s="239" t="s">
        <v>860</v>
      </c>
      <c r="R38" s="239"/>
      <c r="S38" s="239"/>
      <c r="T38" s="239"/>
      <c r="U38" s="239">
        <v>1737</v>
      </c>
      <c r="V38" s="239"/>
    </row>
    <row r="39" spans="1:22" x14ac:dyDescent="0.25">
      <c r="A39">
        <f t="shared" si="0"/>
        <v>1738</v>
      </c>
      <c r="B39" s="154">
        <f>IF(O39="PESO",VALUE(K39),K39*EERR!$D$2)</f>
        <v>90903.599999999991</v>
      </c>
      <c r="C39" s="239" t="s">
        <v>861</v>
      </c>
      <c r="D39" s="239"/>
      <c r="E39" s="239" t="s">
        <v>226</v>
      </c>
      <c r="F39" s="239"/>
      <c r="G39" s="239" t="s">
        <v>229</v>
      </c>
      <c r="H39" s="240"/>
      <c r="I39" s="240"/>
      <c r="J39" s="240"/>
      <c r="K39" s="240">
        <v>102.6</v>
      </c>
      <c r="L39" s="239"/>
      <c r="M39" s="240"/>
      <c r="N39" s="241"/>
      <c r="O39" s="242" t="s">
        <v>227</v>
      </c>
      <c r="P39" s="239"/>
      <c r="Q39" s="239" t="s">
        <v>862</v>
      </c>
      <c r="R39" s="239"/>
      <c r="S39" s="239"/>
      <c r="T39" s="239"/>
      <c r="U39" s="239">
        <v>1738</v>
      </c>
      <c r="V39" s="239"/>
    </row>
    <row r="40" spans="1:22" x14ac:dyDescent="0.25">
      <c r="A40">
        <f t="shared" si="0"/>
        <v>1739</v>
      </c>
      <c r="B40" s="154">
        <f>IF(O40="PESO",VALUE(K40),K40*EERR!$D$2)</f>
        <v>388865.39999999997</v>
      </c>
      <c r="C40" s="239" t="s">
        <v>863</v>
      </c>
      <c r="D40" s="239"/>
      <c r="E40" s="239" t="s">
        <v>226</v>
      </c>
      <c r="F40" s="239"/>
      <c r="G40" s="239" t="s">
        <v>229</v>
      </c>
      <c r="H40" s="240"/>
      <c r="I40" s="240"/>
      <c r="J40" s="240"/>
      <c r="K40" s="240">
        <v>438.9</v>
      </c>
      <c r="L40" s="239"/>
      <c r="M40" s="240"/>
      <c r="N40" s="241"/>
      <c r="O40" s="242" t="s">
        <v>227</v>
      </c>
      <c r="P40" s="239"/>
      <c r="Q40" s="239" t="s">
        <v>844</v>
      </c>
      <c r="R40" s="239"/>
      <c r="S40" s="239"/>
      <c r="T40" s="239"/>
      <c r="U40" s="239">
        <v>1739</v>
      </c>
      <c r="V40" s="239"/>
    </row>
    <row r="41" spans="1:22" x14ac:dyDescent="0.25">
      <c r="A41">
        <f t="shared" si="0"/>
        <v>1740</v>
      </c>
      <c r="B41" s="154">
        <f>IF(O41="PESO",VALUE(K41),K41*EERR!$D$2)</f>
        <v>503770.74000000005</v>
      </c>
      <c r="C41" s="239" t="s">
        <v>864</v>
      </c>
      <c r="D41" s="239"/>
      <c r="E41" s="239" t="s">
        <v>226</v>
      </c>
      <c r="F41" s="239"/>
      <c r="G41" s="239" t="s">
        <v>229</v>
      </c>
      <c r="H41" s="240"/>
      <c r="I41" s="240"/>
      <c r="J41" s="240"/>
      <c r="K41" s="240">
        <v>568.59</v>
      </c>
      <c r="L41" s="239"/>
      <c r="M41" s="240"/>
      <c r="N41" s="241"/>
      <c r="O41" s="242" t="s">
        <v>227</v>
      </c>
      <c r="P41" s="239"/>
      <c r="Q41" s="239" t="s">
        <v>865</v>
      </c>
      <c r="R41" s="239"/>
      <c r="S41" s="239"/>
      <c r="T41" s="239"/>
      <c r="U41" s="239">
        <v>1740</v>
      </c>
      <c r="V41" s="239"/>
    </row>
    <row r="42" spans="1:22" x14ac:dyDescent="0.25">
      <c r="A42">
        <f t="shared" si="0"/>
        <v>1741</v>
      </c>
      <c r="B42" s="154">
        <f>IF(O42="PESO",VALUE(K42),K42*EERR!$D$2)</f>
        <v>818132.4</v>
      </c>
      <c r="C42" s="239" t="s">
        <v>866</v>
      </c>
      <c r="D42" s="239"/>
      <c r="E42" s="239" t="s">
        <v>226</v>
      </c>
      <c r="F42" s="239"/>
      <c r="G42" s="239" t="s">
        <v>229</v>
      </c>
      <c r="H42" s="240"/>
      <c r="I42" s="240"/>
      <c r="J42" s="240"/>
      <c r="K42" s="240">
        <v>923.4</v>
      </c>
      <c r="L42" s="239"/>
      <c r="M42" s="240"/>
      <c r="N42" s="241"/>
      <c r="O42" s="242" t="s">
        <v>227</v>
      </c>
      <c r="P42" s="239"/>
      <c r="Q42" s="239" t="s">
        <v>867</v>
      </c>
      <c r="R42" s="239"/>
      <c r="S42" s="239"/>
      <c r="T42" s="239"/>
      <c r="U42" s="239">
        <v>1741</v>
      </c>
      <c r="V42" s="239"/>
    </row>
    <row r="43" spans="1:22" x14ac:dyDescent="0.25">
      <c r="A43">
        <f t="shared" si="0"/>
        <v>1742</v>
      </c>
      <c r="B43" s="154">
        <f>IF(O43="PESO",VALUE(K43),K43*EERR!$D$2)</f>
        <v>181807.19999999998</v>
      </c>
      <c r="C43" s="239" t="s">
        <v>868</v>
      </c>
      <c r="D43" s="239"/>
      <c r="E43" s="239" t="s">
        <v>226</v>
      </c>
      <c r="F43" s="239"/>
      <c r="G43" s="239" t="s">
        <v>229</v>
      </c>
      <c r="H43" s="240"/>
      <c r="I43" s="240"/>
      <c r="J43" s="240"/>
      <c r="K43" s="240">
        <v>205.2</v>
      </c>
      <c r="L43" s="239"/>
      <c r="M43" s="240"/>
      <c r="N43" s="241"/>
      <c r="O43" s="242" t="s">
        <v>227</v>
      </c>
      <c r="P43" s="239"/>
      <c r="Q43" s="239" t="s">
        <v>869</v>
      </c>
      <c r="R43" s="239"/>
      <c r="S43" s="239"/>
      <c r="T43" s="239"/>
      <c r="U43" s="239">
        <v>1742</v>
      </c>
      <c r="V43" s="239"/>
    </row>
    <row r="44" spans="1:22" x14ac:dyDescent="0.25">
      <c r="A44">
        <f t="shared" si="0"/>
        <v>1743</v>
      </c>
      <c r="B44" s="154">
        <f>IF(O44="PESO",VALUE(K44),K44*EERR!$D$2)</f>
        <v>668150.31999999995</v>
      </c>
      <c r="C44" s="239" t="s">
        <v>870</v>
      </c>
      <c r="D44" s="239"/>
      <c r="E44" s="239" t="s">
        <v>226</v>
      </c>
      <c r="F44" s="239"/>
      <c r="G44" s="239" t="s">
        <v>229</v>
      </c>
      <c r="H44" s="240"/>
      <c r="I44" s="240"/>
      <c r="J44" s="240"/>
      <c r="K44" s="240">
        <v>754.12</v>
      </c>
      <c r="L44" s="239"/>
      <c r="M44" s="240"/>
      <c r="N44" s="241"/>
      <c r="O44" s="242" t="s">
        <v>227</v>
      </c>
      <c r="P44" s="239"/>
      <c r="Q44" s="239" t="s">
        <v>871</v>
      </c>
      <c r="R44" s="239"/>
      <c r="S44" s="239"/>
      <c r="T44" s="239"/>
      <c r="U44" s="239">
        <v>1743</v>
      </c>
      <c r="V44" s="239"/>
    </row>
    <row r="45" spans="1:22" x14ac:dyDescent="0.25">
      <c r="A45">
        <f t="shared" si="0"/>
        <v>1744</v>
      </c>
      <c r="B45" s="154">
        <f>IF(O45="PESO",VALUE(K45),K45*EERR!$D$2)</f>
        <v>202008</v>
      </c>
      <c r="C45" s="239" t="s">
        <v>872</v>
      </c>
      <c r="D45" s="239"/>
      <c r="E45" s="239" t="s">
        <v>226</v>
      </c>
      <c r="F45" s="239"/>
      <c r="G45" s="239" t="s">
        <v>229</v>
      </c>
      <c r="H45" s="240"/>
      <c r="I45" s="240"/>
      <c r="J45" s="240"/>
      <c r="K45" s="240">
        <v>228</v>
      </c>
      <c r="L45" s="239"/>
      <c r="M45" s="240"/>
      <c r="N45" s="241"/>
      <c r="O45" s="242" t="s">
        <v>227</v>
      </c>
      <c r="P45" s="239"/>
      <c r="Q45" s="239" t="s">
        <v>873</v>
      </c>
      <c r="R45" s="239"/>
      <c r="S45" s="239"/>
      <c r="T45" s="239"/>
      <c r="U45" s="239">
        <v>1744</v>
      </c>
      <c r="V45" s="239"/>
    </row>
    <row r="46" spans="1:22" x14ac:dyDescent="0.25">
      <c r="A46">
        <f t="shared" si="0"/>
        <v>1745</v>
      </c>
      <c r="B46" s="154">
        <f>IF(O46="PESO",VALUE(K46),K46*EERR!$D$2)</f>
        <v>273198.10000000003</v>
      </c>
      <c r="C46" s="239" t="s">
        <v>874</v>
      </c>
      <c r="D46" s="239"/>
      <c r="E46" s="239" t="s">
        <v>226</v>
      </c>
      <c r="F46" s="239"/>
      <c r="G46" s="239" t="s">
        <v>229</v>
      </c>
      <c r="H46" s="240"/>
      <c r="I46" s="240"/>
      <c r="J46" s="240"/>
      <c r="K46" s="240">
        <v>308.35000000000002</v>
      </c>
      <c r="L46" s="239"/>
      <c r="M46" s="240"/>
      <c r="N46" s="241"/>
      <c r="O46" s="242" t="s">
        <v>227</v>
      </c>
      <c r="P46" s="239"/>
      <c r="Q46" s="239" t="s">
        <v>875</v>
      </c>
      <c r="R46" s="239"/>
      <c r="S46" s="239"/>
      <c r="T46" s="239"/>
      <c r="U46" s="239">
        <v>1745</v>
      </c>
      <c r="V46" s="239"/>
    </row>
    <row r="47" spans="1:22" x14ac:dyDescent="0.25">
      <c r="A47">
        <f t="shared" si="0"/>
        <v>1746</v>
      </c>
      <c r="B47" s="154">
        <f>IF(O47="PESO",VALUE(K47),K47*EERR!$D$2)</f>
        <v>5000</v>
      </c>
      <c r="C47" s="239" t="s">
        <v>876</v>
      </c>
      <c r="D47" s="239"/>
      <c r="E47" s="239" t="s">
        <v>189</v>
      </c>
      <c r="F47" s="239"/>
      <c r="G47" s="239" t="s">
        <v>235</v>
      </c>
      <c r="H47" s="240"/>
      <c r="I47" s="240"/>
      <c r="J47" s="240"/>
      <c r="K47" s="240">
        <v>5000</v>
      </c>
      <c r="L47" s="239"/>
      <c r="M47" s="240"/>
      <c r="N47" s="241"/>
      <c r="O47" s="242" t="s">
        <v>213</v>
      </c>
      <c r="P47" s="239"/>
      <c r="Q47" s="239" t="s">
        <v>877</v>
      </c>
      <c r="R47" s="239"/>
      <c r="S47" s="239"/>
      <c r="T47" s="239"/>
      <c r="U47" s="239">
        <v>1746</v>
      </c>
      <c r="V47" s="239"/>
    </row>
    <row r="48" spans="1:22" x14ac:dyDescent="0.25">
      <c r="A48">
        <f t="shared" si="0"/>
        <v>1747</v>
      </c>
      <c r="B48" s="154">
        <f>IF(O48="PESO",VALUE(K48),K48*EERR!$D$2)</f>
        <v>556797.84000000008</v>
      </c>
      <c r="C48" s="239" t="s">
        <v>878</v>
      </c>
      <c r="D48" s="239"/>
      <c r="E48" s="239" t="s">
        <v>226</v>
      </c>
      <c r="F48" s="239"/>
      <c r="G48" s="239" t="s">
        <v>229</v>
      </c>
      <c r="H48" s="240"/>
      <c r="I48" s="240"/>
      <c r="J48" s="240"/>
      <c r="K48" s="240">
        <v>628.44000000000005</v>
      </c>
      <c r="L48" s="239"/>
      <c r="M48" s="240"/>
      <c r="N48" s="241"/>
      <c r="O48" s="242" t="s">
        <v>227</v>
      </c>
      <c r="P48" s="239"/>
      <c r="Q48" s="239" t="s">
        <v>666</v>
      </c>
      <c r="R48" s="239"/>
      <c r="S48" s="239"/>
      <c r="T48" s="239"/>
      <c r="U48" s="239">
        <v>1747</v>
      </c>
      <c r="V48" s="239"/>
    </row>
    <row r="49" spans="1:22" x14ac:dyDescent="0.25">
      <c r="A49">
        <f t="shared" si="0"/>
        <v>1748</v>
      </c>
      <c r="B49" s="154">
        <f>IF(O49="PESO",VALUE(K49),K49*EERR!$D$2)</f>
        <v>181807.19999999998</v>
      </c>
      <c r="C49" s="239" t="s">
        <v>879</v>
      </c>
      <c r="D49" s="239"/>
      <c r="E49" s="239" t="s">
        <v>226</v>
      </c>
      <c r="F49" s="239"/>
      <c r="G49" s="239" t="s">
        <v>229</v>
      </c>
      <c r="H49" s="240"/>
      <c r="I49" s="240"/>
      <c r="J49" s="240"/>
      <c r="K49" s="240">
        <v>205.2</v>
      </c>
      <c r="L49" s="239"/>
      <c r="M49" s="240"/>
      <c r="N49" s="241"/>
      <c r="O49" s="242" t="s">
        <v>227</v>
      </c>
      <c r="P49" s="239"/>
      <c r="Q49" s="239" t="s">
        <v>880</v>
      </c>
      <c r="R49" s="239"/>
      <c r="S49" s="239"/>
      <c r="T49" s="239"/>
      <c r="U49" s="239">
        <v>1748</v>
      </c>
      <c r="V49" s="239"/>
    </row>
    <row r="50" spans="1:22" x14ac:dyDescent="0.25">
      <c r="A50">
        <f t="shared" si="0"/>
        <v>1749</v>
      </c>
      <c r="B50" s="154">
        <f>IF(O50="PESO",VALUE(K50),K50*EERR!$D$2)</f>
        <v>583298.1</v>
      </c>
      <c r="C50" s="239" t="s">
        <v>881</v>
      </c>
      <c r="D50" s="239"/>
      <c r="E50" s="239" t="s">
        <v>226</v>
      </c>
      <c r="F50" s="239"/>
      <c r="G50" s="239" t="s">
        <v>229</v>
      </c>
      <c r="H50" s="240"/>
      <c r="I50" s="240"/>
      <c r="J50" s="240"/>
      <c r="K50" s="240">
        <v>658.35</v>
      </c>
      <c r="L50" s="239"/>
      <c r="M50" s="240"/>
      <c r="N50" s="241"/>
      <c r="O50" s="242" t="s">
        <v>227</v>
      </c>
      <c r="P50" s="239"/>
      <c r="Q50" s="239" t="s">
        <v>670</v>
      </c>
      <c r="R50" s="239"/>
      <c r="S50" s="239"/>
      <c r="T50" s="239"/>
      <c r="U50" s="239">
        <v>1749</v>
      </c>
      <c r="V50" s="239"/>
    </row>
    <row r="51" spans="1:22" x14ac:dyDescent="0.25">
      <c r="A51">
        <f t="shared" si="0"/>
        <v>1750</v>
      </c>
      <c r="B51" s="154">
        <f>IF(O51="PESO",VALUE(K51),K51*EERR!$D$2)</f>
        <v>471571</v>
      </c>
      <c r="C51" s="239" t="s">
        <v>882</v>
      </c>
      <c r="D51" s="239"/>
      <c r="E51" s="239" t="s">
        <v>189</v>
      </c>
      <c r="F51" s="239"/>
      <c r="G51" s="239" t="s">
        <v>235</v>
      </c>
      <c r="H51" s="240"/>
      <c r="I51" s="240"/>
      <c r="J51" s="240"/>
      <c r="K51" s="240">
        <v>471571</v>
      </c>
      <c r="L51" s="239"/>
      <c r="M51" s="240"/>
      <c r="N51" s="241"/>
      <c r="O51" s="242" t="s">
        <v>213</v>
      </c>
      <c r="P51" s="239"/>
      <c r="Q51" s="239" t="s">
        <v>883</v>
      </c>
      <c r="R51" s="239"/>
      <c r="S51" s="239"/>
      <c r="T51" s="239"/>
      <c r="U51" s="239">
        <v>1750</v>
      </c>
      <c r="V51" s="239"/>
    </row>
    <row r="52" spans="1:22" x14ac:dyDescent="0.25">
      <c r="A52">
        <f t="shared" si="0"/>
        <v>1751</v>
      </c>
      <c r="B52" s="154">
        <f>IF(O52="PESO",VALUE(K52),K52*EERR!$D$2)</f>
        <v>25197.84</v>
      </c>
      <c r="C52" s="239" t="s">
        <v>884</v>
      </c>
      <c r="D52" s="239"/>
      <c r="E52" s="239" t="s">
        <v>226</v>
      </c>
      <c r="F52" s="239"/>
      <c r="G52" s="239" t="s">
        <v>229</v>
      </c>
      <c r="H52" s="240"/>
      <c r="I52" s="240"/>
      <c r="J52" s="240"/>
      <c r="K52" s="240">
        <v>28.44</v>
      </c>
      <c r="L52" s="239"/>
      <c r="M52" s="240"/>
      <c r="N52" s="241"/>
      <c r="O52" s="242" t="s">
        <v>227</v>
      </c>
      <c r="P52" s="239"/>
      <c r="Q52" s="239" t="s">
        <v>802</v>
      </c>
      <c r="R52" s="239"/>
      <c r="S52" s="239"/>
      <c r="T52" s="239"/>
      <c r="U52" s="239">
        <v>1751</v>
      </c>
      <c r="V52" s="239"/>
    </row>
    <row r="53" spans="1:22" x14ac:dyDescent="0.25">
      <c r="A53">
        <f t="shared" si="0"/>
        <v>1752</v>
      </c>
      <c r="B53" s="154">
        <f>IF(O53="PESO",VALUE(K53),K53*EERR!$D$2)</f>
        <v>185599.28</v>
      </c>
      <c r="C53" s="239" t="s">
        <v>885</v>
      </c>
      <c r="D53" s="239"/>
      <c r="E53" s="239" t="s">
        <v>226</v>
      </c>
      <c r="F53" s="239"/>
      <c r="G53" s="239" t="s">
        <v>229</v>
      </c>
      <c r="H53" s="240"/>
      <c r="I53" s="240"/>
      <c r="J53" s="240"/>
      <c r="K53" s="240">
        <v>209.48</v>
      </c>
      <c r="L53" s="239"/>
      <c r="M53" s="240"/>
      <c r="N53" s="241"/>
      <c r="O53" s="242" t="s">
        <v>227</v>
      </c>
      <c r="P53" s="239"/>
      <c r="Q53" s="239" t="s">
        <v>886</v>
      </c>
      <c r="R53" s="239"/>
      <c r="S53" s="239"/>
      <c r="T53" s="239"/>
      <c r="U53" s="239">
        <v>1752</v>
      </c>
      <c r="V53" s="239"/>
    </row>
    <row r="54" spans="1:22" x14ac:dyDescent="0.25">
      <c r="A54">
        <f t="shared" si="0"/>
        <v>1753</v>
      </c>
      <c r="B54" s="154">
        <f>IF(O54="PESO",VALUE(K54),K54*EERR!$D$2)</f>
        <v>363614.39999999997</v>
      </c>
      <c r="C54" s="239" t="s">
        <v>887</v>
      </c>
      <c r="D54" s="239"/>
      <c r="E54" s="239" t="s">
        <v>226</v>
      </c>
      <c r="F54" s="239"/>
      <c r="G54" s="239" t="s">
        <v>229</v>
      </c>
      <c r="H54" s="240"/>
      <c r="I54" s="240"/>
      <c r="J54" s="240"/>
      <c r="K54" s="240">
        <v>410.4</v>
      </c>
      <c r="L54" s="239"/>
      <c r="M54" s="240"/>
      <c r="N54" s="241"/>
      <c r="O54" s="242" t="s">
        <v>227</v>
      </c>
      <c r="P54" s="239"/>
      <c r="Q54" s="239" t="s">
        <v>888</v>
      </c>
      <c r="R54" s="239"/>
      <c r="S54" s="239"/>
      <c r="T54" s="239"/>
      <c r="U54" s="239">
        <v>1753</v>
      </c>
      <c r="V54" s="239"/>
    </row>
    <row r="55" spans="1:22" x14ac:dyDescent="0.25">
      <c r="A55">
        <f t="shared" si="0"/>
        <v>1754</v>
      </c>
      <c r="B55" s="154">
        <f>IF(O55="PESO",VALUE(K55),K55*EERR!$D$2)</f>
        <v>176757</v>
      </c>
      <c r="C55" s="239" t="s">
        <v>889</v>
      </c>
      <c r="D55" s="239"/>
      <c r="E55" s="239" t="s">
        <v>226</v>
      </c>
      <c r="F55" s="239"/>
      <c r="G55" s="239" t="s">
        <v>229</v>
      </c>
      <c r="H55" s="240"/>
      <c r="I55" s="240"/>
      <c r="J55" s="240"/>
      <c r="K55" s="240">
        <v>199.5</v>
      </c>
      <c r="L55" s="239"/>
      <c r="M55" s="240"/>
      <c r="N55" s="241"/>
      <c r="O55" s="242" t="s">
        <v>227</v>
      </c>
      <c r="P55" s="239"/>
      <c r="Q55" s="239" t="s">
        <v>890</v>
      </c>
      <c r="R55" s="239"/>
      <c r="S55" s="239"/>
      <c r="T55" s="239"/>
      <c r="U55" s="239">
        <v>1754</v>
      </c>
      <c r="V55" s="239"/>
    </row>
    <row r="56" spans="1:22" x14ac:dyDescent="0.25">
      <c r="A56">
        <f t="shared" si="0"/>
        <v>1755</v>
      </c>
      <c r="B56" s="154">
        <f>IF(O56="PESO",VALUE(K56),K56*EERR!$D$2)</f>
        <v>45500</v>
      </c>
      <c r="C56" s="239" t="s">
        <v>891</v>
      </c>
      <c r="D56" s="239"/>
      <c r="E56" s="239" t="s">
        <v>189</v>
      </c>
      <c r="F56" s="239"/>
      <c r="G56" s="239" t="s">
        <v>235</v>
      </c>
      <c r="H56" s="240"/>
      <c r="I56" s="240"/>
      <c r="J56" s="240"/>
      <c r="K56" s="240">
        <v>45500</v>
      </c>
      <c r="L56" s="239"/>
      <c r="M56" s="240"/>
      <c r="N56" s="241"/>
      <c r="O56" s="242" t="s">
        <v>213</v>
      </c>
      <c r="P56" s="239"/>
      <c r="Q56" s="239" t="s">
        <v>670</v>
      </c>
      <c r="R56" s="239"/>
      <c r="S56" s="239"/>
      <c r="T56" s="239"/>
      <c r="U56" s="239">
        <v>1755</v>
      </c>
      <c r="V56" s="239"/>
    </row>
    <row r="57" spans="1:22" x14ac:dyDescent="0.25">
      <c r="A57">
        <f t="shared" si="0"/>
        <v>1756</v>
      </c>
      <c r="B57" s="154">
        <f>IF(O57="PESO",VALUE(K57),K57*EERR!$D$2)</f>
        <v>654505.92000000004</v>
      </c>
      <c r="C57" s="239" t="s">
        <v>892</v>
      </c>
      <c r="D57" s="239"/>
      <c r="E57" s="239" t="s">
        <v>226</v>
      </c>
      <c r="F57" s="239"/>
      <c r="G57" s="239" t="s">
        <v>229</v>
      </c>
      <c r="H57" s="240"/>
      <c r="I57" s="240"/>
      <c r="J57" s="240"/>
      <c r="K57" s="240">
        <v>738.72</v>
      </c>
      <c r="L57" s="239"/>
      <c r="M57" s="240"/>
      <c r="N57" s="241"/>
      <c r="O57" s="242" t="s">
        <v>227</v>
      </c>
      <c r="P57" s="239"/>
      <c r="Q57" s="239" t="s">
        <v>893</v>
      </c>
      <c r="R57" s="239"/>
      <c r="S57" s="239"/>
      <c r="T57" s="239"/>
      <c r="U57" s="239">
        <v>1756</v>
      </c>
      <c r="V57" s="239"/>
    </row>
    <row r="58" spans="1:22" x14ac:dyDescent="0.25">
      <c r="A58">
        <f t="shared" si="0"/>
        <v>1757</v>
      </c>
      <c r="B58" s="154">
        <f>IF(O58="PESO",VALUE(K58),K58*EERR!$D$2)</f>
        <v>530271</v>
      </c>
      <c r="C58" s="239" t="s">
        <v>894</v>
      </c>
      <c r="D58" s="239"/>
      <c r="E58" s="239" t="s">
        <v>226</v>
      </c>
      <c r="F58" s="239"/>
      <c r="G58" s="239" t="s">
        <v>229</v>
      </c>
      <c r="H58" s="240"/>
      <c r="I58" s="240"/>
      <c r="J58" s="240"/>
      <c r="K58" s="240">
        <v>598.5</v>
      </c>
      <c r="L58" s="239"/>
      <c r="M58" s="240"/>
      <c r="N58" s="241"/>
      <c r="O58" s="242" t="s">
        <v>227</v>
      </c>
      <c r="P58" s="239"/>
      <c r="Q58" s="239" t="s">
        <v>850</v>
      </c>
      <c r="R58" s="239"/>
      <c r="S58" s="239"/>
      <c r="T58" s="239"/>
      <c r="U58" s="239">
        <v>1757</v>
      </c>
      <c r="V58" s="239"/>
    </row>
    <row r="59" spans="1:22" x14ac:dyDescent="0.25">
      <c r="A59">
        <f t="shared" si="0"/>
        <v>1758</v>
      </c>
      <c r="B59" s="154">
        <f>IF(O59="PESO",VALUE(K59),K59*EERR!$D$2)</f>
        <v>194432.69999999998</v>
      </c>
      <c r="C59" s="239" t="s">
        <v>895</v>
      </c>
      <c r="D59" s="239"/>
      <c r="E59" s="239" t="s">
        <v>226</v>
      </c>
      <c r="F59" s="239"/>
      <c r="G59" s="239" t="s">
        <v>229</v>
      </c>
      <c r="H59" s="240"/>
      <c r="I59" s="240"/>
      <c r="J59" s="240"/>
      <c r="K59" s="240">
        <v>219.45</v>
      </c>
      <c r="L59" s="239"/>
      <c r="M59" s="240"/>
      <c r="N59" s="241"/>
      <c r="O59" s="242" t="s">
        <v>227</v>
      </c>
      <c r="P59" s="239"/>
      <c r="Q59" s="239" t="s">
        <v>896</v>
      </c>
      <c r="R59" s="239"/>
      <c r="S59" s="239"/>
      <c r="T59" s="239"/>
      <c r="U59" s="239">
        <v>1758</v>
      </c>
      <c r="V59" s="239"/>
    </row>
    <row r="60" spans="1:22" x14ac:dyDescent="0.25">
      <c r="A60">
        <f t="shared" si="0"/>
        <v>1759</v>
      </c>
      <c r="B60" s="154">
        <f>IF(O60="PESO",VALUE(K60),K60*EERR!$D$2)</f>
        <v>167037.57999999999</v>
      </c>
      <c r="C60" s="239" t="s">
        <v>897</v>
      </c>
      <c r="D60" s="239"/>
      <c r="E60" s="239" t="s">
        <v>226</v>
      </c>
      <c r="F60" s="239"/>
      <c r="G60" s="239" t="s">
        <v>229</v>
      </c>
      <c r="H60" s="240"/>
      <c r="I60" s="240"/>
      <c r="J60" s="240"/>
      <c r="K60" s="240">
        <v>188.53</v>
      </c>
      <c r="L60" s="239"/>
      <c r="M60" s="240"/>
      <c r="N60" s="241"/>
      <c r="O60" s="242" t="s">
        <v>227</v>
      </c>
      <c r="P60" s="239"/>
      <c r="Q60" s="239" t="s">
        <v>898</v>
      </c>
      <c r="R60" s="239"/>
      <c r="S60" s="239"/>
      <c r="T60" s="239"/>
      <c r="U60" s="239">
        <v>1759</v>
      </c>
      <c r="V60" s="239"/>
    </row>
    <row r="61" spans="1:22" x14ac:dyDescent="0.25">
      <c r="A61">
        <f t="shared" si="0"/>
        <v>1760</v>
      </c>
      <c r="B61" s="154">
        <f>IF(O61="PESO",VALUE(K61),K61*EERR!$D$2)</f>
        <v>181807.19999999998</v>
      </c>
      <c r="C61" s="239" t="s">
        <v>899</v>
      </c>
      <c r="D61" s="239"/>
      <c r="E61" s="239" t="s">
        <v>226</v>
      </c>
      <c r="F61" s="239"/>
      <c r="G61" s="239" t="s">
        <v>229</v>
      </c>
      <c r="H61" s="240"/>
      <c r="I61" s="240"/>
      <c r="J61" s="240"/>
      <c r="K61" s="240">
        <v>205.2</v>
      </c>
      <c r="L61" s="239"/>
      <c r="M61" s="240"/>
      <c r="N61" s="241"/>
      <c r="O61" s="242" t="s">
        <v>227</v>
      </c>
      <c r="P61" s="239"/>
      <c r="Q61" s="239" t="s">
        <v>900</v>
      </c>
      <c r="R61" s="239"/>
      <c r="S61" s="239"/>
      <c r="T61" s="239"/>
      <c r="U61" s="239">
        <v>1760</v>
      </c>
      <c r="V61" s="239"/>
    </row>
    <row r="62" spans="1:22" x14ac:dyDescent="0.25">
      <c r="A62">
        <f t="shared" si="0"/>
        <v>1761</v>
      </c>
      <c r="B62" s="154">
        <f>IF(O62="PESO",VALUE(K62),K62*EERR!$D$2)</f>
        <v>3000</v>
      </c>
      <c r="C62" s="239" t="s">
        <v>901</v>
      </c>
      <c r="D62" s="239"/>
      <c r="E62" s="239" t="s">
        <v>189</v>
      </c>
      <c r="F62" s="239"/>
      <c r="G62" s="239" t="s">
        <v>235</v>
      </c>
      <c r="H62" s="240"/>
      <c r="I62" s="240"/>
      <c r="J62" s="240"/>
      <c r="K62" s="240">
        <v>3000</v>
      </c>
      <c r="L62" s="239"/>
      <c r="M62" s="240"/>
      <c r="N62" s="241"/>
      <c r="O62" s="242" t="s">
        <v>213</v>
      </c>
      <c r="P62" s="239"/>
      <c r="Q62" s="239" t="s">
        <v>902</v>
      </c>
      <c r="R62" s="239"/>
      <c r="S62" s="239"/>
      <c r="T62" s="239"/>
      <c r="U62" s="239">
        <v>1761</v>
      </c>
      <c r="V62" s="239"/>
    </row>
    <row r="63" spans="1:22" x14ac:dyDescent="0.25">
      <c r="A63">
        <f t="shared" si="0"/>
        <v>1762</v>
      </c>
      <c r="B63" s="154">
        <f>IF(O63="PESO",VALUE(K63),K63*EERR!$D$2)</f>
        <v>1113595.6800000002</v>
      </c>
      <c r="C63" s="239" t="s">
        <v>903</v>
      </c>
      <c r="D63" s="239"/>
      <c r="E63" s="239" t="s">
        <v>226</v>
      </c>
      <c r="F63" s="239"/>
      <c r="G63" s="239" t="s">
        <v>229</v>
      </c>
      <c r="H63" s="240"/>
      <c r="I63" s="240"/>
      <c r="J63" s="240"/>
      <c r="K63" s="240">
        <v>1256.8800000000001</v>
      </c>
      <c r="L63" s="239"/>
      <c r="M63" s="240"/>
      <c r="N63" s="241"/>
      <c r="O63" s="242" t="s">
        <v>227</v>
      </c>
      <c r="P63" s="239"/>
      <c r="Q63" s="239" t="s">
        <v>685</v>
      </c>
      <c r="R63" s="239"/>
      <c r="S63" s="239"/>
      <c r="T63" s="239"/>
      <c r="U63" s="239">
        <v>1762</v>
      </c>
      <c r="V63" s="239"/>
    </row>
    <row r="64" spans="1:22" x14ac:dyDescent="0.25">
      <c r="A64">
        <f t="shared" si="0"/>
        <v>1763</v>
      </c>
      <c r="B64" s="154">
        <f>IF(O64="PESO",VALUE(K64),K64*EERR!$D$2)</f>
        <v>3000</v>
      </c>
      <c r="C64" s="239" t="s">
        <v>904</v>
      </c>
      <c r="D64" s="239"/>
      <c r="E64" s="239" t="s">
        <v>189</v>
      </c>
      <c r="F64" s="239"/>
      <c r="G64" s="239" t="s">
        <v>235</v>
      </c>
      <c r="H64" s="240"/>
      <c r="I64" s="240"/>
      <c r="J64" s="240"/>
      <c r="K64" s="240">
        <v>3000</v>
      </c>
      <c r="L64" s="239"/>
      <c r="M64" s="240"/>
      <c r="N64" s="241"/>
      <c r="O64" s="242" t="s">
        <v>213</v>
      </c>
      <c r="P64" s="239"/>
      <c r="Q64" s="239" t="s">
        <v>902</v>
      </c>
      <c r="R64" s="239"/>
      <c r="S64" s="239"/>
      <c r="T64" s="239"/>
      <c r="U64" s="239">
        <v>1763</v>
      </c>
      <c r="V64" s="239"/>
    </row>
    <row r="65" spans="1:22" x14ac:dyDescent="0.25">
      <c r="A65">
        <f t="shared" si="0"/>
        <v>1764</v>
      </c>
      <c r="B65" s="154">
        <f>IF(O65="PESO",VALUE(K65),K65*EERR!$D$2)</f>
        <v>8000</v>
      </c>
      <c r="C65" s="239" t="s">
        <v>905</v>
      </c>
      <c r="D65" s="239"/>
      <c r="E65" s="239" t="s">
        <v>189</v>
      </c>
      <c r="F65" s="239"/>
      <c r="G65" s="239" t="s">
        <v>235</v>
      </c>
      <c r="H65" s="240"/>
      <c r="I65" s="240"/>
      <c r="J65" s="240"/>
      <c r="K65" s="240">
        <v>8000</v>
      </c>
      <c r="L65" s="239"/>
      <c r="M65" s="240"/>
      <c r="N65" s="241"/>
      <c r="O65" s="242" t="s">
        <v>213</v>
      </c>
      <c r="P65" s="239"/>
      <c r="Q65" s="239" t="s">
        <v>906</v>
      </c>
      <c r="R65" s="239"/>
      <c r="S65" s="239"/>
      <c r="T65" s="239"/>
      <c r="U65" s="239">
        <v>1764</v>
      </c>
      <c r="V65" s="239"/>
    </row>
    <row r="66" spans="1:22" x14ac:dyDescent="0.25">
      <c r="A66">
        <f t="shared" si="0"/>
        <v>1765</v>
      </c>
      <c r="B66" s="154">
        <f>IF(O66="PESO",VALUE(K66),K66*EERR!$D$2)</f>
        <v>185599.28</v>
      </c>
      <c r="C66" s="239" t="s">
        <v>907</v>
      </c>
      <c r="D66" s="239"/>
      <c r="E66" s="239" t="s">
        <v>226</v>
      </c>
      <c r="F66" s="239"/>
      <c r="G66" s="239" t="s">
        <v>229</v>
      </c>
      <c r="H66" s="240"/>
      <c r="I66" s="240"/>
      <c r="J66" s="240"/>
      <c r="K66" s="240">
        <v>209.48</v>
      </c>
      <c r="L66" s="239"/>
      <c r="M66" s="240"/>
      <c r="N66" s="241"/>
      <c r="O66" s="242" t="s">
        <v>227</v>
      </c>
      <c r="P66" s="239"/>
      <c r="Q66" s="239" t="s">
        <v>808</v>
      </c>
      <c r="R66" s="239"/>
      <c r="S66" s="239"/>
      <c r="T66" s="239"/>
      <c r="U66" s="239">
        <v>1765</v>
      </c>
      <c r="V66" s="239"/>
    </row>
    <row r="67" spans="1:22" x14ac:dyDescent="0.25">
      <c r="A67">
        <f t="shared" si="0"/>
        <v>1766</v>
      </c>
      <c r="B67" s="154">
        <f>IF(O67="PESO",VALUE(K67),K67*EERR!$D$2)</f>
        <v>671694.32</v>
      </c>
      <c r="C67" s="239" t="s">
        <v>908</v>
      </c>
      <c r="D67" s="239"/>
      <c r="E67" s="239" t="s">
        <v>226</v>
      </c>
      <c r="F67" s="239"/>
      <c r="G67" s="239" t="s">
        <v>229</v>
      </c>
      <c r="H67" s="240"/>
      <c r="I67" s="240"/>
      <c r="J67" s="240"/>
      <c r="K67" s="240">
        <v>758.12</v>
      </c>
      <c r="L67" s="239"/>
      <c r="M67" s="240"/>
      <c r="N67" s="241"/>
      <c r="O67" s="242" t="s">
        <v>227</v>
      </c>
      <c r="P67" s="239"/>
      <c r="Q67" s="239" t="s">
        <v>909</v>
      </c>
      <c r="R67" s="239"/>
      <c r="S67" s="239"/>
      <c r="T67" s="239"/>
      <c r="U67" s="239">
        <v>1766</v>
      </c>
      <c r="V67" s="239"/>
    </row>
    <row r="68" spans="1:22" x14ac:dyDescent="0.25">
      <c r="A68">
        <f t="shared" si="0"/>
        <v>1767</v>
      </c>
      <c r="B68" s="154">
        <f>IF(O68="PESO",VALUE(K68),K68*EERR!$D$2)</f>
        <v>176757</v>
      </c>
      <c r="C68" s="239" t="s">
        <v>910</v>
      </c>
      <c r="D68" s="239"/>
      <c r="E68" s="239" t="s">
        <v>226</v>
      </c>
      <c r="F68" s="239"/>
      <c r="G68" s="239" t="s">
        <v>229</v>
      </c>
      <c r="H68" s="240"/>
      <c r="I68" s="240"/>
      <c r="J68" s="240"/>
      <c r="K68" s="240">
        <v>199.5</v>
      </c>
      <c r="L68" s="239"/>
      <c r="M68" s="240"/>
      <c r="N68" s="241"/>
      <c r="O68" s="242" t="s">
        <v>227</v>
      </c>
      <c r="P68" s="239"/>
      <c r="Q68" s="239" t="s">
        <v>909</v>
      </c>
      <c r="R68" s="239"/>
      <c r="S68" s="239"/>
      <c r="T68" s="239"/>
      <c r="U68" s="239">
        <v>1767</v>
      </c>
      <c r="V68" s="239"/>
    </row>
    <row r="69" spans="1:22" x14ac:dyDescent="0.25">
      <c r="A69">
        <f t="shared" ref="A69:A123" si="1">+U69</f>
        <v>1768</v>
      </c>
      <c r="B69" s="154">
        <f>IF(O69="PESO",VALUE(K69),K69*EERR!$D$2)</f>
        <v>659184</v>
      </c>
      <c r="C69" s="239" t="s">
        <v>911</v>
      </c>
      <c r="D69" s="239"/>
      <c r="E69" s="239" t="s">
        <v>226</v>
      </c>
      <c r="F69" s="239"/>
      <c r="G69" s="239" t="s">
        <v>229</v>
      </c>
      <c r="H69" s="240"/>
      <c r="I69" s="240"/>
      <c r="J69" s="240"/>
      <c r="K69" s="240">
        <v>744</v>
      </c>
      <c r="L69" s="239"/>
      <c r="M69" s="240"/>
      <c r="N69" s="241"/>
      <c r="O69" s="242" t="s">
        <v>227</v>
      </c>
      <c r="P69" s="239"/>
      <c r="Q69" s="239" t="s">
        <v>912</v>
      </c>
      <c r="R69" s="239"/>
      <c r="S69" s="239"/>
      <c r="T69" s="239"/>
      <c r="U69" s="239">
        <v>1768</v>
      </c>
      <c r="V69" s="239"/>
    </row>
    <row r="70" spans="1:22" x14ac:dyDescent="0.25">
      <c r="A70">
        <f t="shared" si="1"/>
        <v>1769</v>
      </c>
      <c r="B70" s="154">
        <f>IF(O70="PESO",VALUE(K70),K70*EERR!$D$2)</f>
        <v>34536.28</v>
      </c>
      <c r="C70" s="239" t="s">
        <v>913</v>
      </c>
      <c r="D70" s="239"/>
      <c r="E70" s="239" t="s">
        <v>226</v>
      </c>
      <c r="F70" s="239"/>
      <c r="G70" s="239" t="s">
        <v>229</v>
      </c>
      <c r="H70" s="240"/>
      <c r="I70" s="240"/>
      <c r="J70" s="240"/>
      <c r="K70" s="240">
        <v>38.979999999999997</v>
      </c>
      <c r="L70" s="239"/>
      <c r="M70" s="240"/>
      <c r="N70" s="241"/>
      <c r="O70" s="242" t="s">
        <v>227</v>
      </c>
      <c r="P70" s="239"/>
      <c r="Q70" s="239" t="s">
        <v>854</v>
      </c>
      <c r="R70" s="239"/>
      <c r="S70" s="239"/>
      <c r="T70" s="239"/>
      <c r="U70" s="239">
        <v>1769</v>
      </c>
      <c r="V70" s="239"/>
    </row>
    <row r="71" spans="1:22" x14ac:dyDescent="0.25">
      <c r="A71">
        <f t="shared" si="1"/>
        <v>1770</v>
      </c>
      <c r="B71" s="154">
        <f>IF(O71="PESO",VALUE(K71),K71*EERR!$D$2)</f>
        <v>1636264.8</v>
      </c>
      <c r="C71" s="239" t="s">
        <v>914</v>
      </c>
      <c r="D71" s="239"/>
      <c r="E71" s="239" t="s">
        <v>226</v>
      </c>
      <c r="F71" s="239"/>
      <c r="G71" s="239" t="s">
        <v>229</v>
      </c>
      <c r="H71" s="240"/>
      <c r="I71" s="240"/>
      <c r="J71" s="240"/>
      <c r="K71" s="240">
        <v>1846.8</v>
      </c>
      <c r="L71" s="239"/>
      <c r="M71" s="240"/>
      <c r="N71" s="241"/>
      <c r="O71" s="242" t="s">
        <v>227</v>
      </c>
      <c r="P71" s="239"/>
      <c r="Q71" s="239" t="s">
        <v>915</v>
      </c>
      <c r="R71" s="239"/>
      <c r="S71" s="239"/>
      <c r="T71" s="239"/>
      <c r="U71" s="239">
        <v>1770</v>
      </c>
      <c r="V71" s="239"/>
    </row>
    <row r="72" spans="1:22" x14ac:dyDescent="0.25">
      <c r="A72">
        <f t="shared" si="1"/>
        <v>1771</v>
      </c>
      <c r="B72" s="154">
        <f>IF(O72="PESO",VALUE(K72),K72*EERR!$D$2)</f>
        <v>215171</v>
      </c>
      <c r="C72" s="239" t="s">
        <v>916</v>
      </c>
      <c r="D72" s="239"/>
      <c r="E72" s="239" t="s">
        <v>189</v>
      </c>
      <c r="F72" s="239"/>
      <c r="G72" s="239" t="s">
        <v>235</v>
      </c>
      <c r="H72" s="240"/>
      <c r="I72" s="240"/>
      <c r="J72" s="240"/>
      <c r="K72" s="240">
        <v>215171</v>
      </c>
      <c r="L72" s="239"/>
      <c r="M72" s="240"/>
      <c r="N72" s="241"/>
      <c r="O72" s="242" t="s">
        <v>213</v>
      </c>
      <c r="P72" s="239"/>
      <c r="Q72" s="239" t="s">
        <v>917</v>
      </c>
      <c r="R72" s="239"/>
      <c r="S72" s="239"/>
      <c r="T72" s="239"/>
      <c r="U72" s="239">
        <v>1771</v>
      </c>
      <c r="V72" s="239"/>
    </row>
    <row r="73" spans="1:22" x14ac:dyDescent="0.25">
      <c r="A73">
        <f t="shared" si="1"/>
        <v>1772</v>
      </c>
      <c r="B73" s="154">
        <f>IF(O73="PESO",VALUE(K73),K73*EERR!$D$2)</f>
        <v>185599.28</v>
      </c>
      <c r="C73" s="239" t="s">
        <v>918</v>
      </c>
      <c r="D73" s="239"/>
      <c r="E73" s="239" t="s">
        <v>226</v>
      </c>
      <c r="F73" s="239"/>
      <c r="G73" s="239" t="s">
        <v>229</v>
      </c>
      <c r="H73" s="240"/>
      <c r="I73" s="240"/>
      <c r="J73" s="240"/>
      <c r="K73" s="240">
        <v>209.48</v>
      </c>
      <c r="L73" s="239"/>
      <c r="M73" s="240"/>
      <c r="N73" s="241"/>
      <c r="O73" s="242" t="s">
        <v>227</v>
      </c>
      <c r="P73" s="239"/>
      <c r="Q73" s="239" t="s">
        <v>919</v>
      </c>
      <c r="R73" s="239"/>
      <c r="S73" s="239"/>
      <c r="T73" s="239"/>
      <c r="U73" s="239">
        <v>1772</v>
      </c>
      <c r="V73" s="239"/>
    </row>
    <row r="74" spans="1:22" x14ac:dyDescent="0.25">
      <c r="A74">
        <f t="shared" si="1"/>
        <v>1773</v>
      </c>
      <c r="B74" s="154">
        <f>IF(O74="PESO",VALUE(K74),K74*EERR!$D$2)</f>
        <v>70400</v>
      </c>
      <c r="C74" s="239" t="s">
        <v>920</v>
      </c>
      <c r="D74" s="239"/>
      <c r="E74" s="239" t="s">
        <v>189</v>
      </c>
      <c r="F74" s="239"/>
      <c r="G74" s="239" t="s">
        <v>235</v>
      </c>
      <c r="H74" s="240"/>
      <c r="I74" s="240"/>
      <c r="J74" s="240"/>
      <c r="K74" s="240">
        <v>70400</v>
      </c>
      <c r="L74" s="239"/>
      <c r="M74" s="240"/>
      <c r="N74" s="241"/>
      <c r="O74" s="242" t="s">
        <v>213</v>
      </c>
      <c r="P74" s="239"/>
      <c r="Q74" s="239" t="s">
        <v>921</v>
      </c>
      <c r="R74" s="239"/>
      <c r="S74" s="239"/>
      <c r="T74" s="239"/>
      <c r="U74" s="239">
        <v>1773</v>
      </c>
      <c r="V74" s="239"/>
    </row>
    <row r="75" spans="1:22" x14ac:dyDescent="0.25">
      <c r="A75">
        <f t="shared" si="1"/>
        <v>1774</v>
      </c>
      <c r="B75" s="154">
        <f>IF(O75="PESO",VALUE(K75),K75*EERR!$D$2)</f>
        <v>181807.19999999998</v>
      </c>
      <c r="C75" s="239" t="s">
        <v>922</v>
      </c>
      <c r="D75" s="239"/>
      <c r="E75" s="239" t="s">
        <v>226</v>
      </c>
      <c r="F75" s="239"/>
      <c r="G75" s="239" t="s">
        <v>229</v>
      </c>
      <c r="H75" s="240"/>
      <c r="I75" s="240"/>
      <c r="J75" s="240"/>
      <c r="K75" s="240">
        <v>205.2</v>
      </c>
      <c r="L75" s="239"/>
      <c r="M75" s="240"/>
      <c r="N75" s="241"/>
      <c r="O75" s="242" t="s">
        <v>227</v>
      </c>
      <c r="P75" s="239"/>
      <c r="Q75" s="239" t="s">
        <v>923</v>
      </c>
      <c r="R75" s="239"/>
      <c r="S75" s="239"/>
      <c r="T75" s="239"/>
      <c r="U75" s="239">
        <v>1774</v>
      </c>
      <c r="V75" s="239"/>
    </row>
    <row r="76" spans="1:22" x14ac:dyDescent="0.25">
      <c r="A76">
        <f t="shared" si="1"/>
        <v>1775</v>
      </c>
      <c r="B76" s="154">
        <f>IF(O76="PESO",VALUE(K76),K76*EERR!$D$2)</f>
        <v>168340</v>
      </c>
      <c r="C76" s="239" t="s">
        <v>924</v>
      </c>
      <c r="D76" s="239"/>
      <c r="E76" s="239" t="s">
        <v>226</v>
      </c>
      <c r="F76" s="239"/>
      <c r="G76" s="239" t="s">
        <v>229</v>
      </c>
      <c r="H76" s="240"/>
      <c r="I76" s="240"/>
      <c r="J76" s="240"/>
      <c r="K76" s="240">
        <v>190</v>
      </c>
      <c r="L76" s="239"/>
      <c r="M76" s="240"/>
      <c r="N76" s="241"/>
      <c r="O76" s="242" t="s">
        <v>227</v>
      </c>
      <c r="P76" s="239"/>
      <c r="Q76" s="239" t="s">
        <v>925</v>
      </c>
      <c r="R76" s="239"/>
      <c r="S76" s="239"/>
      <c r="T76" s="239"/>
      <c r="U76" s="239">
        <v>1775</v>
      </c>
      <c r="V76" s="239"/>
    </row>
    <row r="77" spans="1:22" x14ac:dyDescent="0.25">
      <c r="A77">
        <f t="shared" si="1"/>
        <v>1776</v>
      </c>
      <c r="B77" s="154">
        <f>IF(O77="PESO",VALUE(K77),K77*EERR!$D$2)</f>
        <v>202008</v>
      </c>
      <c r="C77" s="239" t="s">
        <v>926</v>
      </c>
      <c r="D77" s="239"/>
      <c r="E77" s="239" t="s">
        <v>226</v>
      </c>
      <c r="F77" s="239"/>
      <c r="G77" s="239" t="s">
        <v>229</v>
      </c>
      <c r="H77" s="240"/>
      <c r="I77" s="240"/>
      <c r="J77" s="240"/>
      <c r="K77" s="240">
        <v>228</v>
      </c>
      <c r="L77" s="239"/>
      <c r="M77" s="240"/>
      <c r="N77" s="241"/>
      <c r="O77" s="242" t="s">
        <v>227</v>
      </c>
      <c r="P77" s="239"/>
      <c r="Q77" s="239" t="s">
        <v>927</v>
      </c>
      <c r="R77" s="239"/>
      <c r="S77" s="239"/>
      <c r="T77" s="239"/>
      <c r="U77" s="239">
        <v>1776</v>
      </c>
      <c r="V77" s="239"/>
    </row>
    <row r="78" spans="1:22" x14ac:dyDescent="0.25">
      <c r="A78">
        <f t="shared" si="1"/>
        <v>1777</v>
      </c>
      <c r="B78" s="154">
        <f>IF(O78="PESO",VALUE(K78),K78*EERR!$D$2)</f>
        <v>327820</v>
      </c>
      <c r="C78" s="239" t="s">
        <v>928</v>
      </c>
      <c r="D78" s="239"/>
      <c r="E78" s="239" t="s">
        <v>226</v>
      </c>
      <c r="F78" s="239"/>
      <c r="G78" s="239" t="s">
        <v>229</v>
      </c>
      <c r="H78" s="240"/>
      <c r="I78" s="240"/>
      <c r="J78" s="240"/>
      <c r="K78" s="240">
        <v>370</v>
      </c>
      <c r="L78" s="239"/>
      <c r="M78" s="240"/>
      <c r="N78" s="241"/>
      <c r="O78" s="242" t="s">
        <v>227</v>
      </c>
      <c r="P78" s="239"/>
      <c r="Q78" s="239" t="s">
        <v>810</v>
      </c>
      <c r="R78" s="239"/>
      <c r="S78" s="239"/>
      <c r="T78" s="239"/>
      <c r="U78" s="239">
        <v>1777</v>
      </c>
      <c r="V78" s="239"/>
    </row>
    <row r="79" spans="1:22" x14ac:dyDescent="0.25">
      <c r="A79">
        <f t="shared" si="1"/>
        <v>1778</v>
      </c>
      <c r="B79" s="154">
        <f>IF(O79="PESO",VALUE(K79),K79*EERR!$D$2)</f>
        <v>388865.39999999997</v>
      </c>
      <c r="C79" s="239" t="s">
        <v>929</v>
      </c>
      <c r="D79" s="239"/>
      <c r="E79" s="239" t="s">
        <v>226</v>
      </c>
      <c r="F79" s="239"/>
      <c r="G79" s="239" t="s">
        <v>229</v>
      </c>
      <c r="H79" s="240"/>
      <c r="I79" s="240"/>
      <c r="J79" s="240"/>
      <c r="K79" s="240">
        <v>438.9</v>
      </c>
      <c r="L79" s="239"/>
      <c r="M79" s="240"/>
      <c r="N79" s="241"/>
      <c r="O79" s="242" t="s">
        <v>227</v>
      </c>
      <c r="P79" s="239"/>
      <c r="Q79" s="239" t="s">
        <v>814</v>
      </c>
      <c r="R79" s="239"/>
      <c r="S79" s="239"/>
      <c r="T79" s="239"/>
      <c r="U79" s="239">
        <v>1778</v>
      </c>
      <c r="V79" s="239"/>
    </row>
    <row r="80" spans="1:22" x14ac:dyDescent="0.25">
      <c r="A80">
        <f t="shared" si="1"/>
        <v>1779</v>
      </c>
      <c r="B80" s="154">
        <f>IF(O80="PESO",VALUE(K80),K80*EERR!$D$2)</f>
        <v>388865.39999999997</v>
      </c>
      <c r="C80" s="239" t="s">
        <v>930</v>
      </c>
      <c r="D80" s="239"/>
      <c r="E80" s="239" t="s">
        <v>226</v>
      </c>
      <c r="F80" s="239"/>
      <c r="G80" s="239" t="s">
        <v>229</v>
      </c>
      <c r="H80" s="240"/>
      <c r="I80" s="240"/>
      <c r="J80" s="240"/>
      <c r="K80" s="240">
        <v>438.9</v>
      </c>
      <c r="L80" s="239"/>
      <c r="M80" s="240"/>
      <c r="N80" s="241"/>
      <c r="O80" s="242" t="s">
        <v>227</v>
      </c>
      <c r="P80" s="239"/>
      <c r="Q80" s="239" t="s">
        <v>820</v>
      </c>
      <c r="R80" s="239"/>
      <c r="S80" s="239"/>
      <c r="T80" s="239"/>
      <c r="U80" s="239">
        <v>1779</v>
      </c>
      <c r="V80" s="239"/>
    </row>
    <row r="81" spans="1:22" x14ac:dyDescent="0.25">
      <c r="A81">
        <f t="shared" si="1"/>
        <v>1780</v>
      </c>
      <c r="B81" s="154">
        <f>IF(O81="PESO",VALUE(K81),K81*EERR!$D$2)</f>
        <v>388865.39999999997</v>
      </c>
      <c r="C81" s="239" t="s">
        <v>931</v>
      </c>
      <c r="D81" s="239"/>
      <c r="E81" s="239" t="s">
        <v>226</v>
      </c>
      <c r="F81" s="239"/>
      <c r="G81" s="239" t="s">
        <v>229</v>
      </c>
      <c r="H81" s="240"/>
      <c r="I81" s="240"/>
      <c r="J81" s="240"/>
      <c r="K81" s="240">
        <v>438.9</v>
      </c>
      <c r="L81" s="239"/>
      <c r="M81" s="240"/>
      <c r="N81" s="241"/>
      <c r="O81" s="242" t="s">
        <v>227</v>
      </c>
      <c r="P81" s="239"/>
      <c r="Q81" s="239" t="s">
        <v>816</v>
      </c>
      <c r="R81" s="239"/>
      <c r="S81" s="239"/>
      <c r="T81" s="239"/>
      <c r="U81" s="239">
        <v>1780</v>
      </c>
      <c r="V81" s="239"/>
    </row>
    <row r="82" spans="1:22" x14ac:dyDescent="0.25">
      <c r="A82">
        <f t="shared" si="1"/>
        <v>1781</v>
      </c>
      <c r="B82" s="154">
        <f>IF(O82="PESO",VALUE(K82),K82*EERR!$D$2)</f>
        <v>327252.96000000002</v>
      </c>
      <c r="C82" s="239" t="s">
        <v>932</v>
      </c>
      <c r="D82" s="239"/>
      <c r="E82" s="239" t="s">
        <v>226</v>
      </c>
      <c r="F82" s="239"/>
      <c r="G82" s="239" t="s">
        <v>229</v>
      </c>
      <c r="H82" s="240"/>
      <c r="I82" s="240"/>
      <c r="J82" s="240"/>
      <c r="K82" s="240">
        <v>369.36</v>
      </c>
      <c r="L82" s="239"/>
      <c r="M82" s="240"/>
      <c r="N82" s="241"/>
      <c r="O82" s="242" t="s">
        <v>227</v>
      </c>
      <c r="P82" s="239"/>
      <c r="Q82" s="239" t="s">
        <v>933</v>
      </c>
      <c r="R82" s="239"/>
      <c r="S82" s="239"/>
      <c r="T82" s="239"/>
      <c r="U82" s="239">
        <v>1781</v>
      </c>
      <c r="V82" s="239"/>
    </row>
    <row r="83" spans="1:22" x14ac:dyDescent="0.25">
      <c r="A83">
        <f t="shared" si="1"/>
        <v>1782</v>
      </c>
      <c r="B83" s="154">
        <f>IF(O83="PESO",VALUE(K83),K83*EERR!$D$2)</f>
        <v>176757</v>
      </c>
      <c r="C83" s="239" t="s">
        <v>934</v>
      </c>
      <c r="D83" s="239"/>
      <c r="E83" s="239" t="s">
        <v>226</v>
      </c>
      <c r="F83" s="239"/>
      <c r="G83" s="239" t="s">
        <v>229</v>
      </c>
      <c r="H83" s="240"/>
      <c r="I83" s="240"/>
      <c r="J83" s="240"/>
      <c r="K83" s="240">
        <v>199.5</v>
      </c>
      <c r="L83" s="239"/>
      <c r="M83" s="240"/>
      <c r="N83" s="241"/>
      <c r="O83" s="242" t="s">
        <v>227</v>
      </c>
      <c r="P83" s="239"/>
      <c r="Q83" s="239" t="s">
        <v>935</v>
      </c>
      <c r="R83" s="239"/>
      <c r="S83" s="239"/>
      <c r="T83" s="239"/>
      <c r="U83" s="239">
        <v>1782</v>
      </c>
      <c r="V83" s="239"/>
    </row>
    <row r="84" spans="1:22" x14ac:dyDescent="0.25">
      <c r="A84">
        <f t="shared" si="1"/>
        <v>1783</v>
      </c>
      <c r="B84" s="154">
        <f>IF(O84="PESO",VALUE(K84),K84*EERR!$D$2)</f>
        <v>167037.57999999999</v>
      </c>
      <c r="C84" s="239" t="s">
        <v>936</v>
      </c>
      <c r="D84" s="239"/>
      <c r="E84" s="239" t="s">
        <v>226</v>
      </c>
      <c r="F84" s="239"/>
      <c r="G84" s="239" t="s">
        <v>229</v>
      </c>
      <c r="H84" s="240"/>
      <c r="I84" s="240"/>
      <c r="J84" s="240"/>
      <c r="K84" s="240">
        <v>188.53</v>
      </c>
      <c r="L84" s="239"/>
      <c r="M84" s="240"/>
      <c r="N84" s="241"/>
      <c r="O84" s="242" t="s">
        <v>227</v>
      </c>
      <c r="P84" s="239"/>
      <c r="Q84" s="239" t="s">
        <v>937</v>
      </c>
      <c r="R84" s="239"/>
      <c r="S84" s="239"/>
      <c r="T84" s="239"/>
      <c r="U84" s="239">
        <v>1783</v>
      </c>
      <c r="V84" s="239"/>
    </row>
    <row r="85" spans="1:22" x14ac:dyDescent="0.25">
      <c r="A85">
        <f t="shared" si="1"/>
        <v>1784</v>
      </c>
      <c r="B85" s="154">
        <f>IF(O85="PESO",VALUE(K85),K85*EERR!$D$2)</f>
        <v>167037.57999999999</v>
      </c>
      <c r="C85" s="239" t="s">
        <v>938</v>
      </c>
      <c r="D85" s="239"/>
      <c r="E85" s="239" t="s">
        <v>226</v>
      </c>
      <c r="F85" s="239"/>
      <c r="G85" s="239" t="s">
        <v>229</v>
      </c>
      <c r="H85" s="240"/>
      <c r="I85" s="240"/>
      <c r="J85" s="240"/>
      <c r="K85" s="240">
        <v>188.53</v>
      </c>
      <c r="L85" s="239"/>
      <c r="M85" s="240"/>
      <c r="N85" s="241"/>
      <c r="O85" s="242" t="s">
        <v>227</v>
      </c>
      <c r="P85" s="239"/>
      <c r="Q85" s="239" t="s">
        <v>939</v>
      </c>
      <c r="R85" s="239"/>
      <c r="S85" s="239"/>
      <c r="T85" s="239"/>
      <c r="U85" s="239">
        <v>1784</v>
      </c>
      <c r="V85" s="239"/>
    </row>
    <row r="86" spans="1:22" x14ac:dyDescent="0.25">
      <c r="A86">
        <f t="shared" si="1"/>
        <v>1785</v>
      </c>
      <c r="B86" s="154">
        <f>IF(O86="PESO",VALUE(K86),K86*EERR!$D$2)</f>
        <v>177200</v>
      </c>
      <c r="C86" s="239" t="s">
        <v>940</v>
      </c>
      <c r="D86" s="239"/>
      <c r="E86" s="239" t="s">
        <v>226</v>
      </c>
      <c r="F86" s="239"/>
      <c r="G86" s="239" t="s">
        <v>229</v>
      </c>
      <c r="H86" s="240"/>
      <c r="I86" s="240"/>
      <c r="J86" s="240"/>
      <c r="K86" s="240">
        <v>200</v>
      </c>
      <c r="L86" s="239"/>
      <c r="M86" s="240"/>
      <c r="N86" s="241"/>
      <c r="O86" s="242" t="s">
        <v>227</v>
      </c>
      <c r="P86" s="239"/>
      <c r="Q86" s="239" t="s">
        <v>810</v>
      </c>
      <c r="R86" s="239"/>
      <c r="S86" s="239"/>
      <c r="T86" s="239"/>
      <c r="U86" s="239">
        <v>1785</v>
      </c>
      <c r="V86" s="239"/>
    </row>
    <row r="87" spans="1:22" x14ac:dyDescent="0.25">
      <c r="A87">
        <f t="shared" si="1"/>
        <v>1787</v>
      </c>
      <c r="B87" s="154">
        <f>IF(O87="PESO",VALUE(K87),K87*EERR!$D$2)</f>
        <v>556797.84000000008</v>
      </c>
      <c r="C87" s="239" t="s">
        <v>941</v>
      </c>
      <c r="D87" s="239"/>
      <c r="E87" s="239" t="s">
        <v>226</v>
      </c>
      <c r="F87" s="239"/>
      <c r="G87" s="239" t="s">
        <v>229</v>
      </c>
      <c r="H87" s="240"/>
      <c r="I87" s="240"/>
      <c r="J87" s="240"/>
      <c r="K87" s="240">
        <v>628.44000000000005</v>
      </c>
      <c r="L87" s="239"/>
      <c r="M87" s="240"/>
      <c r="N87" s="241"/>
      <c r="O87" s="242" t="s">
        <v>227</v>
      </c>
      <c r="P87" s="239"/>
      <c r="Q87" s="239" t="s">
        <v>822</v>
      </c>
      <c r="R87" s="239"/>
      <c r="S87" s="239"/>
      <c r="T87" s="239"/>
      <c r="U87" s="239">
        <v>1787</v>
      </c>
      <c r="V87" s="239"/>
    </row>
    <row r="88" spans="1:22" x14ac:dyDescent="0.25">
      <c r="A88">
        <f t="shared" si="1"/>
        <v>1786</v>
      </c>
      <c r="B88" s="154">
        <f>IF(O88="PESO",VALUE(K88),K88*EERR!$D$2)</f>
        <v>777730.79999999993</v>
      </c>
      <c r="C88" s="239" t="s">
        <v>942</v>
      </c>
      <c r="D88" s="239"/>
      <c r="E88" s="239" t="s">
        <v>226</v>
      </c>
      <c r="F88" s="239"/>
      <c r="G88" s="239" t="s">
        <v>229</v>
      </c>
      <c r="H88" s="240"/>
      <c r="I88" s="240"/>
      <c r="J88" s="240"/>
      <c r="K88" s="240">
        <v>877.8</v>
      </c>
      <c r="L88" s="239"/>
      <c r="M88" s="240"/>
      <c r="N88" s="241"/>
      <c r="O88" s="242" t="s">
        <v>227</v>
      </c>
      <c r="P88" s="239"/>
      <c r="Q88" s="239" t="s">
        <v>943</v>
      </c>
      <c r="R88" s="239"/>
      <c r="S88" s="239"/>
      <c r="T88" s="239"/>
      <c r="U88" s="239">
        <v>1786</v>
      </c>
      <c r="V88" s="239"/>
    </row>
    <row r="89" spans="1:22" x14ac:dyDescent="0.25">
      <c r="A89">
        <f t="shared" si="1"/>
        <v>1788</v>
      </c>
      <c r="B89" s="154">
        <f>IF(O89="PESO",VALUE(K89),K89*EERR!$D$2)</f>
        <v>654505.92000000004</v>
      </c>
      <c r="C89" s="239" t="s">
        <v>944</v>
      </c>
      <c r="D89" s="239"/>
      <c r="E89" s="239" t="s">
        <v>226</v>
      </c>
      <c r="F89" s="239"/>
      <c r="G89" s="239" t="s">
        <v>229</v>
      </c>
      <c r="H89" s="240"/>
      <c r="I89" s="240"/>
      <c r="J89" s="240"/>
      <c r="K89" s="240">
        <v>738.72</v>
      </c>
      <c r="L89" s="239"/>
      <c r="M89" s="240"/>
      <c r="N89" s="241"/>
      <c r="O89" s="242" t="s">
        <v>227</v>
      </c>
      <c r="P89" s="239"/>
      <c r="Q89" s="239" t="s">
        <v>945</v>
      </c>
      <c r="R89" s="239"/>
      <c r="S89" s="239"/>
      <c r="T89" s="239"/>
      <c r="U89" s="239">
        <v>1788</v>
      </c>
      <c r="V89" s="239"/>
    </row>
    <row r="90" spans="1:22" x14ac:dyDescent="0.25">
      <c r="A90">
        <f t="shared" si="1"/>
        <v>1789</v>
      </c>
      <c r="B90" s="154">
        <f>IF(O90="PESO",VALUE(K90),K90*EERR!$D$2)</f>
        <v>353514</v>
      </c>
      <c r="C90" s="239" t="s">
        <v>946</v>
      </c>
      <c r="D90" s="239"/>
      <c r="E90" s="239" t="s">
        <v>226</v>
      </c>
      <c r="F90" s="239"/>
      <c r="G90" s="239" t="s">
        <v>229</v>
      </c>
      <c r="H90" s="240"/>
      <c r="I90" s="240"/>
      <c r="J90" s="240"/>
      <c r="K90" s="240">
        <v>399</v>
      </c>
      <c r="L90" s="239"/>
      <c r="M90" s="240"/>
      <c r="N90" s="241"/>
      <c r="O90" s="242" t="s">
        <v>227</v>
      </c>
      <c r="P90" s="239"/>
      <c r="Q90" s="239" t="s">
        <v>947</v>
      </c>
      <c r="R90" s="239"/>
      <c r="S90" s="239"/>
      <c r="T90" s="239"/>
      <c r="U90" s="239">
        <v>1789</v>
      </c>
      <c r="V90" s="239"/>
    </row>
    <row r="91" spans="1:22" x14ac:dyDescent="0.25">
      <c r="A91">
        <f t="shared" si="1"/>
        <v>1790</v>
      </c>
      <c r="B91" s="154">
        <f>IF(O91="PESO",VALUE(K91),K91*EERR!$D$2)</f>
        <v>181807.19999999998</v>
      </c>
      <c r="C91" s="239" t="s">
        <v>948</v>
      </c>
      <c r="D91" s="239"/>
      <c r="E91" s="239" t="s">
        <v>226</v>
      </c>
      <c r="F91" s="239"/>
      <c r="G91" s="239" t="s">
        <v>229</v>
      </c>
      <c r="H91" s="240"/>
      <c r="I91" s="240"/>
      <c r="J91" s="240"/>
      <c r="K91" s="240">
        <v>205.2</v>
      </c>
      <c r="L91" s="239"/>
      <c r="M91" s="240"/>
      <c r="N91" s="241"/>
      <c r="O91" s="242" t="s">
        <v>227</v>
      </c>
      <c r="P91" s="239"/>
      <c r="Q91" s="239" t="s">
        <v>824</v>
      </c>
      <c r="R91" s="239"/>
      <c r="S91" s="239"/>
      <c r="T91" s="239"/>
      <c r="U91" s="239">
        <v>1790</v>
      </c>
      <c r="V91" s="239"/>
    </row>
    <row r="92" spans="1:22" x14ac:dyDescent="0.25">
      <c r="A92">
        <f t="shared" si="1"/>
        <v>1791</v>
      </c>
      <c r="B92" s="154">
        <f>IF(O92="PESO",VALUE(K92),K92*EERR!$D$2)</f>
        <v>556797.84000000008</v>
      </c>
      <c r="C92" s="239" t="s">
        <v>949</v>
      </c>
      <c r="D92" s="239"/>
      <c r="E92" s="239" t="s">
        <v>226</v>
      </c>
      <c r="F92" s="239"/>
      <c r="G92" s="239" t="s">
        <v>229</v>
      </c>
      <c r="H92" s="240"/>
      <c r="I92" s="240"/>
      <c r="J92" s="240"/>
      <c r="K92" s="240">
        <v>628.44000000000005</v>
      </c>
      <c r="L92" s="239"/>
      <c r="M92" s="240"/>
      <c r="N92" s="241"/>
      <c r="O92" s="242" t="s">
        <v>227</v>
      </c>
      <c r="P92" s="239"/>
      <c r="Q92" s="239" t="s">
        <v>828</v>
      </c>
      <c r="R92" s="239"/>
      <c r="S92" s="239"/>
      <c r="T92" s="239"/>
      <c r="U92" s="239">
        <v>1791</v>
      </c>
      <c r="V92" s="239"/>
    </row>
    <row r="93" spans="1:22" x14ac:dyDescent="0.25">
      <c r="A93">
        <f t="shared" si="1"/>
        <v>1792</v>
      </c>
      <c r="B93" s="154">
        <f>IF(O93="PESO",VALUE(K93),K93*EERR!$D$2)</f>
        <v>-327252.96000000002</v>
      </c>
      <c r="C93" s="239" t="s">
        <v>950</v>
      </c>
      <c r="D93" s="239"/>
      <c r="E93" s="239" t="s">
        <v>226</v>
      </c>
      <c r="F93" s="239"/>
      <c r="G93" s="239" t="s">
        <v>281</v>
      </c>
      <c r="H93" s="240"/>
      <c r="I93" s="240"/>
      <c r="J93" s="240"/>
      <c r="K93" s="240">
        <v>-369.36</v>
      </c>
      <c r="L93" s="239"/>
      <c r="M93" s="240"/>
      <c r="N93" s="241"/>
      <c r="O93" s="242" t="s">
        <v>227</v>
      </c>
      <c r="P93" s="239"/>
      <c r="Q93" s="239" t="s">
        <v>689</v>
      </c>
      <c r="R93" s="239"/>
      <c r="S93" s="239"/>
      <c r="T93" s="239"/>
      <c r="U93" s="239">
        <v>1792</v>
      </c>
      <c r="V93" s="239"/>
    </row>
    <row r="94" spans="1:22" x14ac:dyDescent="0.25">
      <c r="A94">
        <f t="shared" si="1"/>
        <v>1792</v>
      </c>
      <c r="B94" s="154">
        <f>IF(O94="PESO",VALUE(K94),K94*EERR!$D$2)</f>
        <v>327252.96000000002</v>
      </c>
      <c r="C94" s="239" t="s">
        <v>950</v>
      </c>
      <c r="D94" s="239"/>
      <c r="E94" s="239" t="s">
        <v>226</v>
      </c>
      <c r="F94" s="239"/>
      <c r="G94" s="239" t="s">
        <v>229</v>
      </c>
      <c r="H94" s="240"/>
      <c r="I94" s="240"/>
      <c r="J94" s="240"/>
      <c r="K94" s="240">
        <v>369.36</v>
      </c>
      <c r="L94" s="239"/>
      <c r="M94" s="240"/>
      <c r="N94" s="241"/>
      <c r="O94" s="242" t="s">
        <v>227</v>
      </c>
      <c r="P94" s="239"/>
      <c r="Q94" s="239" t="s">
        <v>689</v>
      </c>
      <c r="R94" s="239"/>
      <c r="S94" s="239"/>
      <c r="T94" s="239"/>
      <c r="U94" s="239">
        <v>1792</v>
      </c>
      <c r="V94" s="239"/>
    </row>
    <row r="95" spans="1:22" x14ac:dyDescent="0.25">
      <c r="A95">
        <f t="shared" si="1"/>
        <v>1793</v>
      </c>
      <c r="B95" s="154">
        <f>IF(O95="PESO",VALUE(K95),K95*EERR!$D$2)</f>
        <v>194432.69999999998</v>
      </c>
      <c r="C95" s="239" t="s">
        <v>951</v>
      </c>
      <c r="D95" s="239"/>
      <c r="E95" s="239" t="s">
        <v>226</v>
      </c>
      <c r="F95" s="239"/>
      <c r="G95" s="239" t="s">
        <v>229</v>
      </c>
      <c r="H95" s="240"/>
      <c r="I95" s="240"/>
      <c r="J95" s="240"/>
      <c r="K95" s="240">
        <v>219.45</v>
      </c>
      <c r="L95" s="239"/>
      <c r="M95" s="240"/>
      <c r="N95" s="241"/>
      <c r="O95" s="242" t="s">
        <v>227</v>
      </c>
      <c r="P95" s="239"/>
      <c r="Q95" s="239" t="s">
        <v>952</v>
      </c>
      <c r="R95" s="239"/>
      <c r="S95" s="239"/>
      <c r="T95" s="239"/>
      <c r="U95" s="239">
        <v>1793</v>
      </c>
      <c r="V95" s="239"/>
    </row>
    <row r="96" spans="1:22" x14ac:dyDescent="0.25">
      <c r="A96">
        <f t="shared" si="1"/>
        <v>1794</v>
      </c>
      <c r="B96" s="154">
        <f>IF(O96="PESO",VALUE(K96),K96*EERR!$D$2)</f>
        <v>181807.19999999998</v>
      </c>
      <c r="C96" s="239" t="s">
        <v>953</v>
      </c>
      <c r="D96" s="239"/>
      <c r="E96" s="239" t="s">
        <v>226</v>
      </c>
      <c r="F96" s="239"/>
      <c r="G96" s="239" t="s">
        <v>229</v>
      </c>
      <c r="H96" s="240"/>
      <c r="I96" s="240"/>
      <c r="J96" s="240"/>
      <c r="K96" s="240">
        <v>205.2</v>
      </c>
      <c r="L96" s="239"/>
      <c r="M96" s="240"/>
      <c r="N96" s="241"/>
      <c r="O96" s="242" t="s">
        <v>227</v>
      </c>
      <c r="P96" s="239"/>
      <c r="Q96" s="239" t="s">
        <v>954</v>
      </c>
      <c r="R96" s="239"/>
      <c r="S96" s="239"/>
      <c r="T96" s="239"/>
      <c r="U96" s="239">
        <v>1794</v>
      </c>
      <c r="V96" s="239"/>
    </row>
    <row r="97" spans="1:22" x14ac:dyDescent="0.25">
      <c r="A97">
        <f t="shared" si="1"/>
        <v>1795</v>
      </c>
      <c r="B97" s="154">
        <f>IF(O97="PESO",VALUE(K97),K97*EERR!$D$2)</f>
        <v>181807.19999999998</v>
      </c>
      <c r="C97" s="239" t="s">
        <v>955</v>
      </c>
      <c r="D97" s="239"/>
      <c r="E97" s="239" t="s">
        <v>226</v>
      </c>
      <c r="F97" s="239"/>
      <c r="G97" s="239" t="s">
        <v>229</v>
      </c>
      <c r="H97" s="240"/>
      <c r="I97" s="240"/>
      <c r="J97" s="240"/>
      <c r="K97" s="240">
        <v>205.2</v>
      </c>
      <c r="L97" s="239"/>
      <c r="M97" s="240"/>
      <c r="N97" s="241"/>
      <c r="O97" s="242" t="s">
        <v>227</v>
      </c>
      <c r="P97" s="239"/>
      <c r="Q97" s="239" t="s">
        <v>954</v>
      </c>
      <c r="R97" s="239"/>
      <c r="S97" s="239"/>
      <c r="T97" s="239"/>
      <c r="U97" s="239">
        <v>1795</v>
      </c>
      <c r="V97" s="239"/>
    </row>
    <row r="98" spans="1:22" x14ac:dyDescent="0.25">
      <c r="A98">
        <f t="shared" si="1"/>
        <v>1796</v>
      </c>
      <c r="B98" s="154">
        <f>IF(O98="PESO",VALUE(K98),K98*EERR!$D$2)</f>
        <v>194432.69999999998</v>
      </c>
      <c r="C98" s="239" t="s">
        <v>956</v>
      </c>
      <c r="D98" s="239"/>
      <c r="E98" s="239" t="s">
        <v>226</v>
      </c>
      <c r="F98" s="239"/>
      <c r="G98" s="239" t="s">
        <v>229</v>
      </c>
      <c r="H98" s="240"/>
      <c r="I98" s="240"/>
      <c r="J98" s="240"/>
      <c r="K98" s="240">
        <v>219.45</v>
      </c>
      <c r="L98" s="239"/>
      <c r="M98" s="240"/>
      <c r="N98" s="241"/>
      <c r="O98" s="242" t="s">
        <v>227</v>
      </c>
      <c r="P98" s="239"/>
      <c r="Q98" s="239" t="s">
        <v>952</v>
      </c>
      <c r="R98" s="239"/>
      <c r="S98" s="239"/>
      <c r="T98" s="239"/>
      <c r="U98" s="239">
        <v>1796</v>
      </c>
      <c r="V98" s="239"/>
    </row>
    <row r="99" spans="1:22" x14ac:dyDescent="0.25">
      <c r="A99">
        <f t="shared" si="1"/>
        <v>1797</v>
      </c>
      <c r="B99" s="154">
        <f>IF(O99="PESO",VALUE(K99),K99*EERR!$D$2)</f>
        <v>530271</v>
      </c>
      <c r="C99" s="239" t="s">
        <v>957</v>
      </c>
      <c r="D99" s="239"/>
      <c r="E99" s="239" t="s">
        <v>226</v>
      </c>
      <c r="F99" s="239"/>
      <c r="G99" s="239" t="s">
        <v>229</v>
      </c>
      <c r="H99" s="240"/>
      <c r="I99" s="240"/>
      <c r="J99" s="240"/>
      <c r="K99" s="240">
        <v>598.5</v>
      </c>
      <c r="L99" s="239"/>
      <c r="M99" s="240"/>
      <c r="N99" s="241"/>
      <c r="O99" s="242" t="s">
        <v>227</v>
      </c>
      <c r="P99" s="239"/>
      <c r="Q99" s="239" t="s">
        <v>958</v>
      </c>
      <c r="R99" s="239"/>
      <c r="S99" s="239"/>
      <c r="T99" s="239"/>
      <c r="U99" s="239">
        <v>1797</v>
      </c>
      <c r="V99" s="239"/>
    </row>
    <row r="100" spans="1:22" x14ac:dyDescent="0.25">
      <c r="A100">
        <f t="shared" si="1"/>
        <v>1798</v>
      </c>
      <c r="B100" s="154">
        <f>IF(O100="PESO",VALUE(K100),K100*EERR!$D$2)</f>
        <v>404016</v>
      </c>
      <c r="C100" s="239" t="s">
        <v>959</v>
      </c>
      <c r="D100" s="239"/>
      <c r="E100" s="239" t="s">
        <v>226</v>
      </c>
      <c r="F100" s="239"/>
      <c r="G100" s="239" t="s">
        <v>229</v>
      </c>
      <c r="H100" s="240"/>
      <c r="I100" s="240"/>
      <c r="J100" s="240"/>
      <c r="K100" s="240">
        <v>456</v>
      </c>
      <c r="L100" s="239"/>
      <c r="M100" s="240"/>
      <c r="N100" s="241"/>
      <c r="O100" s="242" t="s">
        <v>227</v>
      </c>
      <c r="P100" s="239"/>
      <c r="Q100" s="239" t="s">
        <v>846</v>
      </c>
      <c r="R100" s="239"/>
      <c r="S100" s="239"/>
      <c r="T100" s="239"/>
      <c r="U100" s="239">
        <v>1798</v>
      </c>
      <c r="V100" s="239"/>
    </row>
    <row r="101" spans="1:22" x14ac:dyDescent="0.25">
      <c r="A101">
        <f t="shared" si="1"/>
        <v>1799</v>
      </c>
      <c r="B101" s="154">
        <f>IF(O101="PESO",VALUE(K101),K101*EERR!$D$2)</f>
        <v>348844.78</v>
      </c>
      <c r="C101" s="239" t="s">
        <v>960</v>
      </c>
      <c r="D101" s="239"/>
      <c r="E101" s="239" t="s">
        <v>226</v>
      </c>
      <c r="F101" s="239"/>
      <c r="G101" s="239" t="s">
        <v>229</v>
      </c>
      <c r="H101" s="240"/>
      <c r="I101" s="240"/>
      <c r="J101" s="240"/>
      <c r="K101" s="240">
        <v>393.73</v>
      </c>
      <c r="L101" s="239"/>
      <c r="M101" s="240"/>
      <c r="N101" s="241"/>
      <c r="O101" s="242" t="s">
        <v>227</v>
      </c>
      <c r="P101" s="239"/>
      <c r="Q101" s="239" t="s">
        <v>841</v>
      </c>
      <c r="R101" s="239"/>
      <c r="S101" s="239"/>
      <c r="T101" s="239"/>
      <c r="U101" s="239">
        <v>1799</v>
      </c>
      <c r="V101" s="239"/>
    </row>
    <row r="102" spans="1:22" x14ac:dyDescent="0.25">
      <c r="A102">
        <f t="shared" si="1"/>
        <v>1800</v>
      </c>
      <c r="B102" s="154">
        <f>IF(O102="PESO",VALUE(K102),K102*EERR!$D$2)</f>
        <v>1010040</v>
      </c>
      <c r="C102" s="239" t="s">
        <v>961</v>
      </c>
      <c r="D102" s="239"/>
      <c r="E102" s="239" t="s">
        <v>226</v>
      </c>
      <c r="F102" s="239"/>
      <c r="G102" s="239" t="s">
        <v>229</v>
      </c>
      <c r="H102" s="240"/>
      <c r="I102" s="240"/>
      <c r="J102" s="240"/>
      <c r="K102" s="240">
        <v>1140</v>
      </c>
      <c r="L102" s="239"/>
      <c r="M102" s="240"/>
      <c r="N102" s="241"/>
      <c r="O102" s="242" t="s">
        <v>227</v>
      </c>
      <c r="P102" s="239"/>
      <c r="Q102" s="239" t="s">
        <v>848</v>
      </c>
      <c r="R102" s="239"/>
      <c r="S102" s="239"/>
      <c r="T102" s="239"/>
      <c r="U102" s="239">
        <v>1800</v>
      </c>
      <c r="V102" s="239"/>
    </row>
    <row r="103" spans="1:22" x14ac:dyDescent="0.25">
      <c r="A103">
        <f t="shared" si="1"/>
        <v>1801</v>
      </c>
      <c r="B103" s="154">
        <f>IF(O103="PESO",VALUE(K103),K103*EERR!$D$2)</f>
        <v>181807.19999999998</v>
      </c>
      <c r="C103" s="239" t="s">
        <v>962</v>
      </c>
      <c r="D103" s="239"/>
      <c r="E103" s="239" t="s">
        <v>226</v>
      </c>
      <c r="F103" s="239"/>
      <c r="G103" s="239" t="s">
        <v>229</v>
      </c>
      <c r="H103" s="240"/>
      <c r="I103" s="240"/>
      <c r="J103" s="240"/>
      <c r="K103" s="240">
        <v>205.2</v>
      </c>
      <c r="L103" s="239"/>
      <c r="M103" s="240"/>
      <c r="N103" s="241"/>
      <c r="O103" s="242" t="s">
        <v>227</v>
      </c>
      <c r="P103" s="239"/>
      <c r="Q103" s="239" t="s">
        <v>923</v>
      </c>
      <c r="R103" s="239"/>
      <c r="S103" s="239"/>
      <c r="T103" s="239"/>
      <c r="U103" s="239">
        <v>1801</v>
      </c>
      <c r="V103" s="239"/>
    </row>
    <row r="104" spans="1:22" x14ac:dyDescent="0.25">
      <c r="A104">
        <f t="shared" si="1"/>
        <v>1802</v>
      </c>
      <c r="B104" s="154">
        <f>IF(O104="PESO",VALUE(K104),K104*EERR!$D$2)</f>
        <v>818132.4</v>
      </c>
      <c r="C104" s="239" t="s">
        <v>963</v>
      </c>
      <c r="D104" s="239"/>
      <c r="E104" s="239" t="s">
        <v>226</v>
      </c>
      <c r="F104" s="239"/>
      <c r="G104" s="239" t="s">
        <v>229</v>
      </c>
      <c r="H104" s="240"/>
      <c r="I104" s="240"/>
      <c r="J104" s="240"/>
      <c r="K104" s="240">
        <v>923.4</v>
      </c>
      <c r="L104" s="239"/>
      <c r="M104" s="240"/>
      <c r="N104" s="241"/>
      <c r="O104" s="242" t="s">
        <v>227</v>
      </c>
      <c r="P104" s="239"/>
      <c r="Q104" s="239" t="s">
        <v>964</v>
      </c>
      <c r="R104" s="239"/>
      <c r="S104" s="239"/>
      <c r="T104" s="239"/>
      <c r="U104" s="239">
        <v>1802</v>
      </c>
      <c r="V104" s="239"/>
    </row>
    <row r="105" spans="1:22" x14ac:dyDescent="0.25">
      <c r="A105">
        <f t="shared" si="1"/>
        <v>1803</v>
      </c>
      <c r="B105" s="154">
        <f>IF(O105="PESO",VALUE(K105),K105*EERR!$D$2)</f>
        <v>181807.19999999998</v>
      </c>
      <c r="C105" s="239" t="s">
        <v>965</v>
      </c>
      <c r="D105" s="239"/>
      <c r="E105" s="239" t="s">
        <v>226</v>
      </c>
      <c r="F105" s="239"/>
      <c r="G105" s="239" t="s">
        <v>229</v>
      </c>
      <c r="H105" s="240"/>
      <c r="I105" s="240"/>
      <c r="J105" s="240"/>
      <c r="K105" s="240">
        <v>205.2</v>
      </c>
      <c r="L105" s="239"/>
      <c r="M105" s="240"/>
      <c r="N105" s="241"/>
      <c r="O105" s="242" t="s">
        <v>227</v>
      </c>
      <c r="P105" s="239"/>
      <c r="Q105" s="239" t="s">
        <v>966</v>
      </c>
      <c r="R105" s="239"/>
      <c r="S105" s="239"/>
      <c r="T105" s="239"/>
      <c r="U105" s="239">
        <v>1803</v>
      </c>
      <c r="V105" s="239"/>
    </row>
    <row r="106" spans="1:22" x14ac:dyDescent="0.25">
      <c r="A106">
        <f t="shared" si="1"/>
        <v>1804</v>
      </c>
      <c r="B106" s="154">
        <f>IF(O106="PESO",VALUE(K106),K106*EERR!$D$2)</f>
        <v>363614.39999999997</v>
      </c>
      <c r="C106" s="239" t="s">
        <v>967</v>
      </c>
      <c r="D106" s="239"/>
      <c r="E106" s="239" t="s">
        <v>226</v>
      </c>
      <c r="F106" s="239"/>
      <c r="G106" s="239" t="s">
        <v>229</v>
      </c>
      <c r="H106" s="240"/>
      <c r="I106" s="240"/>
      <c r="J106" s="240"/>
      <c r="K106" s="240">
        <v>410.4</v>
      </c>
      <c r="L106" s="239"/>
      <c r="M106" s="240"/>
      <c r="N106" s="241"/>
      <c r="O106" s="242" t="s">
        <v>227</v>
      </c>
      <c r="P106" s="239"/>
      <c r="Q106" s="239" t="s">
        <v>968</v>
      </c>
      <c r="R106" s="239"/>
      <c r="S106" s="239"/>
      <c r="T106" s="239"/>
      <c r="U106" s="239">
        <v>1804</v>
      </c>
      <c r="V106" s="239"/>
    </row>
    <row r="107" spans="1:22" x14ac:dyDescent="0.25">
      <c r="A107">
        <f t="shared" si="1"/>
        <v>1805</v>
      </c>
      <c r="B107" s="154">
        <f>IF(O107="PESO",VALUE(K107),K107*EERR!$D$2)</f>
        <v>181807.19999999998</v>
      </c>
      <c r="C107" s="239" t="s">
        <v>969</v>
      </c>
      <c r="D107" s="239"/>
      <c r="E107" s="239" t="s">
        <v>226</v>
      </c>
      <c r="F107" s="239"/>
      <c r="G107" s="239" t="s">
        <v>229</v>
      </c>
      <c r="H107" s="240"/>
      <c r="I107" s="240"/>
      <c r="J107" s="240"/>
      <c r="K107" s="240">
        <v>205.2</v>
      </c>
      <c r="L107" s="239"/>
      <c r="M107" s="240"/>
      <c r="N107" s="241"/>
      <c r="O107" s="242" t="s">
        <v>227</v>
      </c>
      <c r="P107" s="239"/>
      <c r="Q107" s="239" t="s">
        <v>970</v>
      </c>
      <c r="R107" s="239"/>
      <c r="S107" s="239"/>
      <c r="T107" s="239"/>
      <c r="U107" s="239">
        <v>1805</v>
      </c>
      <c r="V107" s="239"/>
    </row>
    <row r="108" spans="1:22" x14ac:dyDescent="0.25">
      <c r="A108">
        <f t="shared" si="1"/>
        <v>1806</v>
      </c>
      <c r="B108" s="154">
        <f>IF(O108="PESO",VALUE(K108),K108*EERR!$D$2)</f>
        <v>1122429.0999999999</v>
      </c>
      <c r="C108" s="239" t="s">
        <v>971</v>
      </c>
      <c r="D108" s="239"/>
      <c r="E108" s="239" t="s">
        <v>226</v>
      </c>
      <c r="F108" s="239"/>
      <c r="G108" s="239" t="s">
        <v>229</v>
      </c>
      <c r="H108" s="240"/>
      <c r="I108" s="240"/>
      <c r="J108" s="240"/>
      <c r="K108" s="240">
        <v>1266.8499999999999</v>
      </c>
      <c r="L108" s="239"/>
      <c r="M108" s="240"/>
      <c r="N108" s="241"/>
      <c r="O108" s="242" t="s">
        <v>227</v>
      </c>
      <c r="P108" s="239"/>
      <c r="Q108" s="239" t="s">
        <v>852</v>
      </c>
      <c r="R108" s="239"/>
      <c r="S108" s="239"/>
      <c r="T108" s="239"/>
      <c r="U108" s="239">
        <v>1806</v>
      </c>
      <c r="V108" s="239"/>
    </row>
    <row r="109" spans="1:22" x14ac:dyDescent="0.25">
      <c r="A109">
        <f t="shared" si="1"/>
        <v>1807</v>
      </c>
      <c r="B109" s="154">
        <f>IF(O109="PESO",VALUE(K109),K109*EERR!$D$2)</f>
        <v>490879.43999999994</v>
      </c>
      <c r="C109" s="239" t="s">
        <v>972</v>
      </c>
      <c r="D109" s="239"/>
      <c r="E109" s="239" t="s">
        <v>226</v>
      </c>
      <c r="F109" s="239"/>
      <c r="G109" s="239" t="s">
        <v>229</v>
      </c>
      <c r="H109" s="240"/>
      <c r="I109" s="240"/>
      <c r="J109" s="240"/>
      <c r="K109" s="240">
        <v>554.04</v>
      </c>
      <c r="L109" s="239"/>
      <c r="M109" s="240"/>
      <c r="N109" s="241"/>
      <c r="O109" s="242" t="s">
        <v>227</v>
      </c>
      <c r="P109" s="239"/>
      <c r="Q109" s="239" t="s">
        <v>973</v>
      </c>
      <c r="R109" s="239"/>
      <c r="S109" s="239"/>
      <c r="T109" s="239"/>
      <c r="U109" s="239">
        <v>1807</v>
      </c>
      <c r="V109" s="239"/>
    </row>
    <row r="110" spans="1:22" x14ac:dyDescent="0.25">
      <c r="A110">
        <f t="shared" si="1"/>
        <v>1808</v>
      </c>
      <c r="B110" s="154">
        <f>IF(O110="PESO",VALUE(K110),K110*EERR!$D$2)</f>
        <v>181807.19999999998</v>
      </c>
      <c r="C110" s="239" t="s">
        <v>974</v>
      </c>
      <c r="D110" s="239"/>
      <c r="E110" s="239" t="s">
        <v>226</v>
      </c>
      <c r="F110" s="239"/>
      <c r="G110" s="239" t="s">
        <v>229</v>
      </c>
      <c r="H110" s="240"/>
      <c r="I110" s="240"/>
      <c r="J110" s="240"/>
      <c r="K110" s="240">
        <v>205.2</v>
      </c>
      <c r="L110" s="239"/>
      <c r="M110" s="240"/>
      <c r="N110" s="241"/>
      <c r="O110" s="242" t="s">
        <v>227</v>
      </c>
      <c r="P110" s="239"/>
      <c r="Q110" s="239" t="s">
        <v>869</v>
      </c>
      <c r="R110" s="239"/>
      <c r="S110" s="239"/>
      <c r="T110" s="239"/>
      <c r="U110" s="239">
        <v>1808</v>
      </c>
      <c r="V110" s="239"/>
    </row>
    <row r="111" spans="1:22" x14ac:dyDescent="0.25">
      <c r="A111">
        <f t="shared" si="1"/>
        <v>1809</v>
      </c>
      <c r="B111" s="154">
        <f>IF(O111="PESO",VALUE(K111),K111*EERR!$D$2)</f>
        <v>530271</v>
      </c>
      <c r="C111" s="239" t="s">
        <v>975</v>
      </c>
      <c r="D111" s="239"/>
      <c r="E111" s="239" t="s">
        <v>226</v>
      </c>
      <c r="F111" s="239"/>
      <c r="G111" s="239" t="s">
        <v>229</v>
      </c>
      <c r="H111" s="240"/>
      <c r="I111" s="240"/>
      <c r="J111" s="240"/>
      <c r="K111" s="240">
        <v>598.5</v>
      </c>
      <c r="L111" s="239"/>
      <c r="M111" s="240"/>
      <c r="N111" s="241"/>
      <c r="O111" s="242" t="s">
        <v>227</v>
      </c>
      <c r="P111" s="239"/>
      <c r="Q111" s="239" t="s">
        <v>976</v>
      </c>
      <c r="R111" s="239"/>
      <c r="S111" s="239"/>
      <c r="T111" s="239"/>
      <c r="U111" s="239">
        <v>1809</v>
      </c>
      <c r="V111" s="239"/>
    </row>
    <row r="112" spans="1:22" x14ac:dyDescent="0.25">
      <c r="A112">
        <f t="shared" si="1"/>
        <v>1810</v>
      </c>
      <c r="B112" s="154">
        <f>IF(O112="PESO",VALUE(K112),K112*EERR!$D$2)</f>
        <v>654505.92000000004</v>
      </c>
      <c r="C112" s="239" t="s">
        <v>977</v>
      </c>
      <c r="D112" s="239"/>
      <c r="E112" s="239" t="s">
        <v>226</v>
      </c>
      <c r="F112" s="239"/>
      <c r="G112" s="239" t="s">
        <v>229</v>
      </c>
      <c r="H112" s="240"/>
      <c r="I112" s="240"/>
      <c r="J112" s="240"/>
      <c r="K112" s="240">
        <v>738.72</v>
      </c>
      <c r="L112" s="239"/>
      <c r="M112" s="240"/>
      <c r="N112" s="241"/>
      <c r="O112" s="242" t="s">
        <v>227</v>
      </c>
      <c r="P112" s="239"/>
      <c r="Q112" s="239" t="s">
        <v>978</v>
      </c>
      <c r="R112" s="239"/>
      <c r="S112" s="239"/>
      <c r="T112" s="239"/>
      <c r="U112" s="239">
        <v>1810</v>
      </c>
      <c r="V112" s="239"/>
    </row>
    <row r="113" spans="1:22" x14ac:dyDescent="0.25">
      <c r="A113">
        <f t="shared" si="1"/>
        <v>1811</v>
      </c>
      <c r="B113" s="154">
        <f>IF(O113="PESO",VALUE(K113),K113*EERR!$D$2)</f>
        <v>353514</v>
      </c>
      <c r="C113" s="239" t="s">
        <v>979</v>
      </c>
      <c r="D113" s="239"/>
      <c r="E113" s="239" t="s">
        <v>226</v>
      </c>
      <c r="F113" s="239"/>
      <c r="G113" s="239" t="s">
        <v>229</v>
      </c>
      <c r="H113" s="240"/>
      <c r="I113" s="240"/>
      <c r="J113" s="240"/>
      <c r="K113" s="240">
        <v>399</v>
      </c>
      <c r="L113" s="239"/>
      <c r="M113" s="240"/>
      <c r="N113" s="241"/>
      <c r="O113" s="242" t="s">
        <v>227</v>
      </c>
      <c r="P113" s="239"/>
      <c r="Q113" s="239" t="s">
        <v>980</v>
      </c>
      <c r="R113" s="239"/>
      <c r="S113" s="239"/>
      <c r="T113" s="239"/>
      <c r="U113" s="239">
        <v>1811</v>
      </c>
      <c r="V113" s="239"/>
    </row>
    <row r="114" spans="1:22" x14ac:dyDescent="0.25">
      <c r="A114">
        <f t="shared" si="1"/>
        <v>1812</v>
      </c>
      <c r="B114" s="154">
        <f>IF(O114="PESO",VALUE(K114),K114*EERR!$D$2)</f>
        <v>556797.84000000008</v>
      </c>
      <c r="C114" s="239" t="s">
        <v>981</v>
      </c>
      <c r="D114" s="239"/>
      <c r="E114" s="239" t="s">
        <v>226</v>
      </c>
      <c r="F114" s="239"/>
      <c r="G114" s="239" t="s">
        <v>229</v>
      </c>
      <c r="H114" s="240"/>
      <c r="I114" s="240"/>
      <c r="J114" s="240"/>
      <c r="K114" s="240">
        <v>628.44000000000005</v>
      </c>
      <c r="L114" s="239"/>
      <c r="M114" s="240"/>
      <c r="N114" s="241"/>
      <c r="O114" s="242" t="s">
        <v>227</v>
      </c>
      <c r="P114" s="239"/>
      <c r="Q114" s="239" t="s">
        <v>982</v>
      </c>
      <c r="R114" s="239"/>
      <c r="S114" s="239"/>
      <c r="T114" s="239"/>
      <c r="U114" s="239">
        <v>1812</v>
      </c>
      <c r="V114" s="239"/>
    </row>
    <row r="115" spans="1:22" x14ac:dyDescent="0.25">
      <c r="A115">
        <f t="shared" si="1"/>
        <v>1813</v>
      </c>
      <c r="B115" s="154">
        <f>IF(O115="PESO",VALUE(K115),K115*EERR!$D$2)</f>
        <v>194432.69999999998</v>
      </c>
      <c r="C115" s="239" t="s">
        <v>983</v>
      </c>
      <c r="D115" s="239"/>
      <c r="E115" s="239" t="s">
        <v>226</v>
      </c>
      <c r="F115" s="239"/>
      <c r="G115" s="239" t="s">
        <v>229</v>
      </c>
      <c r="H115" s="240"/>
      <c r="I115" s="240"/>
      <c r="J115" s="240"/>
      <c r="K115" s="240">
        <v>219.45</v>
      </c>
      <c r="L115" s="239"/>
      <c r="M115" s="240"/>
      <c r="N115" s="241"/>
      <c r="O115" s="242" t="s">
        <v>227</v>
      </c>
      <c r="P115" s="239"/>
      <c r="Q115" s="239" t="s">
        <v>984</v>
      </c>
      <c r="R115" s="239"/>
      <c r="S115" s="239"/>
      <c r="T115" s="239"/>
      <c r="U115" s="239">
        <v>1813</v>
      </c>
      <c r="V115" s="239"/>
    </row>
    <row r="116" spans="1:22" x14ac:dyDescent="0.25">
      <c r="A116">
        <f t="shared" si="1"/>
        <v>1814</v>
      </c>
      <c r="B116" s="154">
        <f>IF(O116="PESO",VALUE(K116),K116*EERR!$D$2)</f>
        <v>490879.43999999994</v>
      </c>
      <c r="C116" s="239" t="s">
        <v>985</v>
      </c>
      <c r="D116" s="239"/>
      <c r="E116" s="239" t="s">
        <v>226</v>
      </c>
      <c r="F116" s="239"/>
      <c r="G116" s="239" t="s">
        <v>229</v>
      </c>
      <c r="H116" s="240"/>
      <c r="I116" s="240"/>
      <c r="J116" s="240"/>
      <c r="K116" s="240">
        <v>554.04</v>
      </c>
      <c r="L116" s="239"/>
      <c r="M116" s="240"/>
      <c r="N116" s="241"/>
      <c r="O116" s="242" t="s">
        <v>227</v>
      </c>
      <c r="P116" s="239"/>
      <c r="Q116" s="239" t="s">
        <v>986</v>
      </c>
      <c r="R116" s="239"/>
      <c r="S116" s="239"/>
      <c r="T116" s="239"/>
      <c r="U116" s="239">
        <v>1814</v>
      </c>
      <c r="V116" s="239"/>
    </row>
    <row r="117" spans="1:22" x14ac:dyDescent="0.25">
      <c r="A117">
        <f t="shared" si="1"/>
        <v>1816</v>
      </c>
      <c r="B117" s="154">
        <f>IF(O117="PESO",VALUE(K117),K117*EERR!$D$2)</f>
        <v>181807.19999999998</v>
      </c>
      <c r="C117" s="239" t="s">
        <v>987</v>
      </c>
      <c r="D117" s="239"/>
      <c r="E117" s="239" t="s">
        <v>226</v>
      </c>
      <c r="F117" s="239"/>
      <c r="G117" s="239" t="s">
        <v>229</v>
      </c>
      <c r="H117" s="240"/>
      <c r="I117" s="240"/>
      <c r="J117" s="240"/>
      <c r="K117" s="240">
        <v>205.2</v>
      </c>
      <c r="L117" s="239"/>
      <c r="M117" s="240"/>
      <c r="N117" s="241"/>
      <c r="O117" s="242" t="s">
        <v>227</v>
      </c>
      <c r="P117" s="239"/>
      <c r="Q117" s="239" t="s">
        <v>988</v>
      </c>
      <c r="R117" s="239"/>
      <c r="S117" s="239"/>
      <c r="T117" s="239"/>
      <c r="U117" s="239">
        <v>1816</v>
      </c>
      <c r="V117" s="239"/>
    </row>
    <row r="118" spans="1:22" x14ac:dyDescent="0.25">
      <c r="A118">
        <f t="shared" si="1"/>
        <v>1817</v>
      </c>
      <c r="B118" s="154">
        <f>IF(O118="PESO",VALUE(K118),K118*EERR!$D$2)</f>
        <v>654505.92000000004</v>
      </c>
      <c r="C118" s="239" t="s">
        <v>989</v>
      </c>
      <c r="D118" s="239"/>
      <c r="E118" s="239" t="s">
        <v>226</v>
      </c>
      <c r="F118" s="239"/>
      <c r="G118" s="239" t="s">
        <v>229</v>
      </c>
      <c r="H118" s="240"/>
      <c r="I118" s="240"/>
      <c r="J118" s="240"/>
      <c r="K118" s="240">
        <v>738.72</v>
      </c>
      <c r="L118" s="239"/>
      <c r="M118" s="240"/>
      <c r="N118" s="241"/>
      <c r="O118" s="242" t="s">
        <v>227</v>
      </c>
      <c r="P118" s="239"/>
      <c r="Q118" s="239" t="s">
        <v>990</v>
      </c>
      <c r="R118" s="239"/>
      <c r="S118" s="239"/>
      <c r="T118" s="239"/>
      <c r="U118" s="239">
        <v>1817</v>
      </c>
      <c r="V118" s="239"/>
    </row>
    <row r="119" spans="1:22" x14ac:dyDescent="0.25">
      <c r="A119">
        <f t="shared" si="1"/>
        <v>1818</v>
      </c>
      <c r="B119" s="154">
        <f>IF(O119="PESO",VALUE(K119),K119*EERR!$D$2)</f>
        <v>167037.57999999999</v>
      </c>
      <c r="C119" s="239" t="s">
        <v>991</v>
      </c>
      <c r="D119" s="239"/>
      <c r="E119" s="239" t="s">
        <v>226</v>
      </c>
      <c r="F119" s="239"/>
      <c r="G119" s="239" t="s">
        <v>229</v>
      </c>
      <c r="H119" s="240"/>
      <c r="I119" s="240"/>
      <c r="J119" s="240"/>
      <c r="K119" s="240">
        <v>188.53</v>
      </c>
      <c r="L119" s="239"/>
      <c r="M119" s="240"/>
      <c r="N119" s="241"/>
      <c r="O119" s="242" t="s">
        <v>227</v>
      </c>
      <c r="P119" s="239"/>
      <c r="Q119" s="239" t="s">
        <v>898</v>
      </c>
      <c r="R119" s="239"/>
      <c r="S119" s="239"/>
      <c r="T119" s="239"/>
      <c r="U119" s="239">
        <v>1818</v>
      </c>
      <c r="V119" s="239"/>
    </row>
    <row r="120" spans="1:22" x14ac:dyDescent="0.25">
      <c r="A120">
        <f t="shared" si="1"/>
        <v>1819</v>
      </c>
      <c r="B120" s="154">
        <f>IF(O120="PESO",VALUE(K120),K120*EERR!$D$2)</f>
        <v>396440.7</v>
      </c>
      <c r="C120" s="239" t="s">
        <v>992</v>
      </c>
      <c r="D120" s="239"/>
      <c r="E120" s="239" t="s">
        <v>226</v>
      </c>
      <c r="F120" s="239"/>
      <c r="G120" s="239" t="s">
        <v>229</v>
      </c>
      <c r="H120" s="240"/>
      <c r="I120" s="240"/>
      <c r="J120" s="240"/>
      <c r="K120" s="240">
        <v>447.45</v>
      </c>
      <c r="L120" s="239"/>
      <c r="M120" s="240"/>
      <c r="N120" s="241"/>
      <c r="O120" s="242" t="s">
        <v>227</v>
      </c>
      <c r="P120" s="239"/>
      <c r="Q120" s="239" t="s">
        <v>896</v>
      </c>
      <c r="R120" s="239"/>
      <c r="S120" s="239"/>
      <c r="T120" s="239"/>
      <c r="U120" s="239">
        <v>1819</v>
      </c>
      <c r="V120" s="239"/>
    </row>
    <row r="121" spans="1:22" x14ac:dyDescent="0.25">
      <c r="A121">
        <f t="shared" si="1"/>
        <v>1820</v>
      </c>
      <c r="B121" s="154">
        <f>IF(O121="PESO",VALUE(K121),K121*EERR!$D$2)</f>
        <v>124358.96</v>
      </c>
      <c r="C121" s="239" t="s">
        <v>993</v>
      </c>
      <c r="D121" s="239"/>
      <c r="E121" s="239" t="s">
        <v>226</v>
      </c>
      <c r="F121" s="239"/>
      <c r="G121" s="239" t="s">
        <v>229</v>
      </c>
      <c r="H121" s="240"/>
      <c r="I121" s="240"/>
      <c r="J121" s="240"/>
      <c r="K121" s="240">
        <v>140.36000000000001</v>
      </c>
      <c r="L121" s="239"/>
      <c r="M121" s="240"/>
      <c r="N121" s="241"/>
      <c r="O121" s="242" t="s">
        <v>227</v>
      </c>
      <c r="P121" s="239"/>
      <c r="Q121" s="239" t="s">
        <v>453</v>
      </c>
      <c r="R121" s="239"/>
      <c r="S121" s="239"/>
      <c r="T121" s="239"/>
      <c r="U121" s="239">
        <v>1820</v>
      </c>
      <c r="V121" s="239"/>
    </row>
    <row r="122" spans="1:22" x14ac:dyDescent="0.25">
      <c r="A122">
        <f t="shared" si="1"/>
        <v>1821</v>
      </c>
      <c r="B122" s="154">
        <f>IF(O122="PESO",VALUE(K122),K122*EERR!$D$2)</f>
        <v>727228.79999999993</v>
      </c>
      <c r="C122" s="239" t="s">
        <v>994</v>
      </c>
      <c r="D122" s="239"/>
      <c r="E122" s="239" t="s">
        <v>226</v>
      </c>
      <c r="F122" s="239"/>
      <c r="G122" s="239" t="s">
        <v>229</v>
      </c>
      <c r="H122" s="240"/>
      <c r="I122" s="240"/>
      <c r="J122" s="240"/>
      <c r="K122" s="240">
        <v>820.8</v>
      </c>
      <c r="L122" s="239"/>
      <c r="M122" s="240"/>
      <c r="N122" s="241"/>
      <c r="O122" s="242" t="s">
        <v>227</v>
      </c>
      <c r="P122" s="239"/>
      <c r="Q122" s="239" t="s">
        <v>968</v>
      </c>
      <c r="R122" s="239"/>
      <c r="S122" s="239"/>
      <c r="T122" s="239"/>
      <c r="U122" s="239">
        <v>1821</v>
      </c>
      <c r="V122" s="239"/>
    </row>
    <row r="123" spans="1:22" x14ac:dyDescent="0.25">
      <c r="A123">
        <f t="shared" si="1"/>
        <v>1822</v>
      </c>
      <c r="B123" s="154">
        <f>IF(O123="PESO",VALUE(K123),K123*EERR!$D$2)</f>
        <v>181807.19999999998</v>
      </c>
      <c r="C123" s="239" t="s">
        <v>995</v>
      </c>
      <c r="D123" s="239"/>
      <c r="E123" s="239" t="s">
        <v>226</v>
      </c>
      <c r="F123" s="239"/>
      <c r="G123" s="239" t="s">
        <v>229</v>
      </c>
      <c r="H123" s="240"/>
      <c r="I123" s="240"/>
      <c r="J123" s="240"/>
      <c r="K123" s="240">
        <v>205.2</v>
      </c>
      <c r="L123" s="239"/>
      <c r="M123" s="240"/>
      <c r="N123" s="241"/>
      <c r="O123" s="242" t="s">
        <v>227</v>
      </c>
      <c r="P123" s="239"/>
      <c r="Q123" s="239" t="s">
        <v>966</v>
      </c>
      <c r="R123" s="239"/>
      <c r="S123" s="239"/>
      <c r="T123" s="239"/>
      <c r="U123" s="239">
        <v>1822</v>
      </c>
      <c r="V123" s="239"/>
    </row>
    <row r="124" spans="1:22" x14ac:dyDescent="0.25">
      <c r="A124">
        <v>100000</v>
      </c>
      <c r="B124" s="154">
        <f>IF(O124="PESO",VALUE(K124),K124*EERR!$D$2)</f>
        <v>0</v>
      </c>
      <c r="C124" s="239"/>
      <c r="D124" s="239"/>
      <c r="E124" s="239"/>
      <c r="F124" s="239"/>
      <c r="G124" s="239"/>
      <c r="H124" s="240"/>
      <c r="I124" s="240"/>
      <c r="J124" s="240"/>
      <c r="K124" s="240"/>
      <c r="L124" s="239"/>
      <c r="M124" s="240"/>
      <c r="N124" s="241"/>
      <c r="O124" s="242"/>
      <c r="P124" s="239"/>
      <c r="Q124" s="239"/>
      <c r="R124" s="239"/>
      <c r="S124" s="239"/>
      <c r="T124" s="239"/>
      <c r="U124" s="239"/>
      <c r="V124" s="239"/>
    </row>
    <row r="125" spans="1:22" x14ac:dyDescent="0.25">
      <c r="A125">
        <v>100000</v>
      </c>
      <c r="B125" s="154">
        <f>IF(O125="PESO",VALUE(K125),K125*EERR!$D$2)</f>
        <v>0</v>
      </c>
      <c r="C125" s="239"/>
      <c r="D125" s="239"/>
      <c r="E125" s="239"/>
      <c r="F125" s="239"/>
      <c r="G125" s="239"/>
      <c r="H125" s="240"/>
      <c r="I125" s="240"/>
      <c r="J125" s="240"/>
      <c r="K125" s="240"/>
      <c r="L125" s="239"/>
      <c r="M125" s="240"/>
      <c r="N125" s="241"/>
      <c r="O125" s="242"/>
      <c r="P125" s="239"/>
      <c r="Q125" s="239"/>
      <c r="R125" s="239"/>
      <c r="S125" s="239"/>
      <c r="T125" s="239"/>
      <c r="U125" s="239"/>
      <c r="V125" s="239"/>
    </row>
    <row r="126" spans="1:22" x14ac:dyDescent="0.25">
      <c r="A126">
        <v>100000</v>
      </c>
      <c r="B126" s="154">
        <f>IF(O126="PESO",VALUE(K126),K126*EERR!$D$2)</f>
        <v>0</v>
      </c>
      <c r="C126" s="239"/>
      <c r="D126" s="239"/>
      <c r="E126" s="239"/>
      <c r="F126" s="239"/>
      <c r="G126" s="239"/>
      <c r="H126" s="240"/>
      <c r="I126" s="240"/>
      <c r="J126" s="240"/>
      <c r="K126" s="240"/>
      <c r="L126" s="239"/>
      <c r="M126" s="240"/>
      <c r="N126" s="241"/>
      <c r="O126" s="242"/>
      <c r="P126" s="239"/>
      <c r="Q126" s="239"/>
      <c r="R126" s="239"/>
      <c r="S126" s="239"/>
      <c r="T126" s="239"/>
      <c r="U126" s="239"/>
    </row>
    <row r="127" spans="1:22" x14ac:dyDescent="0.25">
      <c r="A127">
        <v>100000</v>
      </c>
      <c r="B127" s="154">
        <f>IF(O127="PESO",VALUE(K127),K127*EERR!$D$2)</f>
        <v>0</v>
      </c>
      <c r="C127" s="239"/>
      <c r="D127" s="239"/>
      <c r="E127" s="239"/>
      <c r="F127" s="239"/>
      <c r="G127" s="239"/>
      <c r="H127" s="240"/>
      <c r="I127" s="240"/>
      <c r="J127" s="240"/>
      <c r="K127" s="240"/>
      <c r="L127" s="239"/>
      <c r="M127" s="240"/>
      <c r="N127" s="241"/>
      <c r="O127" s="242"/>
      <c r="P127" s="239"/>
      <c r="Q127" s="239"/>
      <c r="R127" s="239"/>
      <c r="S127" s="239"/>
      <c r="T127" s="239"/>
      <c r="U127" s="239"/>
    </row>
    <row r="128" spans="1:22" x14ac:dyDescent="0.25">
      <c r="A128">
        <v>100000</v>
      </c>
      <c r="B128" s="154">
        <f>IF(O128="PESO",VALUE(K128),K128*EERR!$D$2)</f>
        <v>0</v>
      </c>
      <c r="C128" s="239"/>
      <c r="D128" s="239"/>
      <c r="E128" s="239"/>
      <c r="F128" s="239"/>
      <c r="G128" s="239"/>
      <c r="H128" s="240"/>
      <c r="I128" s="240"/>
      <c r="J128" s="240"/>
      <c r="K128" s="240"/>
      <c r="L128" s="239"/>
      <c r="M128" s="240"/>
      <c r="N128" s="241"/>
      <c r="O128" s="242"/>
      <c r="P128" s="239"/>
      <c r="Q128" s="239"/>
      <c r="R128" s="239"/>
      <c r="S128" s="239"/>
      <c r="T128" s="239"/>
      <c r="U128" s="239"/>
    </row>
    <row r="129" spans="1:21" x14ac:dyDescent="0.25">
      <c r="A129">
        <v>100000</v>
      </c>
      <c r="B129" s="154">
        <f>IF(O129="PESO",VALUE(K129),K129*EERR!$D$2)</f>
        <v>0</v>
      </c>
      <c r="C129" s="239"/>
      <c r="D129" s="239"/>
      <c r="E129" s="239"/>
      <c r="F129" s="239"/>
      <c r="G129" s="239"/>
      <c r="H129" s="240"/>
      <c r="I129" s="240"/>
      <c r="J129" s="240"/>
      <c r="K129" s="240"/>
      <c r="L129" s="239"/>
      <c r="M129" s="240"/>
      <c r="N129" s="241"/>
      <c r="O129" s="242"/>
      <c r="P129" s="239"/>
      <c r="Q129" s="239"/>
      <c r="R129" s="239"/>
      <c r="S129" s="239"/>
      <c r="T129" s="239"/>
      <c r="U129" s="239"/>
    </row>
    <row r="130" spans="1:21" x14ac:dyDescent="0.25">
      <c r="A130">
        <v>100000</v>
      </c>
      <c r="B130" s="154">
        <f>IF(O130="PESO",VALUE(K130),K130*EERR!$D$2)</f>
        <v>0</v>
      </c>
      <c r="C130" s="239"/>
      <c r="D130" s="239"/>
      <c r="E130" s="239"/>
      <c r="F130" s="239"/>
      <c r="G130" s="239"/>
      <c r="H130" s="240"/>
      <c r="I130" s="240"/>
      <c r="J130" s="240"/>
      <c r="K130" s="240"/>
      <c r="L130" s="239"/>
      <c r="M130" s="240"/>
      <c r="N130" s="241"/>
      <c r="O130" s="242"/>
      <c r="P130" s="239"/>
      <c r="Q130" s="239"/>
      <c r="R130" s="239"/>
      <c r="S130" s="239"/>
      <c r="T130" s="239"/>
      <c r="U130" s="239"/>
    </row>
    <row r="131" spans="1:21" x14ac:dyDescent="0.25">
      <c r="A131">
        <v>100000</v>
      </c>
      <c r="B131" s="154">
        <f>IF(O131="PESO",VALUE(K131),K131*EERR!$D$2)</f>
        <v>0</v>
      </c>
      <c r="C131" s="239"/>
      <c r="D131" s="239"/>
      <c r="E131" s="239"/>
      <c r="F131" s="239"/>
      <c r="G131" s="239"/>
      <c r="H131" s="240"/>
      <c r="I131" s="240"/>
      <c r="J131" s="240"/>
      <c r="K131" s="240"/>
      <c r="L131" s="239"/>
      <c r="M131" s="240"/>
      <c r="N131" s="241"/>
      <c r="O131" s="242"/>
      <c r="P131" s="239"/>
      <c r="Q131" s="239"/>
      <c r="R131" s="239"/>
      <c r="S131" s="239"/>
      <c r="T131" s="239"/>
      <c r="U131" s="239"/>
    </row>
    <row r="132" spans="1:21" x14ac:dyDescent="0.25">
      <c r="A132">
        <v>100000</v>
      </c>
      <c r="B132" s="154">
        <f>IF(O132="PESO",VALUE(K132),K132*EERR!$D$2)</f>
        <v>0</v>
      </c>
      <c r="C132" s="239"/>
      <c r="D132" s="239"/>
      <c r="E132" s="239"/>
      <c r="F132" s="239"/>
      <c r="G132" s="239"/>
      <c r="H132" s="240"/>
      <c r="I132" s="240"/>
      <c r="J132" s="240"/>
      <c r="K132" s="240"/>
      <c r="L132" s="239"/>
      <c r="M132" s="240"/>
      <c r="N132" s="241"/>
      <c r="O132" s="242"/>
      <c r="P132" s="239"/>
      <c r="Q132" s="239"/>
      <c r="R132" s="239"/>
      <c r="S132" s="239"/>
      <c r="T132" s="239"/>
      <c r="U132" s="239"/>
    </row>
    <row r="133" spans="1:21" x14ac:dyDescent="0.25">
      <c r="A133">
        <v>100000</v>
      </c>
      <c r="B133" s="154">
        <f>IF(O133="PESO",VALUE(K133),K133*EERR!$D$2)</f>
        <v>0</v>
      </c>
      <c r="C133" s="239"/>
      <c r="D133" s="239"/>
      <c r="E133" s="239"/>
      <c r="F133" s="239"/>
      <c r="G133" s="239"/>
      <c r="H133" s="240"/>
      <c r="I133" s="240"/>
      <c r="J133" s="240"/>
      <c r="K133" s="240"/>
      <c r="L133" s="239"/>
      <c r="M133" s="240"/>
      <c r="N133" s="241"/>
      <c r="O133" s="242"/>
      <c r="P133" s="239"/>
      <c r="Q133" s="239"/>
      <c r="R133" s="239"/>
      <c r="S133" s="239"/>
      <c r="T133" s="239"/>
      <c r="U133" s="239"/>
    </row>
    <row r="134" spans="1:21" x14ac:dyDescent="0.25">
      <c r="A134">
        <v>100000</v>
      </c>
      <c r="B134" s="154">
        <f>IF(O134="PESO",VALUE(K134),K134*EERR!$D$2)</f>
        <v>0</v>
      </c>
      <c r="C134" s="239"/>
      <c r="D134" s="239"/>
      <c r="E134" s="239"/>
      <c r="F134" s="239"/>
      <c r="G134" s="239"/>
      <c r="H134" s="240"/>
      <c r="I134" s="240"/>
      <c r="J134" s="240"/>
      <c r="K134" s="240"/>
      <c r="L134" s="239"/>
      <c r="M134" s="240"/>
      <c r="N134" s="241"/>
      <c r="O134" s="242"/>
      <c r="P134" s="239"/>
      <c r="Q134" s="239"/>
      <c r="R134" s="239"/>
      <c r="S134" s="239"/>
      <c r="T134" s="239"/>
      <c r="U134" s="239"/>
    </row>
    <row r="135" spans="1:21" x14ac:dyDescent="0.25">
      <c r="A135">
        <v>100000</v>
      </c>
      <c r="B135" s="154">
        <f>IF(O135="PESO",VALUE(K135),K135*EERR!$D$2)</f>
        <v>0</v>
      </c>
      <c r="C135" s="239"/>
      <c r="D135" s="239"/>
      <c r="E135" s="239"/>
      <c r="F135" s="239"/>
      <c r="G135" s="239"/>
      <c r="H135" s="240"/>
      <c r="I135" s="240"/>
      <c r="J135" s="240"/>
      <c r="K135" s="240"/>
      <c r="L135" s="239"/>
      <c r="M135" s="240"/>
      <c r="N135" s="241"/>
      <c r="O135" s="242"/>
      <c r="P135" s="239"/>
      <c r="Q135" s="239"/>
      <c r="R135" s="239"/>
      <c r="S135" s="239"/>
      <c r="T135" s="239"/>
      <c r="U135" s="239"/>
    </row>
    <row r="136" spans="1:21" x14ac:dyDescent="0.25">
      <c r="A136">
        <v>100000</v>
      </c>
      <c r="B136" s="154">
        <f>IF(O136="PESO",VALUE(K136),K136*EERR!$D$2)</f>
        <v>0</v>
      </c>
      <c r="C136" s="239"/>
      <c r="D136" s="239"/>
      <c r="E136" s="239"/>
      <c r="F136" s="239"/>
      <c r="G136" s="239"/>
      <c r="H136" s="240"/>
      <c r="I136" s="240"/>
      <c r="J136" s="240"/>
      <c r="K136" s="240"/>
      <c r="L136" s="239"/>
      <c r="M136" s="240"/>
      <c r="N136" s="241"/>
      <c r="O136" s="242"/>
      <c r="P136" s="239"/>
      <c r="Q136" s="239"/>
      <c r="R136" s="239"/>
      <c r="S136" s="239"/>
      <c r="T136" s="239"/>
      <c r="U136" s="239"/>
    </row>
    <row r="137" spans="1:21" x14ac:dyDescent="0.25">
      <c r="A137">
        <v>100000</v>
      </c>
      <c r="B137" s="154">
        <f>IF(O137="PESO",VALUE(K137),K137*EERR!$D$2)</f>
        <v>0</v>
      </c>
      <c r="C137" s="239"/>
      <c r="D137" s="239"/>
      <c r="E137" s="239"/>
      <c r="F137" s="239"/>
      <c r="G137" s="239"/>
      <c r="H137" s="240"/>
      <c r="I137" s="240"/>
      <c r="J137" s="240"/>
      <c r="K137" s="240"/>
      <c r="L137" s="239"/>
      <c r="M137" s="240"/>
      <c r="N137" s="241"/>
      <c r="O137" s="242"/>
      <c r="P137" s="239"/>
      <c r="Q137" s="239"/>
      <c r="R137" s="239"/>
      <c r="S137" s="239"/>
      <c r="T137" s="239"/>
      <c r="U137" s="239"/>
    </row>
    <row r="138" spans="1:21" x14ac:dyDescent="0.25">
      <c r="A138">
        <v>100000</v>
      </c>
      <c r="B138" s="154">
        <f>IF(O138="PESO",VALUE(K138),K138*EERR!$D$2)</f>
        <v>0</v>
      </c>
      <c r="C138" s="239"/>
      <c r="D138" s="239"/>
      <c r="E138" s="239"/>
      <c r="F138" s="239"/>
      <c r="G138" s="239"/>
      <c r="H138" s="240"/>
      <c r="I138" s="240"/>
      <c r="J138" s="240"/>
      <c r="K138" s="240"/>
      <c r="L138" s="239"/>
      <c r="M138" s="240"/>
      <c r="N138" s="241"/>
      <c r="O138" s="242"/>
      <c r="P138" s="239"/>
      <c r="Q138" s="239"/>
      <c r="R138" s="239"/>
      <c r="S138" s="239"/>
      <c r="T138" s="239"/>
      <c r="U138" s="239"/>
    </row>
    <row r="139" spans="1:21" x14ac:dyDescent="0.25">
      <c r="A139">
        <v>100000</v>
      </c>
      <c r="B139" s="154">
        <f>IF(O139="PESO",VALUE(K139),K139*EERR!$D$2)</f>
        <v>0</v>
      </c>
      <c r="C139" s="239"/>
      <c r="D139" s="239"/>
      <c r="E139" s="239"/>
      <c r="F139" s="239"/>
      <c r="G139" s="239"/>
      <c r="H139" s="240"/>
      <c r="I139" s="240"/>
      <c r="J139" s="240"/>
      <c r="K139" s="240"/>
      <c r="L139" s="239"/>
      <c r="M139" s="240"/>
      <c r="N139" s="241"/>
      <c r="O139" s="242"/>
      <c r="P139" s="239"/>
      <c r="Q139" s="239"/>
      <c r="R139" s="239"/>
      <c r="S139" s="239"/>
      <c r="T139" s="239"/>
      <c r="U139" s="239"/>
    </row>
    <row r="140" spans="1:21" x14ac:dyDescent="0.25">
      <c r="A140">
        <v>100000</v>
      </c>
      <c r="B140" s="154">
        <f>IF(O140="PESO",VALUE(K140),K140*EERR!$D$2)</f>
        <v>0</v>
      </c>
      <c r="C140" s="239"/>
      <c r="D140" s="239"/>
      <c r="E140" s="239"/>
      <c r="F140" s="239"/>
      <c r="G140" s="239"/>
      <c r="H140" s="240"/>
      <c r="I140" s="240"/>
      <c r="J140" s="240"/>
      <c r="K140" s="240"/>
      <c r="L140" s="239"/>
      <c r="M140" s="240"/>
      <c r="N140" s="241"/>
      <c r="O140" s="242"/>
      <c r="P140" s="239"/>
      <c r="Q140" s="239"/>
      <c r="R140" s="239"/>
      <c r="S140" s="239"/>
      <c r="T140" s="239"/>
      <c r="U140" s="239"/>
    </row>
    <row r="141" spans="1:21" x14ac:dyDescent="0.25">
      <c r="A141">
        <v>100000</v>
      </c>
      <c r="B141" s="154">
        <f>IF(O141="PESO",VALUE(K141),K141*EERR!$D$2)</f>
        <v>0</v>
      </c>
      <c r="C141" s="239"/>
      <c r="D141" s="239"/>
      <c r="E141" s="239"/>
      <c r="F141" s="239"/>
      <c r="G141" s="239"/>
      <c r="H141" s="240"/>
      <c r="I141" s="240"/>
      <c r="J141" s="240"/>
      <c r="K141" s="240"/>
      <c r="L141" s="239"/>
      <c r="M141" s="240"/>
      <c r="N141" s="241"/>
      <c r="O141" s="242"/>
      <c r="P141" s="239"/>
      <c r="Q141" s="239"/>
      <c r="R141" s="239"/>
      <c r="S141" s="239"/>
      <c r="T141" s="239"/>
      <c r="U141" s="239"/>
    </row>
    <row r="142" spans="1:21" x14ac:dyDescent="0.25">
      <c r="A142">
        <v>100000</v>
      </c>
      <c r="B142" s="154">
        <f>IF(O142="PESO",VALUE(K142),K142*EERR!$D$2)</f>
        <v>0</v>
      </c>
      <c r="C142" s="239"/>
      <c r="D142" s="239"/>
      <c r="E142" s="239"/>
      <c r="F142" s="239"/>
      <c r="G142" s="239"/>
      <c r="H142" s="240"/>
      <c r="I142" s="240"/>
      <c r="J142" s="240"/>
      <c r="K142" s="240"/>
      <c r="L142" s="239"/>
      <c r="M142" s="240"/>
      <c r="N142" s="241"/>
      <c r="O142" s="242"/>
      <c r="P142" s="239"/>
      <c r="Q142" s="239"/>
      <c r="R142" s="239"/>
      <c r="S142" s="239"/>
      <c r="T142" s="239"/>
      <c r="U142" s="239"/>
    </row>
    <row r="143" spans="1:21" x14ac:dyDescent="0.25">
      <c r="A143">
        <v>100000</v>
      </c>
      <c r="B143" s="154">
        <f>IF(O143="PESO",VALUE(K143),K143*EERR!$D$2)</f>
        <v>0</v>
      </c>
      <c r="C143" s="239"/>
      <c r="D143" s="239"/>
      <c r="E143" s="239"/>
      <c r="F143" s="239"/>
      <c r="G143" s="239"/>
      <c r="H143" s="240"/>
      <c r="I143" s="240"/>
      <c r="J143" s="240"/>
      <c r="K143" s="240"/>
      <c r="L143" s="239"/>
      <c r="M143" s="240"/>
      <c r="N143" s="241"/>
      <c r="O143" s="242"/>
      <c r="P143" s="239"/>
      <c r="Q143" s="239"/>
      <c r="R143" s="239"/>
      <c r="S143" s="239"/>
      <c r="T143" s="239"/>
      <c r="U143" s="239"/>
    </row>
    <row r="144" spans="1:21" x14ac:dyDescent="0.25">
      <c r="A144">
        <v>100000</v>
      </c>
      <c r="B144" s="154">
        <f>IF(O144="PESO",VALUE(K144),K144*EERR!$D$2)</f>
        <v>0</v>
      </c>
      <c r="C144" s="239"/>
      <c r="D144" s="239"/>
      <c r="E144" s="239"/>
      <c r="F144" s="239"/>
      <c r="G144" s="239"/>
      <c r="H144" s="240"/>
      <c r="I144" s="240"/>
      <c r="J144" s="240"/>
      <c r="K144" s="240"/>
      <c r="L144" s="239"/>
      <c r="M144" s="240"/>
      <c r="N144" s="241"/>
      <c r="O144" s="242"/>
      <c r="P144" s="239"/>
      <c r="Q144" s="239"/>
      <c r="R144" s="239"/>
      <c r="S144" s="239"/>
      <c r="T144" s="239"/>
      <c r="U144" s="239"/>
    </row>
    <row r="145" spans="1:21" x14ac:dyDescent="0.25">
      <c r="A145">
        <v>100000</v>
      </c>
      <c r="B145" s="154">
        <f>IF(O145="PESO",VALUE(K145),K145*EERR!$D$2)</f>
        <v>0</v>
      </c>
      <c r="C145" s="239"/>
      <c r="D145" s="239"/>
      <c r="E145" s="239"/>
      <c r="F145" s="239"/>
      <c r="G145" s="239"/>
      <c r="H145" s="240"/>
      <c r="I145" s="240"/>
      <c r="J145" s="240"/>
      <c r="K145" s="240"/>
      <c r="L145" s="239"/>
      <c r="M145" s="240"/>
      <c r="N145" s="241"/>
      <c r="O145" s="242"/>
      <c r="P145" s="239"/>
      <c r="Q145" s="239"/>
      <c r="R145" s="239"/>
      <c r="S145" s="239"/>
      <c r="T145" s="239"/>
      <c r="U145" s="239"/>
    </row>
    <row r="146" spans="1:21" x14ac:dyDescent="0.25">
      <c r="A146">
        <v>100000</v>
      </c>
      <c r="B146" s="154">
        <f>IF(O146="PESO",VALUE(K146),K146*EERR!$D$2)</f>
        <v>0</v>
      </c>
      <c r="C146" s="239"/>
      <c r="D146" s="239"/>
      <c r="E146" s="239"/>
      <c r="F146" s="239"/>
      <c r="G146" s="239"/>
      <c r="H146" s="240"/>
      <c r="I146" s="240"/>
      <c r="J146" s="240"/>
      <c r="K146" s="240"/>
      <c r="L146" s="239"/>
      <c r="M146" s="240"/>
      <c r="N146" s="241"/>
      <c r="O146" s="242"/>
      <c r="P146" s="239"/>
      <c r="Q146" s="239"/>
      <c r="R146" s="239"/>
      <c r="S146" s="239"/>
      <c r="T146" s="239"/>
      <c r="U146" s="239"/>
    </row>
    <row r="147" spans="1:21" x14ac:dyDescent="0.25">
      <c r="A147">
        <v>100000</v>
      </c>
      <c r="B147" s="154">
        <f>IF(O147="PESO",VALUE(K147),K147*EERR!$D$2)</f>
        <v>0</v>
      </c>
      <c r="C147" s="239"/>
      <c r="D147" s="239"/>
      <c r="E147" s="239"/>
      <c r="F147" s="239"/>
      <c r="G147" s="239"/>
      <c r="H147" s="240"/>
      <c r="I147" s="240"/>
      <c r="J147" s="240"/>
      <c r="K147" s="240"/>
      <c r="L147" s="239"/>
      <c r="M147" s="240"/>
      <c r="N147" s="241"/>
      <c r="O147" s="242"/>
      <c r="P147" s="239"/>
      <c r="Q147" s="239"/>
      <c r="R147" s="239"/>
      <c r="S147" s="239"/>
      <c r="T147" s="239"/>
      <c r="U147" s="239"/>
    </row>
    <row r="148" spans="1:21" x14ac:dyDescent="0.25">
      <c r="A148">
        <v>100000</v>
      </c>
      <c r="B148" s="154">
        <f>IF(O148="PESO",VALUE(K148),K148*EERR!$D$2)</f>
        <v>0</v>
      </c>
      <c r="C148" s="239"/>
      <c r="D148" s="239"/>
      <c r="E148" s="239"/>
      <c r="F148" s="239"/>
      <c r="G148" s="239"/>
      <c r="H148" s="240"/>
      <c r="I148" s="240"/>
      <c r="J148" s="240"/>
      <c r="K148" s="240"/>
      <c r="L148" s="239"/>
      <c r="M148" s="240"/>
      <c r="N148" s="241"/>
      <c r="O148" s="242"/>
      <c r="P148" s="239"/>
      <c r="Q148" s="239"/>
      <c r="R148" s="239"/>
      <c r="S148" s="239"/>
      <c r="T148" s="239"/>
      <c r="U148" s="239"/>
    </row>
    <row r="149" spans="1:21" x14ac:dyDescent="0.25">
      <c r="A149">
        <v>100000</v>
      </c>
      <c r="B149" s="154">
        <f>IF(O149="PESO",VALUE(K149),K149*EERR!$D$2)</f>
        <v>0</v>
      </c>
      <c r="C149" s="239"/>
      <c r="D149" s="239"/>
      <c r="E149" s="239"/>
      <c r="F149" s="239"/>
      <c r="G149" s="239"/>
      <c r="H149" s="240"/>
      <c r="I149" s="240"/>
      <c r="J149" s="240"/>
      <c r="K149" s="240"/>
      <c r="L149" s="239"/>
      <c r="M149" s="240"/>
      <c r="N149" s="241"/>
      <c r="O149" s="242"/>
      <c r="P149" s="239"/>
      <c r="Q149" s="239"/>
      <c r="R149" s="239"/>
      <c r="S149" s="239"/>
      <c r="T149" s="239"/>
      <c r="U149" s="239"/>
    </row>
    <row r="150" spans="1:21" x14ac:dyDescent="0.25">
      <c r="A150">
        <v>100000</v>
      </c>
      <c r="B150" s="154">
        <f>IF(O150="PESO",VALUE(K150),K150*EERR!$D$2)</f>
        <v>0</v>
      </c>
      <c r="C150" s="239"/>
      <c r="D150" s="239"/>
      <c r="E150" s="239"/>
      <c r="F150" s="239"/>
      <c r="G150" s="239"/>
      <c r="H150" s="240"/>
      <c r="I150" s="240"/>
      <c r="J150" s="240"/>
      <c r="K150" s="240"/>
      <c r="L150" s="239"/>
      <c r="M150" s="240"/>
      <c r="N150" s="241"/>
      <c r="O150" s="242"/>
      <c r="P150" s="239"/>
      <c r="Q150" s="239"/>
      <c r="R150" s="239"/>
      <c r="S150" s="239"/>
      <c r="T150" s="239"/>
      <c r="U150" s="239"/>
    </row>
    <row r="151" spans="1:21" x14ac:dyDescent="0.25">
      <c r="A151">
        <v>100000</v>
      </c>
      <c r="B151" s="154">
        <f>IF(O151="PESO",VALUE(K151),K151*EERR!$D$2)</f>
        <v>0</v>
      </c>
      <c r="C151" s="239"/>
      <c r="D151" s="239"/>
      <c r="E151" s="239"/>
      <c r="F151" s="239"/>
      <c r="G151" s="239"/>
      <c r="H151" s="240"/>
      <c r="I151" s="240"/>
      <c r="J151" s="240"/>
      <c r="K151" s="240"/>
      <c r="L151" s="239"/>
      <c r="M151" s="240"/>
      <c r="N151" s="241"/>
      <c r="O151" s="242"/>
      <c r="P151" s="239"/>
      <c r="Q151" s="239"/>
      <c r="R151" s="239"/>
      <c r="S151" s="239"/>
      <c r="T151" s="239"/>
      <c r="U151" s="239"/>
    </row>
    <row r="152" spans="1:21" x14ac:dyDescent="0.25">
      <c r="A152">
        <v>100000</v>
      </c>
      <c r="B152" s="154">
        <f>IF(O152="PESO",VALUE(K152),K152*EERR!$D$2)</f>
        <v>0</v>
      </c>
      <c r="C152" s="239"/>
      <c r="D152" s="239"/>
      <c r="E152" s="239"/>
      <c r="F152" s="239"/>
      <c r="G152" s="239"/>
      <c r="H152" s="240"/>
      <c r="I152" s="240"/>
      <c r="J152" s="240"/>
      <c r="K152" s="240"/>
      <c r="L152" s="239"/>
      <c r="M152" s="240"/>
      <c r="N152" s="241"/>
      <c r="O152" s="242"/>
      <c r="P152" s="239"/>
      <c r="Q152" s="239"/>
      <c r="R152" s="239"/>
      <c r="S152" s="239"/>
      <c r="T152" s="239"/>
      <c r="U152" s="239"/>
    </row>
    <row r="153" spans="1:21" x14ac:dyDescent="0.25">
      <c r="A153">
        <v>100000</v>
      </c>
      <c r="B153" s="154">
        <f>IF(O153="PESO",VALUE(K153),K153*EERR!$D$2)</f>
        <v>0</v>
      </c>
      <c r="C153" s="239"/>
      <c r="D153" s="239"/>
      <c r="E153" s="239"/>
      <c r="F153" s="239"/>
      <c r="G153" s="239"/>
      <c r="H153" s="240"/>
      <c r="I153" s="240"/>
      <c r="J153" s="240"/>
      <c r="K153" s="240"/>
      <c r="L153" s="239"/>
      <c r="M153" s="240"/>
      <c r="N153" s="241"/>
      <c r="O153" s="242"/>
      <c r="P153" s="239"/>
      <c r="Q153" s="239"/>
      <c r="R153" s="239"/>
      <c r="S153" s="239"/>
      <c r="T153" s="239"/>
      <c r="U153" s="239"/>
    </row>
    <row r="154" spans="1:21" x14ac:dyDescent="0.25">
      <c r="A154">
        <v>100000</v>
      </c>
      <c r="B154" s="154">
        <f>IF(O154="PESO",VALUE(K154),K154*EERR!$D$2)</f>
        <v>0</v>
      </c>
      <c r="C154" s="239"/>
      <c r="D154" s="239"/>
      <c r="E154" s="239"/>
      <c r="F154" s="239"/>
      <c r="G154" s="239"/>
      <c r="H154" s="240"/>
      <c r="I154" s="240"/>
      <c r="J154" s="240"/>
      <c r="K154" s="240"/>
      <c r="L154" s="239"/>
      <c r="M154" s="240"/>
      <c r="N154" s="241"/>
      <c r="O154" s="242"/>
      <c r="P154" s="239"/>
      <c r="Q154" s="239"/>
      <c r="R154" s="239"/>
      <c r="S154" s="239"/>
      <c r="T154" s="239"/>
      <c r="U154" s="239"/>
    </row>
    <row r="155" spans="1:21" x14ac:dyDescent="0.25">
      <c r="A155">
        <v>100000</v>
      </c>
      <c r="B155" s="154">
        <f>IF(O155="PESO",VALUE(K155),K155*EERR!$D$2)</f>
        <v>0</v>
      </c>
      <c r="C155" s="239"/>
      <c r="D155" s="239"/>
      <c r="E155" s="239"/>
      <c r="F155" s="239"/>
      <c r="G155" s="239"/>
      <c r="H155" s="240"/>
      <c r="I155" s="240"/>
      <c r="J155" s="240"/>
      <c r="K155" s="240"/>
      <c r="L155" s="239"/>
      <c r="M155" s="240"/>
      <c r="N155" s="241"/>
      <c r="O155" s="242"/>
      <c r="P155" s="239"/>
      <c r="Q155" s="239"/>
      <c r="R155" s="239"/>
      <c r="S155" s="239"/>
      <c r="T155" s="239"/>
      <c r="U155" s="239"/>
    </row>
    <row r="156" spans="1:21" x14ac:dyDescent="0.25">
      <c r="A156">
        <v>100000</v>
      </c>
      <c r="B156" s="154">
        <f>IF(O156="PESO",VALUE(K156),K156*EERR!$D$2)</f>
        <v>0</v>
      </c>
      <c r="C156" s="239"/>
      <c r="D156" s="239"/>
      <c r="E156" s="239"/>
      <c r="F156" s="239"/>
      <c r="G156" s="239"/>
      <c r="H156" s="240"/>
      <c r="I156" s="240"/>
      <c r="J156" s="240"/>
      <c r="K156" s="240"/>
      <c r="L156" s="239"/>
      <c r="M156" s="240"/>
      <c r="N156" s="241"/>
      <c r="O156" s="242"/>
      <c r="P156" s="239"/>
      <c r="Q156" s="239"/>
      <c r="R156" s="239"/>
      <c r="S156" s="239"/>
      <c r="T156" s="239"/>
      <c r="U156" s="239"/>
    </row>
    <row r="157" spans="1:21" x14ac:dyDescent="0.25">
      <c r="A157">
        <v>100000</v>
      </c>
      <c r="B157" s="154">
        <f>IF(O157="PESO",VALUE(K157),K157*EERR!$D$2)</f>
        <v>0</v>
      </c>
      <c r="C157" s="239"/>
      <c r="D157" s="239"/>
      <c r="E157" s="239"/>
      <c r="F157" s="239"/>
      <c r="G157" s="239"/>
      <c r="H157" s="240"/>
      <c r="I157" s="240"/>
      <c r="J157" s="240"/>
      <c r="K157" s="240"/>
      <c r="L157" s="239"/>
      <c r="M157" s="240"/>
      <c r="N157" s="241"/>
      <c r="O157" s="242"/>
      <c r="P157" s="239"/>
      <c r="Q157" s="239"/>
      <c r="R157" s="239"/>
      <c r="S157" s="239"/>
      <c r="T157" s="239"/>
      <c r="U157" s="239"/>
    </row>
    <row r="158" spans="1:21" x14ac:dyDescent="0.25">
      <c r="A158">
        <v>100000</v>
      </c>
      <c r="B158" s="154">
        <f>IF(O158="PESO",VALUE(K158),K158*EERR!$D$2)</f>
        <v>0</v>
      </c>
      <c r="C158" s="239"/>
      <c r="D158" s="239"/>
      <c r="E158" s="239"/>
      <c r="F158" s="239"/>
      <c r="G158" s="239"/>
      <c r="H158" s="240"/>
      <c r="I158" s="240"/>
      <c r="J158" s="240"/>
      <c r="K158" s="240"/>
      <c r="L158" s="239"/>
      <c r="M158" s="240"/>
      <c r="N158" s="241"/>
      <c r="O158" s="242"/>
      <c r="P158" s="239"/>
      <c r="Q158" s="239"/>
      <c r="R158" s="239"/>
      <c r="S158" s="239"/>
      <c r="T158" s="239"/>
      <c r="U158" s="239"/>
    </row>
    <row r="159" spans="1:21" x14ac:dyDescent="0.25">
      <c r="A159">
        <v>100000</v>
      </c>
      <c r="B159" s="154">
        <f>IF(O159="PESO",VALUE(K159),K159*EERR!$D$2)</f>
        <v>0</v>
      </c>
      <c r="C159" s="239"/>
      <c r="D159" s="239"/>
      <c r="E159" s="239"/>
      <c r="F159" s="239"/>
      <c r="G159" s="239"/>
      <c r="H159" s="240"/>
      <c r="I159" s="240"/>
      <c r="J159" s="240"/>
      <c r="K159" s="240"/>
      <c r="L159" s="239"/>
      <c r="M159" s="240"/>
      <c r="N159" s="241"/>
      <c r="O159" s="242"/>
      <c r="P159" s="239"/>
      <c r="Q159" s="239"/>
      <c r="R159" s="239"/>
      <c r="S159" s="239"/>
      <c r="T159" s="239"/>
      <c r="U159" s="239"/>
    </row>
    <row r="160" spans="1:21" x14ac:dyDescent="0.25">
      <c r="A160">
        <v>100000</v>
      </c>
      <c r="B160" s="154">
        <f>IF(O160="PESO",VALUE(K160),K160*EERR!$D$2)</f>
        <v>0</v>
      </c>
      <c r="C160" s="239"/>
      <c r="D160" s="239"/>
      <c r="E160" s="239"/>
      <c r="F160" s="239"/>
      <c r="G160" s="239"/>
      <c r="H160" s="240"/>
      <c r="I160" s="240"/>
      <c r="J160" s="240"/>
      <c r="K160" s="240"/>
      <c r="L160" s="239"/>
      <c r="M160" s="240"/>
      <c r="N160" s="241"/>
      <c r="O160" s="242"/>
      <c r="P160" s="239"/>
      <c r="Q160" s="239"/>
      <c r="R160" s="239"/>
      <c r="S160" s="239"/>
      <c r="T160" s="239"/>
      <c r="U160" s="239"/>
    </row>
    <row r="161" spans="1:22" x14ac:dyDescent="0.25">
      <c r="A161">
        <v>100000</v>
      </c>
      <c r="B161" s="154">
        <f>IF(O161="PESO",VALUE(K161),K161*EERR!$D$2)</f>
        <v>0</v>
      </c>
      <c r="C161" s="239"/>
      <c r="D161" s="239"/>
      <c r="E161" s="239"/>
      <c r="F161" s="239"/>
      <c r="G161" s="239"/>
      <c r="H161" s="240"/>
      <c r="I161" s="240"/>
      <c r="J161" s="240"/>
      <c r="K161" s="240"/>
      <c r="L161" s="239"/>
      <c r="M161" s="240"/>
      <c r="N161" s="241"/>
      <c r="O161" s="242"/>
      <c r="P161" s="239"/>
      <c r="Q161" s="239"/>
      <c r="R161" s="239"/>
      <c r="S161" s="239"/>
      <c r="T161" s="239"/>
      <c r="U161" s="239"/>
    </row>
    <row r="162" spans="1:22" x14ac:dyDescent="0.25">
      <c r="A162">
        <v>100000</v>
      </c>
      <c r="B162" s="154">
        <f>IF(O162="PESO",VALUE(K162),K162*EERR!$D$2)</f>
        <v>0</v>
      </c>
      <c r="C162" s="239"/>
      <c r="D162" s="239"/>
      <c r="E162" s="239"/>
      <c r="F162" s="239"/>
      <c r="G162" s="239"/>
      <c r="H162" s="240"/>
      <c r="I162" s="240"/>
      <c r="J162" s="240"/>
      <c r="K162" s="240"/>
      <c r="L162" s="239"/>
      <c r="M162" s="240"/>
      <c r="N162" s="241"/>
      <c r="O162" s="242"/>
      <c r="P162" s="239"/>
      <c r="Q162" s="239"/>
      <c r="R162" s="239"/>
      <c r="S162" s="239"/>
      <c r="T162" s="239"/>
      <c r="U162" s="239"/>
    </row>
    <row r="163" spans="1:22" x14ac:dyDescent="0.25">
      <c r="A163">
        <v>100000</v>
      </c>
      <c r="B163" s="154">
        <f>IF(O163="PESO",VALUE(K163),K163*EERR!$D$2)</f>
        <v>0</v>
      </c>
      <c r="C163" s="239"/>
      <c r="D163" s="239"/>
      <c r="E163" s="239"/>
      <c r="F163" s="239"/>
      <c r="G163" s="239"/>
      <c r="H163" s="240"/>
      <c r="I163" s="240"/>
      <c r="J163" s="240"/>
      <c r="K163" s="240"/>
      <c r="L163" s="239"/>
      <c r="M163" s="240"/>
      <c r="N163" s="241"/>
      <c r="O163" s="242"/>
      <c r="P163" s="239"/>
      <c r="Q163" s="239"/>
      <c r="R163" s="239"/>
      <c r="S163" s="239"/>
      <c r="T163" s="239"/>
      <c r="U163" s="239"/>
    </row>
    <row r="164" spans="1:22" x14ac:dyDescent="0.25">
      <c r="A164">
        <v>100000</v>
      </c>
      <c r="B164" s="154">
        <f>IF(O164="PESO",VALUE(K164),K164*EERR!$D$2)</f>
        <v>0</v>
      </c>
      <c r="C164" s="239"/>
      <c r="D164" s="239"/>
      <c r="E164" s="239"/>
      <c r="F164" s="239"/>
      <c r="G164" s="239"/>
      <c r="H164" s="240"/>
      <c r="I164" s="240"/>
      <c r="J164" s="240"/>
      <c r="K164" s="240"/>
      <c r="L164" s="239"/>
      <c r="M164" s="240"/>
      <c r="N164" s="241"/>
      <c r="O164" s="242"/>
      <c r="P164" s="239"/>
      <c r="Q164" s="239"/>
      <c r="R164" s="239"/>
      <c r="S164" s="239"/>
      <c r="T164" s="239"/>
      <c r="U164" s="239"/>
    </row>
    <row r="165" spans="1:22" x14ac:dyDescent="0.25">
      <c r="A165">
        <v>100000</v>
      </c>
      <c r="B165" s="154">
        <f>IF(O165="PESO",VALUE(K165),K165*EERR!$D$2)</f>
        <v>0</v>
      </c>
      <c r="C165" s="239"/>
      <c r="D165" s="239"/>
      <c r="E165" s="239"/>
      <c r="F165" s="239"/>
      <c r="G165" s="239"/>
      <c r="H165" s="240"/>
      <c r="I165" s="240"/>
      <c r="J165" s="240"/>
      <c r="K165" s="240"/>
      <c r="L165" s="239"/>
      <c r="M165" s="240"/>
      <c r="N165" s="241"/>
      <c r="O165" s="242"/>
      <c r="P165" s="239"/>
      <c r="Q165" s="239"/>
      <c r="R165" s="239"/>
      <c r="S165" s="239"/>
      <c r="T165" s="239"/>
      <c r="U165" s="239"/>
    </row>
    <row r="166" spans="1:22" x14ac:dyDescent="0.25">
      <c r="A166">
        <v>100000</v>
      </c>
      <c r="B166" s="154">
        <f>IF(O166="PESO",VALUE(K166),K166*EERR!$D$2)</f>
        <v>0</v>
      </c>
      <c r="C166" s="239"/>
      <c r="D166" s="239"/>
      <c r="E166" s="239"/>
      <c r="F166" s="239"/>
      <c r="G166" s="239"/>
      <c r="H166" s="240"/>
      <c r="I166" s="240"/>
      <c r="J166" s="240"/>
      <c r="K166" s="240"/>
      <c r="L166" s="239"/>
      <c r="M166" s="240"/>
      <c r="N166" s="241"/>
      <c r="O166" s="242"/>
      <c r="P166" s="239"/>
      <c r="Q166" s="239"/>
      <c r="R166" s="239"/>
      <c r="S166" s="239"/>
      <c r="T166" s="239"/>
      <c r="U166" s="239"/>
    </row>
    <row r="167" spans="1:22" x14ac:dyDescent="0.25">
      <c r="A167">
        <v>100000</v>
      </c>
      <c r="B167" s="154">
        <f>IF(O167="PESO",VALUE(K167),K167*EERR!$D$2)</f>
        <v>0</v>
      </c>
      <c r="C167" s="239"/>
      <c r="D167" s="239"/>
      <c r="E167" s="239"/>
      <c r="F167" s="239"/>
      <c r="G167" s="239"/>
      <c r="H167" s="240"/>
      <c r="I167" s="240"/>
      <c r="J167" s="240"/>
      <c r="K167" s="240"/>
      <c r="L167" s="239"/>
      <c r="M167" s="240"/>
      <c r="N167" s="241"/>
      <c r="O167" s="242"/>
      <c r="P167" s="239"/>
      <c r="Q167" s="239"/>
      <c r="R167" s="239"/>
      <c r="S167" s="239"/>
      <c r="T167" s="239"/>
      <c r="U167" s="239"/>
    </row>
    <row r="168" spans="1:22" x14ac:dyDescent="0.25">
      <c r="A168">
        <v>100000</v>
      </c>
      <c r="B168" s="154">
        <f>IF(O168="PESO",VALUE(K168),K168*EERR!$D$2)</f>
        <v>0</v>
      </c>
      <c r="O168" s="242"/>
    </row>
    <row r="169" spans="1:22" x14ac:dyDescent="0.25">
      <c r="A169">
        <v>100000</v>
      </c>
      <c r="B169" t="s">
        <v>214</v>
      </c>
      <c r="C169" s="239" t="s">
        <v>194</v>
      </c>
      <c r="D169" s="239" t="s">
        <v>195</v>
      </c>
      <c r="E169" s="239" t="s">
        <v>196</v>
      </c>
      <c r="F169" s="239" t="s">
        <v>197</v>
      </c>
      <c r="G169" s="239" t="s">
        <v>198</v>
      </c>
      <c r="H169" s="239" t="s">
        <v>199</v>
      </c>
      <c r="I169" s="239" t="s">
        <v>200</v>
      </c>
      <c r="J169" s="239" t="s">
        <v>201</v>
      </c>
      <c r="K169" s="239" t="s">
        <v>99</v>
      </c>
      <c r="L169" s="239" t="s">
        <v>202</v>
      </c>
      <c r="M169" s="239" t="s">
        <v>203</v>
      </c>
      <c r="N169" s="239" t="s">
        <v>204</v>
      </c>
      <c r="O169" s="239" t="s">
        <v>205</v>
      </c>
      <c r="P169" s="239" t="s">
        <v>206</v>
      </c>
      <c r="Q169" s="239" t="s">
        <v>207</v>
      </c>
      <c r="R169" s="239" t="s">
        <v>208</v>
      </c>
      <c r="S169" s="239" t="s">
        <v>209</v>
      </c>
      <c r="T169" s="239" t="s">
        <v>210</v>
      </c>
      <c r="U169" s="239" t="s">
        <v>211</v>
      </c>
      <c r="V169" s="239" t="s">
        <v>212</v>
      </c>
    </row>
    <row r="170" spans="1:22" x14ac:dyDescent="0.25">
      <c r="A170">
        <f>VALUE(U170)</f>
        <v>1592</v>
      </c>
      <c r="B170" s="154">
        <f>IF(O170="PESO",VALUE(K170),K170*EERR!$D$2)</f>
        <v>835187.9</v>
      </c>
      <c r="C170" s="239" t="s">
        <v>506</v>
      </c>
      <c r="D170" s="239"/>
      <c r="E170" s="239" t="s">
        <v>226</v>
      </c>
      <c r="F170" s="239"/>
      <c r="G170" s="239" t="s">
        <v>229</v>
      </c>
      <c r="H170" s="240"/>
      <c r="I170" s="240"/>
      <c r="J170" s="240"/>
      <c r="K170" s="240">
        <v>942.65</v>
      </c>
      <c r="L170" s="239"/>
      <c r="M170" s="240"/>
      <c r="N170" s="241"/>
      <c r="O170" s="242" t="s">
        <v>227</v>
      </c>
      <c r="P170" s="239"/>
      <c r="Q170" s="239" t="s">
        <v>507</v>
      </c>
      <c r="R170" s="239"/>
      <c r="S170" s="239"/>
      <c r="T170" s="239"/>
      <c r="U170" s="239">
        <v>1592</v>
      </c>
    </row>
    <row r="171" spans="1:22" x14ac:dyDescent="0.25">
      <c r="A171">
        <f t="shared" ref="A171:A234" si="2">VALUE(U171)</f>
        <v>1593</v>
      </c>
      <c r="B171" s="154">
        <f>IF(O171="PESO",VALUE(K171),K171*EERR!$D$2)</f>
        <v>909036</v>
      </c>
      <c r="C171" s="239" t="s">
        <v>508</v>
      </c>
      <c r="D171" s="239"/>
      <c r="E171" s="239" t="s">
        <v>226</v>
      </c>
      <c r="F171" s="239"/>
      <c r="G171" s="239" t="s">
        <v>229</v>
      </c>
      <c r="H171" s="240"/>
      <c r="I171" s="240"/>
      <c r="J171" s="240"/>
      <c r="K171" s="240">
        <v>1026</v>
      </c>
      <c r="L171" s="239"/>
      <c r="M171" s="240"/>
      <c r="N171" s="241"/>
      <c r="O171" s="242" t="s">
        <v>227</v>
      </c>
      <c r="P171" s="239"/>
      <c r="Q171" s="239" t="s">
        <v>472</v>
      </c>
      <c r="R171" s="239"/>
      <c r="S171" s="239"/>
      <c r="T171" s="239"/>
      <c r="U171" s="239">
        <v>1593</v>
      </c>
    </row>
    <row r="172" spans="1:22" x14ac:dyDescent="0.25">
      <c r="A172">
        <f t="shared" si="2"/>
        <v>1594</v>
      </c>
      <c r="B172" s="154">
        <f>IF(O172="PESO",VALUE(K172),K172*EERR!$D$2)</f>
        <v>501112.74000000005</v>
      </c>
      <c r="C172" s="323" t="s">
        <v>509</v>
      </c>
      <c r="D172" s="323"/>
      <c r="E172" s="323" t="s">
        <v>226</v>
      </c>
      <c r="F172" s="323"/>
      <c r="G172" s="323" t="s">
        <v>229</v>
      </c>
      <c r="H172" s="324"/>
      <c r="I172" s="324"/>
      <c r="J172" s="324"/>
      <c r="K172" s="324">
        <v>565.59</v>
      </c>
      <c r="L172" s="323"/>
      <c r="M172" s="324"/>
      <c r="N172" s="325"/>
      <c r="O172" s="326" t="s">
        <v>227</v>
      </c>
      <c r="P172" s="239"/>
      <c r="Q172" s="239" t="s">
        <v>413</v>
      </c>
      <c r="R172" s="239"/>
      <c r="S172" s="239"/>
      <c r="T172" s="239"/>
      <c r="U172" s="239">
        <v>1594</v>
      </c>
    </row>
    <row r="173" spans="1:22" x14ac:dyDescent="0.25">
      <c r="A173">
        <f t="shared" si="2"/>
        <v>1595</v>
      </c>
      <c r="B173" s="154">
        <f>IF(O173="PESO",VALUE(K173),K173*EERR!$D$2)</f>
        <v>654505.92000000004</v>
      </c>
      <c r="C173" s="239" t="s">
        <v>510</v>
      </c>
      <c r="D173" s="239"/>
      <c r="E173" s="239" t="s">
        <v>226</v>
      </c>
      <c r="F173" s="239"/>
      <c r="G173" s="239" t="s">
        <v>229</v>
      </c>
      <c r="H173" s="240"/>
      <c r="I173" s="240"/>
      <c r="J173" s="240"/>
      <c r="K173" s="240">
        <v>738.72</v>
      </c>
      <c r="L173" s="239"/>
      <c r="M173" s="240"/>
      <c r="N173" s="241"/>
      <c r="O173" s="242" t="s">
        <v>227</v>
      </c>
      <c r="P173" s="239"/>
      <c r="Q173" s="239" t="s">
        <v>511</v>
      </c>
      <c r="R173" s="239"/>
      <c r="S173" s="239"/>
      <c r="T173" s="239"/>
      <c r="U173" s="239">
        <v>1595</v>
      </c>
    </row>
    <row r="174" spans="1:22" x14ac:dyDescent="0.25">
      <c r="A174">
        <f t="shared" si="2"/>
        <v>1596</v>
      </c>
      <c r="B174" s="154">
        <f>IF(O174="PESO",VALUE(K174),K174*EERR!$D$2)</f>
        <v>181807.19999999998</v>
      </c>
      <c r="C174" s="239" t="s">
        <v>512</v>
      </c>
      <c r="D174" s="239"/>
      <c r="E174" s="239" t="s">
        <v>226</v>
      </c>
      <c r="F174" s="239"/>
      <c r="G174" s="239" t="s">
        <v>229</v>
      </c>
      <c r="H174" s="240"/>
      <c r="I174" s="240"/>
      <c r="J174" s="240"/>
      <c r="K174" s="240">
        <v>205.2</v>
      </c>
      <c r="L174" s="239"/>
      <c r="M174" s="240"/>
      <c r="N174" s="241"/>
      <c r="O174" s="242" t="s">
        <v>227</v>
      </c>
      <c r="P174" s="239"/>
      <c r="Q174" s="239" t="s">
        <v>513</v>
      </c>
      <c r="R174" s="239"/>
      <c r="S174" s="239"/>
      <c r="T174" s="239"/>
      <c r="U174" s="239">
        <v>1596</v>
      </c>
    </row>
    <row r="175" spans="1:22" x14ac:dyDescent="0.25">
      <c r="A175">
        <f t="shared" si="2"/>
        <v>1597</v>
      </c>
      <c r="B175" s="154">
        <f>IF(O175="PESO",VALUE(K175),K175*EERR!$D$2)</f>
        <v>58112.740000000005</v>
      </c>
      <c r="C175" s="239" t="s">
        <v>514</v>
      </c>
      <c r="D175" s="239"/>
      <c r="E175" s="239" t="s">
        <v>226</v>
      </c>
      <c r="F175" s="239"/>
      <c r="G175" s="239" t="s">
        <v>229</v>
      </c>
      <c r="H175" s="240"/>
      <c r="I175" s="240"/>
      <c r="J175" s="240"/>
      <c r="K175" s="240">
        <v>65.59</v>
      </c>
      <c r="L175" s="239"/>
      <c r="M175" s="240"/>
      <c r="N175" s="241"/>
      <c r="O175" s="242" t="s">
        <v>227</v>
      </c>
      <c r="P175" s="239"/>
      <c r="Q175" s="239" t="s">
        <v>515</v>
      </c>
      <c r="R175" s="239"/>
      <c r="S175" s="239"/>
      <c r="T175" s="239"/>
      <c r="U175" s="239">
        <v>1597</v>
      </c>
    </row>
    <row r="176" spans="1:22" x14ac:dyDescent="0.25">
      <c r="A176">
        <f t="shared" si="2"/>
        <v>1598</v>
      </c>
      <c r="B176" s="154">
        <f>IF(O176="PESO",VALUE(K176),K176*EERR!$D$2)</f>
        <v>58112.740000000005</v>
      </c>
      <c r="C176" s="239" t="s">
        <v>516</v>
      </c>
      <c r="D176" s="239"/>
      <c r="E176" s="239" t="s">
        <v>226</v>
      </c>
      <c r="F176" s="239"/>
      <c r="G176" s="239" t="s">
        <v>229</v>
      </c>
      <c r="H176" s="240"/>
      <c r="I176" s="240"/>
      <c r="J176" s="240"/>
      <c r="K176" s="240">
        <v>65.59</v>
      </c>
      <c r="L176" s="239"/>
      <c r="M176" s="240"/>
      <c r="N176" s="241"/>
      <c r="O176" s="242" t="s">
        <v>227</v>
      </c>
      <c r="P176" s="239"/>
      <c r="Q176" s="239" t="s">
        <v>517</v>
      </c>
      <c r="R176" s="239"/>
      <c r="S176" s="239"/>
      <c r="T176" s="239"/>
      <c r="U176" s="239">
        <v>1598</v>
      </c>
    </row>
    <row r="177" spans="1:21" x14ac:dyDescent="0.25">
      <c r="A177">
        <f t="shared" si="2"/>
        <v>1599</v>
      </c>
      <c r="B177" s="154">
        <f>IF(O177="PESO",VALUE(K177),K177*EERR!$D$2)</f>
        <v>194432.69999999998</v>
      </c>
      <c r="C177" s="239" t="s">
        <v>518</v>
      </c>
      <c r="D177" s="239"/>
      <c r="E177" s="239" t="s">
        <v>226</v>
      </c>
      <c r="F177" s="239"/>
      <c r="G177" s="239" t="s">
        <v>229</v>
      </c>
      <c r="H177" s="240"/>
      <c r="I177" s="240"/>
      <c r="J177" s="240"/>
      <c r="K177" s="240">
        <v>219.45</v>
      </c>
      <c r="L177" s="239"/>
      <c r="M177" s="240"/>
      <c r="N177" s="241"/>
      <c r="O177" s="242" t="s">
        <v>227</v>
      </c>
      <c r="P177" s="239"/>
      <c r="Q177" s="239" t="s">
        <v>519</v>
      </c>
      <c r="R177" s="239"/>
      <c r="S177" s="239"/>
      <c r="T177" s="239"/>
      <c r="U177" s="239">
        <v>1599</v>
      </c>
    </row>
    <row r="178" spans="1:21" x14ac:dyDescent="0.25">
      <c r="A178">
        <f t="shared" si="2"/>
        <v>1600</v>
      </c>
      <c r="B178" s="154">
        <f>IF(O178="PESO",VALUE(K178),K178*EERR!$D$2)</f>
        <v>38000</v>
      </c>
      <c r="C178" s="239" t="s">
        <v>520</v>
      </c>
      <c r="D178" s="239"/>
      <c r="E178" s="239" t="s">
        <v>189</v>
      </c>
      <c r="F178" s="239"/>
      <c r="G178" s="239" t="s">
        <v>235</v>
      </c>
      <c r="H178" s="240"/>
      <c r="I178" s="240"/>
      <c r="J178" s="240"/>
      <c r="K178" s="240">
        <v>38000</v>
      </c>
      <c r="L178" s="239"/>
      <c r="M178" s="240"/>
      <c r="N178" s="241"/>
      <c r="O178" s="242" t="s">
        <v>213</v>
      </c>
      <c r="P178" s="239"/>
      <c r="Q178" s="239" t="s">
        <v>521</v>
      </c>
      <c r="R178" s="239"/>
      <c r="S178" s="239"/>
      <c r="T178" s="239"/>
      <c r="U178" s="239">
        <v>1600</v>
      </c>
    </row>
    <row r="179" spans="1:21" x14ac:dyDescent="0.25">
      <c r="A179">
        <f t="shared" si="2"/>
        <v>1601</v>
      </c>
      <c r="B179" s="154">
        <f>IF(O179="PESO",VALUE(K179),K179*EERR!$D$2)</f>
        <v>1169263.06</v>
      </c>
      <c r="C179" s="239" t="s">
        <v>522</v>
      </c>
      <c r="D179" s="239"/>
      <c r="E179" s="239" t="s">
        <v>226</v>
      </c>
      <c r="F179" s="239"/>
      <c r="G179" s="239" t="s">
        <v>229</v>
      </c>
      <c r="H179" s="240"/>
      <c r="I179" s="240"/>
      <c r="J179" s="240"/>
      <c r="K179" s="240">
        <v>1319.71</v>
      </c>
      <c r="L179" s="239"/>
      <c r="M179" s="240"/>
      <c r="N179" s="241"/>
      <c r="O179" s="242" t="s">
        <v>227</v>
      </c>
      <c r="P179" s="239"/>
      <c r="Q179" s="239" t="s">
        <v>523</v>
      </c>
      <c r="R179" s="239"/>
      <c r="S179" s="239"/>
      <c r="T179" s="239"/>
      <c r="U179" s="239">
        <v>1601</v>
      </c>
    </row>
    <row r="180" spans="1:21" x14ac:dyDescent="0.25">
      <c r="A180">
        <f t="shared" si="2"/>
        <v>1602</v>
      </c>
      <c r="B180" s="154">
        <f>IF(O180="PESO",VALUE(K180),K180*EERR!$D$2)</f>
        <v>505020</v>
      </c>
      <c r="C180" s="239" t="s">
        <v>524</v>
      </c>
      <c r="D180" s="239"/>
      <c r="E180" s="239" t="s">
        <v>226</v>
      </c>
      <c r="F180" s="239"/>
      <c r="G180" s="239" t="s">
        <v>229</v>
      </c>
      <c r="H180" s="240"/>
      <c r="I180" s="240"/>
      <c r="J180" s="240"/>
      <c r="K180" s="240">
        <v>570</v>
      </c>
      <c r="L180" s="239"/>
      <c r="M180" s="240"/>
      <c r="N180" s="241"/>
      <c r="O180" s="242" t="s">
        <v>227</v>
      </c>
      <c r="P180" s="239"/>
      <c r="Q180" s="239" t="s">
        <v>525</v>
      </c>
      <c r="R180" s="239"/>
      <c r="S180" s="239"/>
      <c r="T180" s="239"/>
      <c r="U180" s="239">
        <v>1602</v>
      </c>
    </row>
    <row r="181" spans="1:21" x14ac:dyDescent="0.25">
      <c r="A181">
        <f t="shared" si="2"/>
        <v>1603</v>
      </c>
      <c r="B181" s="154">
        <f>IF(O181="PESO",VALUE(K181),K181*EERR!$D$2)</f>
        <v>202495</v>
      </c>
      <c r="C181" s="239" t="s">
        <v>526</v>
      </c>
      <c r="D181" s="239"/>
      <c r="E181" s="239" t="s">
        <v>189</v>
      </c>
      <c r="F181" s="239"/>
      <c r="G181" s="239" t="s">
        <v>235</v>
      </c>
      <c r="H181" s="240"/>
      <c r="I181" s="240"/>
      <c r="J181" s="240"/>
      <c r="K181" s="240">
        <v>202495</v>
      </c>
      <c r="L181" s="239"/>
      <c r="M181" s="240"/>
      <c r="N181" s="241"/>
      <c r="O181" s="242" t="s">
        <v>213</v>
      </c>
      <c r="P181" s="239"/>
      <c r="Q181" s="239" t="s">
        <v>527</v>
      </c>
      <c r="R181" s="239"/>
      <c r="S181" s="239"/>
      <c r="T181" s="239"/>
      <c r="U181" s="239">
        <v>1603</v>
      </c>
    </row>
    <row r="182" spans="1:21" x14ac:dyDescent="0.25">
      <c r="A182">
        <f t="shared" si="2"/>
        <v>1604</v>
      </c>
      <c r="B182" s="154">
        <f>IF(O182="PESO",VALUE(K182),K182*EERR!$D$2)</f>
        <v>607485</v>
      </c>
      <c r="C182" s="239" t="s">
        <v>528</v>
      </c>
      <c r="D182" s="239"/>
      <c r="E182" s="239" t="s">
        <v>189</v>
      </c>
      <c r="F182" s="239"/>
      <c r="G182" s="239" t="s">
        <v>235</v>
      </c>
      <c r="H182" s="240"/>
      <c r="I182" s="240"/>
      <c r="J182" s="240"/>
      <c r="K182" s="240">
        <v>607485</v>
      </c>
      <c r="L182" s="239"/>
      <c r="M182" s="240"/>
      <c r="N182" s="241"/>
      <c r="O182" s="242" t="s">
        <v>213</v>
      </c>
      <c r="P182" s="239"/>
      <c r="Q182" s="239" t="s">
        <v>529</v>
      </c>
      <c r="R182" s="239"/>
      <c r="S182" s="239"/>
      <c r="T182" s="239"/>
      <c r="U182" s="239">
        <v>1604</v>
      </c>
    </row>
    <row r="183" spans="1:21" x14ac:dyDescent="0.25">
      <c r="A183">
        <f t="shared" si="2"/>
        <v>1605</v>
      </c>
      <c r="B183" s="154">
        <f>IF(O183="PESO",VALUE(K183),K183*EERR!$D$2)</f>
        <v>490879.43999999994</v>
      </c>
      <c r="C183" s="239" t="s">
        <v>530</v>
      </c>
      <c r="D183" s="239"/>
      <c r="E183" s="239" t="s">
        <v>226</v>
      </c>
      <c r="F183" s="239"/>
      <c r="G183" s="239" t="s">
        <v>229</v>
      </c>
      <c r="H183" s="240"/>
      <c r="I183" s="240"/>
      <c r="J183" s="240"/>
      <c r="K183" s="240">
        <v>554.04</v>
      </c>
      <c r="L183" s="239"/>
      <c r="M183" s="240"/>
      <c r="N183" s="241"/>
      <c r="O183" s="242" t="s">
        <v>227</v>
      </c>
      <c r="P183" s="239"/>
      <c r="Q183" s="239" t="s">
        <v>531</v>
      </c>
      <c r="R183" s="239"/>
      <c r="S183" s="239"/>
      <c r="T183" s="239"/>
      <c r="U183" s="239">
        <v>1605</v>
      </c>
    </row>
    <row r="184" spans="1:21" x14ac:dyDescent="0.25">
      <c r="A184">
        <f t="shared" si="2"/>
        <v>1606</v>
      </c>
      <c r="B184" s="154">
        <f>IF(O184="PESO",VALUE(K184),K184*EERR!$D$2)</f>
        <v>194432.69999999998</v>
      </c>
      <c r="C184" s="239" t="s">
        <v>532</v>
      </c>
      <c r="D184" s="239"/>
      <c r="E184" s="239" t="s">
        <v>226</v>
      </c>
      <c r="F184" s="239"/>
      <c r="G184" s="239" t="s">
        <v>229</v>
      </c>
      <c r="H184" s="240"/>
      <c r="I184" s="240"/>
      <c r="J184" s="240"/>
      <c r="K184" s="240">
        <v>219.45</v>
      </c>
      <c r="L184" s="239"/>
      <c r="M184" s="240"/>
      <c r="N184" s="241"/>
      <c r="O184" s="242" t="s">
        <v>227</v>
      </c>
      <c r="P184" s="239"/>
      <c r="Q184" s="239" t="s">
        <v>533</v>
      </c>
      <c r="R184" s="239"/>
      <c r="S184" s="239"/>
      <c r="T184" s="239"/>
      <c r="U184" s="239">
        <v>1606</v>
      </c>
    </row>
    <row r="185" spans="1:21" x14ac:dyDescent="0.25">
      <c r="A185">
        <f t="shared" si="2"/>
        <v>1607</v>
      </c>
      <c r="B185" s="154">
        <f>IF(O185="PESO",VALUE(K185),K185*EERR!$D$2)</f>
        <v>185599.28</v>
      </c>
      <c r="C185" s="239" t="s">
        <v>534</v>
      </c>
      <c r="D185" s="239"/>
      <c r="E185" s="239" t="s">
        <v>226</v>
      </c>
      <c r="F185" s="239"/>
      <c r="G185" s="239" t="s">
        <v>229</v>
      </c>
      <c r="H185" s="240"/>
      <c r="I185" s="240"/>
      <c r="J185" s="240"/>
      <c r="K185" s="240">
        <v>209.48</v>
      </c>
      <c r="L185" s="239"/>
      <c r="M185" s="240"/>
      <c r="N185" s="241"/>
      <c r="O185" s="242" t="s">
        <v>227</v>
      </c>
      <c r="P185" s="239"/>
      <c r="Q185" s="239" t="s">
        <v>535</v>
      </c>
      <c r="R185" s="239"/>
      <c r="S185" s="239"/>
      <c r="T185" s="239"/>
      <c r="U185" s="239">
        <v>1607</v>
      </c>
    </row>
    <row r="186" spans="1:21" x14ac:dyDescent="0.25">
      <c r="A186">
        <f t="shared" si="2"/>
        <v>1608</v>
      </c>
      <c r="B186" s="154">
        <f>IF(O186="PESO",VALUE(K186),K186*EERR!$D$2)</f>
        <v>185599.28</v>
      </c>
      <c r="C186" s="239" t="s">
        <v>536</v>
      </c>
      <c r="D186" s="239"/>
      <c r="E186" s="239" t="s">
        <v>226</v>
      </c>
      <c r="F186" s="239"/>
      <c r="G186" s="239" t="s">
        <v>229</v>
      </c>
      <c r="H186" s="240"/>
      <c r="I186" s="240"/>
      <c r="J186" s="240"/>
      <c r="K186" s="240">
        <v>209.48</v>
      </c>
      <c r="L186" s="239"/>
      <c r="M186" s="240"/>
      <c r="N186" s="241"/>
      <c r="O186" s="242" t="s">
        <v>227</v>
      </c>
      <c r="P186" s="239"/>
      <c r="Q186" s="239" t="s">
        <v>537</v>
      </c>
      <c r="R186" s="239"/>
      <c r="S186" s="239"/>
      <c r="T186" s="239"/>
      <c r="U186" s="239">
        <v>1608</v>
      </c>
    </row>
    <row r="187" spans="1:21" x14ac:dyDescent="0.25">
      <c r="A187">
        <f t="shared" si="2"/>
        <v>1609</v>
      </c>
      <c r="B187" s="154">
        <f>IF(O187="PESO",VALUE(K187),K187*EERR!$D$2)</f>
        <v>176757</v>
      </c>
      <c r="C187" s="239" t="s">
        <v>538</v>
      </c>
      <c r="D187" s="239"/>
      <c r="E187" s="239" t="s">
        <v>226</v>
      </c>
      <c r="F187" s="239"/>
      <c r="G187" s="239" t="s">
        <v>229</v>
      </c>
      <c r="H187" s="240"/>
      <c r="I187" s="240"/>
      <c r="J187" s="240"/>
      <c r="K187" s="240">
        <v>199.5</v>
      </c>
      <c r="L187" s="239"/>
      <c r="M187" s="240"/>
      <c r="N187" s="241"/>
      <c r="O187" s="242" t="s">
        <v>227</v>
      </c>
      <c r="P187" s="239"/>
      <c r="Q187" s="239" t="s">
        <v>464</v>
      </c>
      <c r="R187" s="239"/>
      <c r="S187" s="239"/>
      <c r="T187" s="239"/>
      <c r="U187" s="239">
        <v>1609</v>
      </c>
    </row>
    <row r="188" spans="1:21" x14ac:dyDescent="0.25">
      <c r="A188">
        <f t="shared" si="2"/>
        <v>1610</v>
      </c>
      <c r="B188" s="154">
        <f>IF(O188="PESO",VALUE(K188),K188*EERR!$D$2)</f>
        <v>505020</v>
      </c>
      <c r="C188" s="239" t="s">
        <v>539</v>
      </c>
      <c r="D188" s="239"/>
      <c r="E188" s="239" t="s">
        <v>226</v>
      </c>
      <c r="F188" s="239"/>
      <c r="G188" s="239" t="s">
        <v>229</v>
      </c>
      <c r="H188" s="240"/>
      <c r="I188" s="240"/>
      <c r="J188" s="240"/>
      <c r="K188" s="240">
        <v>570</v>
      </c>
      <c r="L188" s="239"/>
      <c r="M188" s="240"/>
      <c r="N188" s="241"/>
      <c r="O188" s="242" t="s">
        <v>227</v>
      </c>
      <c r="P188" s="239"/>
      <c r="Q188" s="239" t="s">
        <v>438</v>
      </c>
      <c r="R188" s="239"/>
      <c r="S188" s="239"/>
      <c r="T188" s="239"/>
      <c r="U188" s="239">
        <v>1610</v>
      </c>
    </row>
    <row r="189" spans="1:21" x14ac:dyDescent="0.25">
      <c r="A189">
        <f t="shared" si="2"/>
        <v>1611</v>
      </c>
      <c r="B189" s="154">
        <f>IF(O189="PESO",VALUE(K189),K189*EERR!$D$2)</f>
        <v>168340</v>
      </c>
      <c r="C189" s="239" t="s">
        <v>540</v>
      </c>
      <c r="D189" s="239"/>
      <c r="E189" s="239" t="s">
        <v>226</v>
      </c>
      <c r="F189" s="239"/>
      <c r="G189" s="239" t="s">
        <v>229</v>
      </c>
      <c r="H189" s="240"/>
      <c r="I189" s="240"/>
      <c r="J189" s="240"/>
      <c r="K189" s="240">
        <v>190</v>
      </c>
      <c r="L189" s="239"/>
      <c r="M189" s="240"/>
      <c r="N189" s="241"/>
      <c r="O189" s="242" t="s">
        <v>227</v>
      </c>
      <c r="P189" s="239"/>
      <c r="Q189" s="239" t="s">
        <v>541</v>
      </c>
      <c r="R189" s="239"/>
      <c r="S189" s="239"/>
      <c r="T189" s="239"/>
      <c r="U189" s="239">
        <v>1611</v>
      </c>
    </row>
    <row r="190" spans="1:21" x14ac:dyDescent="0.25">
      <c r="A190">
        <f t="shared" si="2"/>
        <v>1612</v>
      </c>
      <c r="B190" s="154">
        <f>IF(O190="PESO",VALUE(K190),K190*EERR!$D$2)</f>
        <v>185599.28</v>
      </c>
      <c r="C190" s="239" t="s">
        <v>542</v>
      </c>
      <c r="D190" s="239"/>
      <c r="E190" s="239" t="s">
        <v>226</v>
      </c>
      <c r="F190" s="239"/>
      <c r="G190" s="239" t="s">
        <v>229</v>
      </c>
      <c r="H190" s="240"/>
      <c r="I190" s="240"/>
      <c r="J190" s="240"/>
      <c r="K190" s="240">
        <v>209.48</v>
      </c>
      <c r="L190" s="239"/>
      <c r="M190" s="240"/>
      <c r="N190" s="241"/>
      <c r="O190" s="242" t="s">
        <v>227</v>
      </c>
      <c r="P190" s="239"/>
      <c r="Q190" s="239" t="s">
        <v>543</v>
      </c>
      <c r="R190" s="239"/>
      <c r="S190" s="239"/>
      <c r="T190" s="239"/>
      <c r="U190" s="239">
        <v>1612</v>
      </c>
    </row>
    <row r="191" spans="1:21" x14ac:dyDescent="0.25">
      <c r="A191">
        <f t="shared" si="2"/>
        <v>1613</v>
      </c>
      <c r="B191" s="154">
        <f>IF(O191="PESO",VALUE(K191),K191*EERR!$D$2)</f>
        <v>412976</v>
      </c>
      <c r="C191" s="239" t="s">
        <v>544</v>
      </c>
      <c r="D191" s="239"/>
      <c r="E191" s="239" t="s">
        <v>189</v>
      </c>
      <c r="F191" s="239"/>
      <c r="G191" s="239" t="s">
        <v>235</v>
      </c>
      <c r="H191" s="240"/>
      <c r="I191" s="240"/>
      <c r="J191" s="240"/>
      <c r="K191" s="240">
        <v>412976</v>
      </c>
      <c r="L191" s="239"/>
      <c r="M191" s="240"/>
      <c r="N191" s="241"/>
      <c r="O191" s="242" t="s">
        <v>213</v>
      </c>
      <c r="P191" s="239"/>
      <c r="Q191" s="239" t="s">
        <v>436</v>
      </c>
      <c r="R191" s="239"/>
      <c r="S191" s="239"/>
      <c r="T191" s="239"/>
      <c r="U191" s="239">
        <v>1613</v>
      </c>
    </row>
    <row r="192" spans="1:21" x14ac:dyDescent="0.25">
      <c r="A192">
        <f t="shared" si="2"/>
        <v>1614</v>
      </c>
      <c r="B192" s="154">
        <f>IF(O192="PESO",VALUE(K192),K192*EERR!$D$2)</f>
        <v>181807.19999999998</v>
      </c>
      <c r="C192" s="323" t="s">
        <v>545</v>
      </c>
      <c r="D192" s="323"/>
      <c r="E192" s="323" t="s">
        <v>226</v>
      </c>
      <c r="F192" s="323"/>
      <c r="G192" s="323" t="s">
        <v>229</v>
      </c>
      <c r="H192" s="324"/>
      <c r="I192" s="324"/>
      <c r="J192" s="324"/>
      <c r="K192" s="324">
        <v>205.2</v>
      </c>
      <c r="L192" s="323"/>
      <c r="M192" s="324"/>
      <c r="N192" s="325"/>
      <c r="O192" s="326" t="s">
        <v>227</v>
      </c>
      <c r="P192" s="239"/>
      <c r="Q192" s="239" t="s">
        <v>546</v>
      </c>
      <c r="R192" s="239"/>
      <c r="S192" s="239"/>
      <c r="T192" s="239"/>
      <c r="U192" s="239">
        <v>1614</v>
      </c>
    </row>
    <row r="193" spans="1:21" x14ac:dyDescent="0.25">
      <c r="A193">
        <f t="shared" si="2"/>
        <v>1615</v>
      </c>
      <c r="B193" s="154">
        <f>IF(O193="PESO",VALUE(K193),K193*EERR!$D$2)</f>
        <v>15000</v>
      </c>
      <c r="C193" s="323" t="s">
        <v>547</v>
      </c>
      <c r="D193" s="323"/>
      <c r="E193" s="323" t="s">
        <v>189</v>
      </c>
      <c r="F193" s="323"/>
      <c r="G193" s="323" t="s">
        <v>235</v>
      </c>
      <c r="H193" s="324"/>
      <c r="I193" s="324"/>
      <c r="J193" s="324"/>
      <c r="K193" s="324">
        <v>15000</v>
      </c>
      <c r="L193" s="323"/>
      <c r="M193" s="324"/>
      <c r="N193" s="325"/>
      <c r="O193" s="326" t="s">
        <v>213</v>
      </c>
      <c r="P193" s="239"/>
      <c r="Q193" s="239" t="s">
        <v>472</v>
      </c>
      <c r="R193" s="239"/>
      <c r="S193" s="239"/>
      <c r="T193" s="239"/>
      <c r="U193" s="239">
        <v>1615</v>
      </c>
    </row>
    <row r="194" spans="1:21" x14ac:dyDescent="0.25">
      <c r="A194">
        <f t="shared" si="2"/>
        <v>1616</v>
      </c>
      <c r="B194" s="154">
        <f>IF(O194="PESO",VALUE(K194),K194*EERR!$D$2)</f>
        <v>742397.12</v>
      </c>
      <c r="C194" s="239" t="s">
        <v>548</v>
      </c>
      <c r="D194" s="239"/>
      <c r="E194" s="239" t="s">
        <v>226</v>
      </c>
      <c r="F194" s="239"/>
      <c r="G194" s="239" t="s">
        <v>229</v>
      </c>
      <c r="H194" s="240"/>
      <c r="I194" s="240"/>
      <c r="J194" s="240"/>
      <c r="K194" s="240">
        <v>837.92</v>
      </c>
      <c r="L194" s="239"/>
      <c r="M194" s="240"/>
      <c r="N194" s="241"/>
      <c r="O194" s="242" t="s">
        <v>227</v>
      </c>
      <c r="P194" s="239"/>
      <c r="Q194" s="239" t="s">
        <v>549</v>
      </c>
      <c r="R194" s="239"/>
      <c r="S194" s="239"/>
      <c r="T194" s="239"/>
      <c r="U194" s="239">
        <v>1616</v>
      </c>
    </row>
    <row r="195" spans="1:21" x14ac:dyDescent="0.25">
      <c r="A195">
        <f t="shared" si="2"/>
        <v>1617</v>
      </c>
      <c r="B195" s="154">
        <f>IF(O195="PESO",VALUE(K195),K195*EERR!$D$2)</f>
        <v>742397.12</v>
      </c>
      <c r="C195" s="239" t="s">
        <v>550</v>
      </c>
      <c r="D195" s="239"/>
      <c r="E195" s="239" t="s">
        <v>226</v>
      </c>
      <c r="F195" s="239"/>
      <c r="G195" s="239" t="s">
        <v>229</v>
      </c>
      <c r="H195" s="240"/>
      <c r="I195" s="240"/>
      <c r="J195" s="240"/>
      <c r="K195" s="240">
        <v>837.92</v>
      </c>
      <c r="L195" s="239"/>
      <c r="M195" s="240"/>
      <c r="N195" s="241"/>
      <c r="O195" s="242" t="s">
        <v>227</v>
      </c>
      <c r="P195" s="239"/>
      <c r="Q195" s="239" t="s">
        <v>446</v>
      </c>
      <c r="R195" s="239"/>
      <c r="S195" s="239"/>
      <c r="T195" s="239"/>
      <c r="U195" s="239">
        <v>1617</v>
      </c>
    </row>
    <row r="196" spans="1:21" x14ac:dyDescent="0.25">
      <c r="A196">
        <f t="shared" si="2"/>
        <v>1618</v>
      </c>
      <c r="B196" s="154">
        <f>IF(O196="PESO",VALUE(K196),K196*EERR!$D$2)</f>
        <v>174993.86</v>
      </c>
      <c r="C196" s="239" t="s">
        <v>551</v>
      </c>
      <c r="D196" s="239"/>
      <c r="E196" s="239" t="s">
        <v>226</v>
      </c>
      <c r="F196" s="239"/>
      <c r="G196" s="239" t="s">
        <v>229</v>
      </c>
      <c r="H196" s="240"/>
      <c r="I196" s="240"/>
      <c r="J196" s="240"/>
      <c r="K196" s="240">
        <v>197.51</v>
      </c>
      <c r="L196" s="239"/>
      <c r="M196" s="240"/>
      <c r="N196" s="241"/>
      <c r="O196" s="242" t="s">
        <v>227</v>
      </c>
      <c r="P196" s="239"/>
      <c r="Q196" s="239" t="s">
        <v>552</v>
      </c>
      <c r="R196" s="239"/>
      <c r="S196" s="239"/>
      <c r="T196" s="239"/>
      <c r="U196" s="239">
        <v>1618</v>
      </c>
    </row>
    <row r="197" spans="1:21" x14ac:dyDescent="0.25">
      <c r="A197">
        <f t="shared" si="2"/>
        <v>1619</v>
      </c>
      <c r="B197" s="154">
        <f>IF(O197="PESO",VALUE(K197),K197*EERR!$D$2)</f>
        <v>174993.86</v>
      </c>
      <c r="C197" s="239" t="s">
        <v>553</v>
      </c>
      <c r="D197" s="239"/>
      <c r="E197" s="239" t="s">
        <v>226</v>
      </c>
      <c r="F197" s="239"/>
      <c r="G197" s="239" t="s">
        <v>229</v>
      </c>
      <c r="H197" s="240"/>
      <c r="I197" s="240"/>
      <c r="J197" s="240"/>
      <c r="K197" s="240">
        <v>197.51</v>
      </c>
      <c r="L197" s="239"/>
      <c r="M197" s="240"/>
      <c r="N197" s="241"/>
      <c r="O197" s="242" t="s">
        <v>227</v>
      </c>
      <c r="P197" s="239"/>
      <c r="Q197" s="239" t="s">
        <v>554</v>
      </c>
      <c r="R197" s="239"/>
      <c r="S197" s="239"/>
      <c r="T197" s="239"/>
      <c r="U197" s="239">
        <v>1619</v>
      </c>
    </row>
    <row r="198" spans="1:21" x14ac:dyDescent="0.25">
      <c r="A198">
        <f t="shared" si="2"/>
        <v>1620</v>
      </c>
      <c r="B198" s="154">
        <f>IF(O198="PESO",VALUE(K198),K198*EERR!$D$2)</f>
        <v>167037.57999999999</v>
      </c>
      <c r="C198" s="239" t="s">
        <v>555</v>
      </c>
      <c r="D198" s="239"/>
      <c r="E198" s="239" t="s">
        <v>226</v>
      </c>
      <c r="F198" s="239"/>
      <c r="G198" s="239" t="s">
        <v>229</v>
      </c>
      <c r="H198" s="240"/>
      <c r="I198" s="240"/>
      <c r="J198" s="240"/>
      <c r="K198" s="240">
        <v>188.53</v>
      </c>
      <c r="L198" s="239"/>
      <c r="M198" s="240"/>
      <c r="N198" s="241"/>
      <c r="O198" s="242" t="s">
        <v>227</v>
      </c>
      <c r="P198" s="239"/>
      <c r="Q198" s="239" t="s">
        <v>556</v>
      </c>
      <c r="R198" s="239"/>
      <c r="S198" s="239"/>
      <c r="T198" s="239"/>
      <c r="U198" s="239">
        <v>1620</v>
      </c>
    </row>
    <row r="199" spans="1:21" x14ac:dyDescent="0.25">
      <c r="A199">
        <f t="shared" ref="A199" si="3">VALUE(U199)</f>
        <v>1621</v>
      </c>
      <c r="B199" s="154">
        <f>IF(O199="PESO",VALUE(K199),K199*EERR!$D$2)</f>
        <v>167037.57999999999</v>
      </c>
      <c r="C199" s="239" t="s">
        <v>557</v>
      </c>
      <c r="D199" s="239"/>
      <c r="E199" s="239" t="s">
        <v>226</v>
      </c>
      <c r="F199" s="239"/>
      <c r="G199" s="239" t="s">
        <v>229</v>
      </c>
      <c r="H199" s="240"/>
      <c r="I199" s="240"/>
      <c r="J199" s="240"/>
      <c r="K199" s="240">
        <v>188.53</v>
      </c>
      <c r="L199" s="239"/>
      <c r="M199" s="240"/>
      <c r="N199" s="241"/>
      <c r="O199" s="242" t="s">
        <v>227</v>
      </c>
      <c r="P199" s="239"/>
      <c r="Q199" s="239" t="s">
        <v>556</v>
      </c>
      <c r="R199" s="239"/>
      <c r="S199" s="239"/>
      <c r="T199" s="239"/>
      <c r="U199" s="239">
        <v>1621</v>
      </c>
    </row>
    <row r="200" spans="1:21" x14ac:dyDescent="0.25">
      <c r="A200">
        <f t="shared" si="2"/>
        <v>1622</v>
      </c>
      <c r="B200" s="154">
        <f>IF(O200="PESO",VALUE(K200),K200*EERR!$D$2)</f>
        <v>185599.28</v>
      </c>
      <c r="C200" s="239" t="s">
        <v>558</v>
      </c>
      <c r="D200" s="239"/>
      <c r="E200" s="239" t="s">
        <v>226</v>
      </c>
      <c r="F200" s="239"/>
      <c r="G200" s="239" t="s">
        <v>229</v>
      </c>
      <c r="H200" s="240"/>
      <c r="I200" s="240"/>
      <c r="J200" s="240"/>
      <c r="K200" s="240">
        <v>209.48</v>
      </c>
      <c r="L200" s="239"/>
      <c r="M200" s="240"/>
      <c r="N200" s="241"/>
      <c r="O200" s="242" t="s">
        <v>227</v>
      </c>
      <c r="P200" s="239"/>
      <c r="Q200" s="239" t="s">
        <v>559</v>
      </c>
      <c r="R200" s="239"/>
      <c r="S200" s="239"/>
      <c r="T200" s="239"/>
      <c r="U200" s="239">
        <v>1622</v>
      </c>
    </row>
    <row r="201" spans="1:21" x14ac:dyDescent="0.25">
      <c r="A201">
        <f t="shared" si="2"/>
        <v>1623</v>
      </c>
      <c r="B201" s="154">
        <f>IF(O201="PESO",VALUE(K201),K201*EERR!$D$2)</f>
        <v>429300</v>
      </c>
      <c r="C201" s="239" t="s">
        <v>560</v>
      </c>
      <c r="D201" s="239"/>
      <c r="E201" s="239" t="s">
        <v>189</v>
      </c>
      <c r="F201" s="239"/>
      <c r="G201" s="239" t="s">
        <v>235</v>
      </c>
      <c r="H201" s="240"/>
      <c r="I201" s="240"/>
      <c r="J201" s="240"/>
      <c r="K201" s="240">
        <v>429300</v>
      </c>
      <c r="L201" s="239"/>
      <c r="M201" s="240"/>
      <c r="N201" s="241"/>
      <c r="O201" s="242" t="s">
        <v>213</v>
      </c>
      <c r="P201" s="239"/>
      <c r="Q201" s="239" t="s">
        <v>561</v>
      </c>
      <c r="R201" s="239"/>
      <c r="S201" s="239"/>
      <c r="T201" s="239"/>
      <c r="U201" s="239">
        <v>1623</v>
      </c>
    </row>
    <row r="202" spans="1:21" x14ac:dyDescent="0.25">
      <c r="A202">
        <f t="shared" si="2"/>
        <v>1624</v>
      </c>
      <c r="B202" s="154">
        <f>IF(O202="PESO",VALUE(K202),K202*EERR!$D$2)</f>
        <v>429300</v>
      </c>
      <c r="C202" s="239" t="s">
        <v>562</v>
      </c>
      <c r="D202" s="239"/>
      <c r="E202" s="239" t="s">
        <v>189</v>
      </c>
      <c r="F202" s="239"/>
      <c r="G202" s="239" t="s">
        <v>235</v>
      </c>
      <c r="H202" s="240"/>
      <c r="I202" s="240"/>
      <c r="J202" s="240"/>
      <c r="K202" s="240">
        <v>429300</v>
      </c>
      <c r="L202" s="239"/>
      <c r="M202" s="240"/>
      <c r="N202" s="241"/>
      <c r="O202" s="242" t="s">
        <v>213</v>
      </c>
      <c r="P202" s="239"/>
      <c r="Q202" s="239" t="s">
        <v>563</v>
      </c>
      <c r="R202" s="239"/>
      <c r="S202" s="239"/>
      <c r="T202" s="239"/>
      <c r="U202" s="239">
        <v>1624</v>
      </c>
    </row>
    <row r="203" spans="1:21" x14ac:dyDescent="0.25">
      <c r="A203">
        <f t="shared" si="2"/>
        <v>1625</v>
      </c>
      <c r="B203" s="154">
        <f>IF(O203="PESO",VALUE(K203),K203*EERR!$D$2)</f>
        <v>429300</v>
      </c>
      <c r="C203" s="239" t="s">
        <v>564</v>
      </c>
      <c r="D203" s="239"/>
      <c r="E203" s="239" t="s">
        <v>189</v>
      </c>
      <c r="F203" s="239"/>
      <c r="G203" s="239" t="s">
        <v>235</v>
      </c>
      <c r="H203" s="240"/>
      <c r="I203" s="240"/>
      <c r="J203" s="240"/>
      <c r="K203" s="240">
        <v>429300</v>
      </c>
      <c r="L203" s="239"/>
      <c r="M203" s="240"/>
      <c r="N203" s="241"/>
      <c r="O203" s="242" t="s">
        <v>213</v>
      </c>
      <c r="P203" s="239"/>
      <c r="Q203" s="239" t="s">
        <v>565</v>
      </c>
      <c r="R203" s="239"/>
      <c r="S203" s="239"/>
      <c r="T203" s="239"/>
      <c r="U203" s="239">
        <v>1625</v>
      </c>
    </row>
    <row r="204" spans="1:21" x14ac:dyDescent="0.25">
      <c r="A204">
        <f t="shared" si="2"/>
        <v>1626</v>
      </c>
      <c r="B204" s="154">
        <f>IF(O204="PESO",VALUE(K204),K204*EERR!$D$2)</f>
        <v>174993.86</v>
      </c>
      <c r="C204" s="239" t="s">
        <v>566</v>
      </c>
      <c r="D204" s="239"/>
      <c r="E204" s="239" t="s">
        <v>226</v>
      </c>
      <c r="F204" s="239"/>
      <c r="G204" s="239" t="s">
        <v>229</v>
      </c>
      <c r="H204" s="240"/>
      <c r="I204" s="240"/>
      <c r="J204" s="240"/>
      <c r="K204" s="240">
        <v>197.51</v>
      </c>
      <c r="L204" s="239"/>
      <c r="M204" s="240"/>
      <c r="N204" s="241"/>
      <c r="O204" s="242" t="s">
        <v>227</v>
      </c>
      <c r="P204" s="239"/>
      <c r="Q204" s="239" t="s">
        <v>567</v>
      </c>
      <c r="R204" s="239"/>
      <c r="S204" s="239"/>
      <c r="T204" s="239"/>
      <c r="U204" s="239">
        <v>1626</v>
      </c>
    </row>
    <row r="205" spans="1:21" x14ac:dyDescent="0.25">
      <c r="A205">
        <f t="shared" si="2"/>
        <v>1627</v>
      </c>
      <c r="B205" s="154">
        <f>IF(O205="PESO",VALUE(K205),K205*EERR!$D$2)</f>
        <v>174993.86</v>
      </c>
      <c r="C205" s="239" t="s">
        <v>568</v>
      </c>
      <c r="D205" s="239"/>
      <c r="E205" s="239" t="s">
        <v>226</v>
      </c>
      <c r="F205" s="239"/>
      <c r="G205" s="239" t="s">
        <v>229</v>
      </c>
      <c r="H205" s="240"/>
      <c r="I205" s="240"/>
      <c r="J205" s="240"/>
      <c r="K205" s="240">
        <v>197.51</v>
      </c>
      <c r="L205" s="239"/>
      <c r="M205" s="240"/>
      <c r="N205" s="241"/>
      <c r="O205" s="242" t="s">
        <v>227</v>
      </c>
      <c r="P205" s="239"/>
      <c r="Q205" s="239" t="s">
        <v>569</v>
      </c>
      <c r="R205" s="239"/>
      <c r="S205" s="239"/>
      <c r="T205" s="239"/>
      <c r="U205" s="239">
        <v>1627</v>
      </c>
    </row>
    <row r="206" spans="1:21" x14ac:dyDescent="0.25">
      <c r="A206">
        <f t="shared" si="2"/>
        <v>1628</v>
      </c>
      <c r="B206" s="154">
        <f>IF(O206="PESO",VALUE(K206),K206*EERR!$D$2)</f>
        <v>9000</v>
      </c>
      <c r="C206" s="239" t="s">
        <v>570</v>
      </c>
      <c r="D206" s="239"/>
      <c r="E206" s="239" t="s">
        <v>189</v>
      </c>
      <c r="F206" s="239"/>
      <c r="G206" s="239" t="s">
        <v>235</v>
      </c>
      <c r="H206" s="240"/>
      <c r="I206" s="240"/>
      <c r="J206" s="240"/>
      <c r="K206" s="240">
        <v>9000</v>
      </c>
      <c r="L206" s="239"/>
      <c r="M206" s="240"/>
      <c r="N206" s="241"/>
      <c r="O206" s="242" t="s">
        <v>213</v>
      </c>
      <c r="P206" s="239"/>
      <c r="Q206" s="239" t="s">
        <v>523</v>
      </c>
      <c r="R206" s="239"/>
      <c r="S206" s="239"/>
      <c r="T206" s="239"/>
      <c r="U206" s="239">
        <v>1628</v>
      </c>
    </row>
    <row r="207" spans="1:21" x14ac:dyDescent="0.25">
      <c r="A207">
        <f t="shared" si="2"/>
        <v>1629</v>
      </c>
      <c r="B207" s="154">
        <f>IF(O207="PESO",VALUE(K207),K207*EERR!$D$2)</f>
        <v>388865.39999999997</v>
      </c>
      <c r="C207" s="239" t="s">
        <v>571</v>
      </c>
      <c r="D207" s="239"/>
      <c r="E207" s="239" t="s">
        <v>226</v>
      </c>
      <c r="F207" s="239"/>
      <c r="G207" s="239" t="s">
        <v>229</v>
      </c>
      <c r="H207" s="240"/>
      <c r="I207" s="240"/>
      <c r="J207" s="240"/>
      <c r="K207" s="240">
        <v>438.9</v>
      </c>
      <c r="L207" s="239"/>
      <c r="M207" s="240"/>
      <c r="N207" s="241"/>
      <c r="O207" s="242" t="s">
        <v>227</v>
      </c>
      <c r="P207" s="239"/>
      <c r="Q207" s="239" t="s">
        <v>454</v>
      </c>
      <c r="R207" s="239"/>
      <c r="S207" s="239"/>
      <c r="T207" s="239"/>
      <c r="U207" s="239">
        <v>1629</v>
      </c>
    </row>
    <row r="208" spans="1:21" x14ac:dyDescent="0.25">
      <c r="A208">
        <f t="shared" si="2"/>
        <v>1630</v>
      </c>
      <c r="B208" s="154">
        <f>IF(O208="PESO",VALUE(K208),K208*EERR!$D$2)</f>
        <v>174993.86</v>
      </c>
      <c r="C208" s="239" t="s">
        <v>572</v>
      </c>
      <c r="D208" s="239"/>
      <c r="E208" s="239" t="s">
        <v>226</v>
      </c>
      <c r="F208" s="239"/>
      <c r="G208" s="239" t="s">
        <v>229</v>
      </c>
      <c r="H208" s="240"/>
      <c r="I208" s="240"/>
      <c r="J208" s="240"/>
      <c r="K208" s="240">
        <v>197.51</v>
      </c>
      <c r="L208" s="239"/>
      <c r="M208" s="240"/>
      <c r="N208" s="241"/>
      <c r="O208" s="242" t="s">
        <v>227</v>
      </c>
      <c r="P208" s="239"/>
      <c r="Q208" s="239" t="s">
        <v>573</v>
      </c>
      <c r="R208" s="239"/>
      <c r="S208" s="239"/>
      <c r="T208" s="239"/>
      <c r="U208" s="239">
        <v>1630</v>
      </c>
    </row>
    <row r="209" spans="1:21" x14ac:dyDescent="0.25">
      <c r="A209">
        <f t="shared" si="2"/>
        <v>1631</v>
      </c>
      <c r="B209" s="154">
        <f>IF(O209="PESO",VALUE(K209),K209*EERR!$D$2)</f>
        <v>388865.39999999997</v>
      </c>
      <c r="C209" s="239" t="s">
        <v>574</v>
      </c>
      <c r="D209" s="239"/>
      <c r="E209" s="239" t="s">
        <v>226</v>
      </c>
      <c r="F209" s="239"/>
      <c r="G209" s="239" t="s">
        <v>229</v>
      </c>
      <c r="H209" s="240"/>
      <c r="I209" s="240"/>
      <c r="J209" s="240"/>
      <c r="K209" s="240">
        <v>438.9</v>
      </c>
      <c r="L209" s="239"/>
      <c r="M209" s="240"/>
      <c r="N209" s="241"/>
      <c r="O209" s="242" t="s">
        <v>227</v>
      </c>
      <c r="P209" s="239"/>
      <c r="Q209" s="239" t="s">
        <v>575</v>
      </c>
      <c r="R209" s="239"/>
      <c r="S209" s="239"/>
      <c r="T209" s="239"/>
      <c r="U209" s="239">
        <v>1631</v>
      </c>
    </row>
    <row r="210" spans="1:21" x14ac:dyDescent="0.25">
      <c r="A210">
        <f t="shared" si="2"/>
        <v>1632</v>
      </c>
      <c r="B210" s="154">
        <f>IF(O210="PESO",VALUE(K210),K210*EERR!$D$2)</f>
        <v>174993.86</v>
      </c>
      <c r="C210" s="239" t="s">
        <v>576</v>
      </c>
      <c r="D210" s="239"/>
      <c r="E210" s="239" t="s">
        <v>226</v>
      </c>
      <c r="F210" s="239"/>
      <c r="G210" s="239" t="s">
        <v>229</v>
      </c>
      <c r="H210" s="240"/>
      <c r="I210" s="240"/>
      <c r="J210" s="240"/>
      <c r="K210" s="240">
        <v>197.51</v>
      </c>
      <c r="L210" s="239"/>
      <c r="M210" s="240"/>
      <c r="N210" s="241"/>
      <c r="O210" s="242" t="s">
        <v>227</v>
      </c>
      <c r="P210" s="239"/>
      <c r="Q210" s="239" t="s">
        <v>464</v>
      </c>
      <c r="R210" s="239"/>
      <c r="S210" s="239"/>
      <c r="T210" s="239"/>
      <c r="U210" s="239">
        <v>1632</v>
      </c>
    </row>
    <row r="211" spans="1:21" x14ac:dyDescent="0.25">
      <c r="A211">
        <f t="shared" si="2"/>
        <v>1633</v>
      </c>
      <c r="B211" s="154">
        <f>IF(O211="PESO",VALUE(K211),K211*EERR!$D$2)</f>
        <v>177200</v>
      </c>
      <c r="C211" s="239" t="s">
        <v>577</v>
      </c>
      <c r="D211" s="239"/>
      <c r="E211" s="239" t="s">
        <v>226</v>
      </c>
      <c r="F211" s="239"/>
      <c r="G211" s="239" t="s">
        <v>229</v>
      </c>
      <c r="H211" s="240"/>
      <c r="I211" s="240"/>
      <c r="J211" s="240"/>
      <c r="K211" s="240">
        <v>200</v>
      </c>
      <c r="L211" s="239"/>
      <c r="M211" s="240"/>
      <c r="N211" s="241"/>
      <c r="O211" s="242" t="s">
        <v>227</v>
      </c>
      <c r="P211" s="239"/>
      <c r="Q211" s="239" t="s">
        <v>578</v>
      </c>
      <c r="R211" s="239"/>
      <c r="S211" s="239"/>
      <c r="T211" s="239"/>
      <c r="U211" s="239">
        <v>1633</v>
      </c>
    </row>
    <row r="212" spans="1:21" x14ac:dyDescent="0.25">
      <c r="A212">
        <f t="shared" si="2"/>
        <v>1634</v>
      </c>
      <c r="B212" s="154">
        <f>IF(O212="PESO",VALUE(K212),K212*EERR!$D$2)</f>
        <v>9000</v>
      </c>
      <c r="C212" s="239" t="s">
        <v>579</v>
      </c>
      <c r="D212" s="239"/>
      <c r="E212" s="239" t="s">
        <v>189</v>
      </c>
      <c r="F212" s="239"/>
      <c r="G212" s="239" t="s">
        <v>235</v>
      </c>
      <c r="H212" s="240"/>
      <c r="I212" s="240"/>
      <c r="J212" s="240"/>
      <c r="K212" s="240">
        <v>9000</v>
      </c>
      <c r="L212" s="239"/>
      <c r="M212" s="240"/>
      <c r="N212" s="241"/>
      <c r="O212" s="242" t="s">
        <v>213</v>
      </c>
      <c r="P212" s="239"/>
      <c r="Q212" s="239" t="s">
        <v>580</v>
      </c>
      <c r="R212" s="239"/>
      <c r="S212" s="239"/>
      <c r="T212" s="239"/>
      <c r="U212" s="239">
        <v>1634</v>
      </c>
    </row>
    <row r="213" spans="1:21" x14ac:dyDescent="0.25">
      <c r="A213">
        <f t="shared" si="2"/>
        <v>1635</v>
      </c>
      <c r="B213" s="154">
        <f>IF(O213="PESO",VALUE(K213),K213*EERR!$D$2)</f>
        <v>668150.31999999995</v>
      </c>
      <c r="C213" s="239" t="s">
        <v>581</v>
      </c>
      <c r="D213" s="239"/>
      <c r="E213" s="239" t="s">
        <v>226</v>
      </c>
      <c r="F213" s="239"/>
      <c r="G213" s="239" t="s">
        <v>229</v>
      </c>
      <c r="H213" s="240"/>
      <c r="I213" s="240"/>
      <c r="J213" s="240"/>
      <c r="K213" s="240">
        <v>754.12</v>
      </c>
      <c r="L213" s="239"/>
      <c r="M213" s="240"/>
      <c r="N213" s="241"/>
      <c r="O213" s="242" t="s">
        <v>227</v>
      </c>
      <c r="P213" s="239"/>
      <c r="Q213" s="239" t="s">
        <v>460</v>
      </c>
      <c r="R213" s="239"/>
      <c r="S213" s="239"/>
      <c r="T213" s="239"/>
      <c r="U213" s="239">
        <v>1635</v>
      </c>
    </row>
    <row r="214" spans="1:21" x14ac:dyDescent="0.25">
      <c r="A214">
        <f t="shared" si="2"/>
        <v>1636</v>
      </c>
      <c r="B214" s="154">
        <f>IF(O214="PESO",VALUE(K214),K214*EERR!$D$2)</f>
        <v>194432.69999999998</v>
      </c>
      <c r="C214" s="239" t="s">
        <v>582</v>
      </c>
      <c r="D214" s="239"/>
      <c r="E214" s="239" t="s">
        <v>226</v>
      </c>
      <c r="F214" s="239"/>
      <c r="G214" s="239" t="s">
        <v>229</v>
      </c>
      <c r="H214" s="240"/>
      <c r="I214" s="240"/>
      <c r="J214" s="240"/>
      <c r="K214" s="240">
        <v>219.45</v>
      </c>
      <c r="L214" s="239"/>
      <c r="M214" s="240"/>
      <c r="N214" s="241"/>
      <c r="O214" s="242" t="s">
        <v>227</v>
      </c>
      <c r="P214" s="239"/>
      <c r="Q214" s="239" t="s">
        <v>478</v>
      </c>
      <c r="R214" s="239"/>
      <c r="S214" s="239"/>
      <c r="T214" s="239"/>
      <c r="U214" s="239">
        <v>1636</v>
      </c>
    </row>
    <row r="215" spans="1:21" x14ac:dyDescent="0.25">
      <c r="A215">
        <f t="shared" si="2"/>
        <v>1637</v>
      </c>
      <c r="B215" s="154">
        <f>IF(O215="PESO",VALUE(K215),K215*EERR!$D$2)</f>
        <v>168340</v>
      </c>
      <c r="C215" s="239" t="s">
        <v>583</v>
      </c>
      <c r="D215" s="239"/>
      <c r="E215" s="239" t="s">
        <v>226</v>
      </c>
      <c r="F215" s="239"/>
      <c r="G215" s="239" t="s">
        <v>229</v>
      </c>
      <c r="H215" s="240"/>
      <c r="I215" s="240"/>
      <c r="J215" s="240"/>
      <c r="K215" s="240">
        <v>190</v>
      </c>
      <c r="L215" s="239"/>
      <c r="M215" s="240"/>
      <c r="N215" s="241"/>
      <c r="O215" s="242" t="s">
        <v>227</v>
      </c>
      <c r="P215" s="239"/>
      <c r="Q215" s="239" t="s">
        <v>584</v>
      </c>
      <c r="R215" s="239"/>
      <c r="S215" s="239"/>
      <c r="T215" s="239"/>
      <c r="U215" s="239">
        <v>1637</v>
      </c>
    </row>
    <row r="216" spans="1:21" x14ac:dyDescent="0.25">
      <c r="A216">
        <f t="shared" si="2"/>
        <v>1638</v>
      </c>
      <c r="B216" s="154">
        <f>IF(O216="PESO",VALUE(K216),K216*EERR!$D$2)</f>
        <v>9746</v>
      </c>
      <c r="C216" s="239" t="s">
        <v>585</v>
      </c>
      <c r="D216" s="239"/>
      <c r="E216" s="239" t="s">
        <v>226</v>
      </c>
      <c r="F216" s="239"/>
      <c r="G216" s="239" t="s">
        <v>229</v>
      </c>
      <c r="H216" s="240"/>
      <c r="I216" s="240"/>
      <c r="J216" s="240"/>
      <c r="K216" s="240">
        <v>11</v>
      </c>
      <c r="L216" s="239"/>
      <c r="M216" s="240"/>
      <c r="N216" s="241"/>
      <c r="O216" s="242" t="s">
        <v>227</v>
      </c>
      <c r="P216" s="239"/>
      <c r="Q216" s="239" t="s">
        <v>446</v>
      </c>
      <c r="R216" s="239"/>
      <c r="S216" s="239"/>
      <c r="T216" s="239"/>
      <c r="U216" s="239">
        <v>1638</v>
      </c>
    </row>
    <row r="217" spans="1:21" x14ac:dyDescent="0.25">
      <c r="A217">
        <f t="shared" si="2"/>
        <v>1639</v>
      </c>
      <c r="B217" s="154">
        <f>IF(O217="PESO",VALUE(K217),K217*EERR!$D$2)</f>
        <v>6202</v>
      </c>
      <c r="C217" s="239" t="s">
        <v>586</v>
      </c>
      <c r="D217" s="239"/>
      <c r="E217" s="239" t="s">
        <v>226</v>
      </c>
      <c r="F217" s="239"/>
      <c r="G217" s="239" t="s">
        <v>229</v>
      </c>
      <c r="H217" s="240"/>
      <c r="I217" s="240"/>
      <c r="J217" s="240"/>
      <c r="K217" s="240">
        <v>7</v>
      </c>
      <c r="L217" s="239"/>
      <c r="M217" s="240"/>
      <c r="N217" s="241"/>
      <c r="O217" s="242" t="s">
        <v>227</v>
      </c>
      <c r="P217" s="239"/>
      <c r="Q217" s="239" t="s">
        <v>549</v>
      </c>
      <c r="R217" s="239"/>
      <c r="S217" s="239"/>
      <c r="T217" s="239"/>
      <c r="U217" s="239">
        <v>1639</v>
      </c>
    </row>
    <row r="218" spans="1:21" x14ac:dyDescent="0.25">
      <c r="A218">
        <f t="shared" si="2"/>
        <v>1640</v>
      </c>
      <c r="B218" s="154">
        <f>IF(O218="PESO",VALUE(K218),K218*EERR!$D$2)</f>
        <v>1002225.4800000001</v>
      </c>
      <c r="C218" s="239" t="s">
        <v>587</v>
      </c>
      <c r="D218" s="239"/>
      <c r="E218" s="239" t="s">
        <v>226</v>
      </c>
      <c r="F218" s="239"/>
      <c r="G218" s="239" t="s">
        <v>229</v>
      </c>
      <c r="H218" s="240"/>
      <c r="I218" s="240"/>
      <c r="J218" s="240"/>
      <c r="K218" s="240">
        <v>1131.18</v>
      </c>
      <c r="L218" s="239"/>
      <c r="M218" s="240"/>
      <c r="N218" s="241"/>
      <c r="O218" s="242" t="s">
        <v>227</v>
      </c>
      <c r="P218" s="239"/>
      <c r="Q218" s="239" t="s">
        <v>588</v>
      </c>
      <c r="R218" s="239"/>
      <c r="S218" s="239"/>
      <c r="T218" s="239"/>
      <c r="U218" s="239">
        <v>1640</v>
      </c>
    </row>
    <row r="219" spans="1:21" x14ac:dyDescent="0.25">
      <c r="A219">
        <f t="shared" si="2"/>
        <v>1641</v>
      </c>
      <c r="B219" s="154">
        <f>IF(O219="PESO",VALUE(K219),K219*EERR!$D$2)</f>
        <v>20000</v>
      </c>
      <c r="C219" s="239" t="s">
        <v>589</v>
      </c>
      <c r="D219" s="239"/>
      <c r="E219" s="239" t="s">
        <v>189</v>
      </c>
      <c r="F219" s="239"/>
      <c r="G219" s="239" t="s">
        <v>235</v>
      </c>
      <c r="H219" s="240"/>
      <c r="I219" s="240"/>
      <c r="J219" s="240"/>
      <c r="K219" s="240">
        <v>20000</v>
      </c>
      <c r="L219" s="239"/>
      <c r="M219" s="240"/>
      <c r="N219" s="241"/>
      <c r="O219" s="242" t="s">
        <v>213</v>
      </c>
      <c r="P219" s="239"/>
      <c r="Q219" s="239" t="s">
        <v>590</v>
      </c>
      <c r="R219" s="239"/>
      <c r="S219" s="239"/>
      <c r="T219" s="239"/>
      <c r="U219" s="239">
        <v>1641</v>
      </c>
    </row>
    <row r="220" spans="1:21" x14ac:dyDescent="0.25">
      <c r="A220">
        <f t="shared" si="2"/>
        <v>1642</v>
      </c>
      <c r="B220" s="154">
        <f>IF(O220="PESO",VALUE(K220),K220*EERR!$D$2)</f>
        <v>17463.060000000001</v>
      </c>
      <c r="C220" s="239" t="s">
        <v>591</v>
      </c>
      <c r="D220" s="239"/>
      <c r="E220" s="239" t="s">
        <v>226</v>
      </c>
      <c r="F220" s="239"/>
      <c r="G220" s="239" t="s">
        <v>229</v>
      </c>
      <c r="H220" s="240"/>
      <c r="I220" s="240"/>
      <c r="J220" s="240"/>
      <c r="K220" s="240">
        <v>19.71</v>
      </c>
      <c r="L220" s="239"/>
      <c r="M220" s="240"/>
      <c r="N220" s="241"/>
      <c r="O220" s="242" t="s">
        <v>227</v>
      </c>
      <c r="P220" s="239"/>
      <c r="Q220" s="239" t="s">
        <v>592</v>
      </c>
      <c r="R220" s="239"/>
      <c r="S220" s="239"/>
      <c r="T220" s="239"/>
      <c r="U220" s="239">
        <v>1642</v>
      </c>
    </row>
    <row r="221" spans="1:21" x14ac:dyDescent="0.25">
      <c r="A221">
        <f t="shared" si="2"/>
        <v>1643</v>
      </c>
      <c r="B221" s="154">
        <f>IF(O221="PESO",VALUE(K221),K221*EERR!$D$2)</f>
        <v>327252.96000000002</v>
      </c>
      <c r="C221" s="239" t="s">
        <v>593</v>
      </c>
      <c r="D221" s="239"/>
      <c r="E221" s="239" t="s">
        <v>226</v>
      </c>
      <c r="F221" s="239"/>
      <c r="G221" s="239" t="s">
        <v>229</v>
      </c>
      <c r="H221" s="240"/>
      <c r="I221" s="240"/>
      <c r="J221" s="240"/>
      <c r="K221" s="240">
        <v>369.36</v>
      </c>
      <c r="L221" s="239"/>
      <c r="M221" s="240"/>
      <c r="N221" s="241"/>
      <c r="O221" s="242" t="s">
        <v>227</v>
      </c>
      <c r="P221" s="239"/>
      <c r="Q221" s="239" t="s">
        <v>594</v>
      </c>
      <c r="R221" s="239"/>
      <c r="S221" s="239"/>
      <c r="T221" s="239"/>
      <c r="U221" s="239">
        <v>1643</v>
      </c>
    </row>
    <row r="222" spans="1:21" x14ac:dyDescent="0.25">
      <c r="A222">
        <f t="shared" si="2"/>
        <v>1644</v>
      </c>
      <c r="B222" s="154">
        <f>IF(O222="PESO",VALUE(K222),K222*EERR!$D$2)</f>
        <v>1049963.1599999999</v>
      </c>
      <c r="C222" s="239" t="s">
        <v>595</v>
      </c>
      <c r="D222" s="239"/>
      <c r="E222" s="239" t="s">
        <v>226</v>
      </c>
      <c r="F222" s="239"/>
      <c r="G222" s="239" t="s">
        <v>229</v>
      </c>
      <c r="H222" s="240"/>
      <c r="I222" s="240"/>
      <c r="J222" s="240"/>
      <c r="K222" s="240">
        <v>1185.06</v>
      </c>
      <c r="L222" s="239"/>
      <c r="M222" s="240"/>
      <c r="N222" s="241"/>
      <c r="O222" s="242" t="s">
        <v>227</v>
      </c>
      <c r="P222" s="239"/>
      <c r="Q222" s="239" t="s">
        <v>480</v>
      </c>
      <c r="R222" s="239"/>
      <c r="S222" s="239"/>
      <c r="T222" s="239"/>
      <c r="U222" s="239">
        <v>1644</v>
      </c>
    </row>
    <row r="223" spans="1:21" x14ac:dyDescent="0.25">
      <c r="A223">
        <f t="shared" si="2"/>
        <v>1645</v>
      </c>
      <c r="B223" s="154">
        <f>IF(O223="PESO",VALUE(K223),K223*EERR!$D$2)</f>
        <v>6000</v>
      </c>
      <c r="C223" s="239" t="s">
        <v>596</v>
      </c>
      <c r="D223" s="239"/>
      <c r="E223" s="239" t="s">
        <v>189</v>
      </c>
      <c r="F223" s="239"/>
      <c r="G223" s="239" t="s">
        <v>235</v>
      </c>
      <c r="H223" s="240"/>
      <c r="I223" s="240"/>
      <c r="J223" s="240"/>
      <c r="K223" s="240">
        <v>6000</v>
      </c>
      <c r="L223" s="239"/>
      <c r="M223" s="240"/>
      <c r="N223" s="241"/>
      <c r="O223" s="242" t="s">
        <v>213</v>
      </c>
      <c r="P223" s="239"/>
      <c r="Q223" s="239" t="s">
        <v>478</v>
      </c>
      <c r="R223" s="239"/>
      <c r="S223" s="239"/>
      <c r="T223" s="239"/>
      <c r="U223" s="239">
        <v>1645</v>
      </c>
    </row>
    <row r="224" spans="1:21" x14ac:dyDescent="0.25">
      <c r="A224">
        <f t="shared" si="2"/>
        <v>1646</v>
      </c>
      <c r="B224" s="154">
        <f>IF(O224="PESO",VALUE(K224),K224*EERR!$D$2)</f>
        <v>1049963.1599999999</v>
      </c>
      <c r="C224" s="239" t="s">
        <v>597</v>
      </c>
      <c r="D224" s="239"/>
      <c r="E224" s="239" t="s">
        <v>226</v>
      </c>
      <c r="F224" s="239"/>
      <c r="G224" s="239" t="s">
        <v>229</v>
      </c>
      <c r="H224" s="240"/>
      <c r="I224" s="240"/>
      <c r="J224" s="240"/>
      <c r="K224" s="240">
        <v>1185.06</v>
      </c>
      <c r="L224" s="239"/>
      <c r="M224" s="240"/>
      <c r="N224" s="241"/>
      <c r="O224" s="242" t="s">
        <v>227</v>
      </c>
      <c r="P224" s="239"/>
      <c r="Q224" s="239" t="s">
        <v>486</v>
      </c>
      <c r="R224" s="239"/>
      <c r="S224" s="239"/>
      <c r="T224" s="239"/>
      <c r="U224" s="239">
        <v>1646</v>
      </c>
    </row>
    <row r="225" spans="1:21" x14ac:dyDescent="0.25">
      <c r="A225">
        <f t="shared" si="2"/>
        <v>1647</v>
      </c>
      <c r="B225" s="154">
        <f>IF(O225="PESO",VALUE(K225),K225*EERR!$D$2)</f>
        <v>927996.4</v>
      </c>
      <c r="C225" s="239" t="s">
        <v>598</v>
      </c>
      <c r="D225" s="239"/>
      <c r="E225" s="239" t="s">
        <v>226</v>
      </c>
      <c r="F225" s="239"/>
      <c r="G225" s="239" t="s">
        <v>229</v>
      </c>
      <c r="H225" s="240"/>
      <c r="I225" s="240"/>
      <c r="J225" s="240"/>
      <c r="K225" s="240">
        <v>1047.4000000000001</v>
      </c>
      <c r="L225" s="239"/>
      <c r="M225" s="240"/>
      <c r="N225" s="241"/>
      <c r="O225" s="242" t="s">
        <v>227</v>
      </c>
      <c r="P225" s="239"/>
      <c r="Q225" s="239" t="s">
        <v>599</v>
      </c>
      <c r="R225" s="239"/>
      <c r="S225" s="239"/>
      <c r="T225" s="239"/>
      <c r="U225" s="239">
        <v>1647</v>
      </c>
    </row>
    <row r="226" spans="1:21" x14ac:dyDescent="0.25">
      <c r="A226">
        <f t="shared" si="2"/>
        <v>1648</v>
      </c>
      <c r="B226" s="154">
        <f>IF(O226="PESO",VALUE(K226),K226*EERR!$D$2)</f>
        <v>168340</v>
      </c>
      <c r="C226" s="239" t="s">
        <v>600</v>
      </c>
      <c r="D226" s="239"/>
      <c r="E226" s="239" t="s">
        <v>226</v>
      </c>
      <c r="F226" s="239"/>
      <c r="G226" s="239" t="s">
        <v>229</v>
      </c>
      <c r="H226" s="240"/>
      <c r="I226" s="240"/>
      <c r="J226" s="240"/>
      <c r="K226" s="240">
        <v>190</v>
      </c>
      <c r="L226" s="239"/>
      <c r="M226" s="240"/>
      <c r="N226" s="241"/>
      <c r="O226" s="242" t="s">
        <v>227</v>
      </c>
      <c r="P226" s="239"/>
      <c r="Q226" s="239" t="s">
        <v>601</v>
      </c>
      <c r="R226" s="239"/>
      <c r="S226" s="239"/>
      <c r="T226" s="239"/>
      <c r="U226" s="239">
        <v>1648</v>
      </c>
    </row>
    <row r="227" spans="1:21" x14ac:dyDescent="0.25">
      <c r="A227">
        <f t="shared" si="2"/>
        <v>1649</v>
      </c>
      <c r="B227" s="154">
        <f>IF(O227="PESO",VALUE(K227),K227*EERR!$D$2)</f>
        <v>130596.40000000001</v>
      </c>
      <c r="C227" s="239" t="s">
        <v>602</v>
      </c>
      <c r="D227" s="239"/>
      <c r="E227" s="239" t="s">
        <v>226</v>
      </c>
      <c r="F227" s="239"/>
      <c r="G227" s="239" t="s">
        <v>229</v>
      </c>
      <c r="H227" s="240"/>
      <c r="I227" s="240"/>
      <c r="J227" s="240"/>
      <c r="K227" s="240">
        <v>147.4</v>
      </c>
      <c r="L227" s="239"/>
      <c r="M227" s="240"/>
      <c r="N227" s="241"/>
      <c r="O227" s="242" t="s">
        <v>227</v>
      </c>
      <c r="P227" s="239"/>
      <c r="Q227" s="239" t="s">
        <v>499</v>
      </c>
      <c r="R227" s="239"/>
      <c r="S227" s="239"/>
      <c r="T227" s="239"/>
      <c r="U227" s="239">
        <v>1649</v>
      </c>
    </row>
    <row r="228" spans="1:21" x14ac:dyDescent="0.25">
      <c r="A228">
        <f t="shared" si="2"/>
        <v>1650</v>
      </c>
      <c r="B228" s="154">
        <f>IF(O228="PESO",VALUE(K228),K228*EERR!$D$2)</f>
        <v>174993.86</v>
      </c>
      <c r="C228" s="239" t="s">
        <v>603</v>
      </c>
      <c r="D228" s="239"/>
      <c r="E228" s="239" t="s">
        <v>226</v>
      </c>
      <c r="F228" s="239"/>
      <c r="G228" s="239" t="s">
        <v>229</v>
      </c>
      <c r="H228" s="240"/>
      <c r="I228" s="240"/>
      <c r="J228" s="240"/>
      <c r="K228" s="240">
        <v>197.51</v>
      </c>
      <c r="L228" s="239"/>
      <c r="M228" s="240"/>
      <c r="N228" s="241"/>
      <c r="O228" s="242" t="s">
        <v>227</v>
      </c>
      <c r="P228" s="239"/>
      <c r="Q228" s="239" t="s">
        <v>604</v>
      </c>
      <c r="R228" s="239"/>
      <c r="S228" s="239"/>
      <c r="T228" s="239"/>
      <c r="U228" s="239">
        <v>1650</v>
      </c>
    </row>
    <row r="229" spans="1:21" x14ac:dyDescent="0.25">
      <c r="A229">
        <f t="shared" si="2"/>
        <v>1651</v>
      </c>
      <c r="B229" s="154">
        <f>IF(O229="PESO",VALUE(K229),K229*EERR!$D$2)</f>
        <v>31063.160000000003</v>
      </c>
      <c r="C229" s="239" t="s">
        <v>605</v>
      </c>
      <c r="D229" s="239"/>
      <c r="E229" s="239" t="s">
        <v>226</v>
      </c>
      <c r="F229" s="239"/>
      <c r="G229" s="239" t="s">
        <v>229</v>
      </c>
      <c r="H229" s="240"/>
      <c r="I229" s="240"/>
      <c r="J229" s="240"/>
      <c r="K229" s="240">
        <v>35.06</v>
      </c>
      <c r="L229" s="239"/>
      <c r="M229" s="240"/>
      <c r="N229" s="241"/>
      <c r="O229" s="242" t="s">
        <v>227</v>
      </c>
      <c r="P229" s="239"/>
      <c r="Q229" s="239" t="s">
        <v>484</v>
      </c>
      <c r="R229" s="239"/>
      <c r="S229" s="239"/>
      <c r="T229" s="239"/>
      <c r="U229" s="239">
        <v>1651</v>
      </c>
    </row>
    <row r="230" spans="1:21" x14ac:dyDescent="0.25">
      <c r="A230">
        <v>100000</v>
      </c>
      <c r="B230" s="154">
        <f>IF(O230="PESO",VALUE(K230),K230*EERR!$D$2)</f>
        <v>177851</v>
      </c>
      <c r="C230" s="239" t="s">
        <v>606</v>
      </c>
      <c r="D230" s="239"/>
      <c r="E230" s="239" t="s">
        <v>189</v>
      </c>
      <c r="F230" s="239"/>
      <c r="G230" s="239" t="s">
        <v>235</v>
      </c>
      <c r="H230" s="240"/>
      <c r="I230" s="240"/>
      <c r="J230" s="240"/>
      <c r="K230" s="240">
        <v>177851</v>
      </c>
      <c r="L230" s="239"/>
      <c r="M230" s="240"/>
      <c r="N230" s="241"/>
      <c r="O230" s="242" t="s">
        <v>213</v>
      </c>
      <c r="P230" s="239"/>
      <c r="Q230" s="239" t="s">
        <v>607</v>
      </c>
      <c r="R230" s="239"/>
      <c r="S230" s="239"/>
      <c r="T230" s="239"/>
      <c r="U230" s="239" t="s">
        <v>608</v>
      </c>
    </row>
    <row r="231" spans="1:21" x14ac:dyDescent="0.25">
      <c r="A231">
        <f t="shared" si="2"/>
        <v>1652</v>
      </c>
      <c r="B231" s="154">
        <f>IF(O231="PESO",VALUE(K231),K231*EERR!$D$2)</f>
        <v>388865.39999999997</v>
      </c>
      <c r="C231" s="239" t="s">
        <v>609</v>
      </c>
      <c r="D231" s="239"/>
      <c r="E231" s="239" t="s">
        <v>226</v>
      </c>
      <c r="F231" s="239"/>
      <c r="G231" s="239" t="s">
        <v>229</v>
      </c>
      <c r="H231" s="240"/>
      <c r="I231" s="240"/>
      <c r="J231" s="240"/>
      <c r="K231" s="240">
        <v>438.9</v>
      </c>
      <c r="L231" s="239"/>
      <c r="M231" s="240"/>
      <c r="N231" s="241"/>
      <c r="O231" s="242" t="s">
        <v>227</v>
      </c>
      <c r="P231" s="239"/>
      <c r="Q231" s="239" t="s">
        <v>519</v>
      </c>
      <c r="R231" s="239"/>
      <c r="S231" s="239"/>
      <c r="T231" s="239"/>
      <c r="U231" s="239">
        <v>1652</v>
      </c>
    </row>
    <row r="232" spans="1:21" x14ac:dyDescent="0.25">
      <c r="A232">
        <f t="shared" si="2"/>
        <v>1653</v>
      </c>
      <c r="B232" s="154">
        <f>IF(O232="PESO",VALUE(K232),K232*EERR!$D$2)</f>
        <v>194432.69999999998</v>
      </c>
      <c r="C232" s="239" t="s">
        <v>610</v>
      </c>
      <c r="D232" s="239"/>
      <c r="E232" s="239" t="s">
        <v>226</v>
      </c>
      <c r="F232" s="239"/>
      <c r="G232" s="239" t="s">
        <v>229</v>
      </c>
      <c r="H232" s="240"/>
      <c r="I232" s="240"/>
      <c r="J232" s="240"/>
      <c r="K232" s="240">
        <v>219.45</v>
      </c>
      <c r="L232" s="239"/>
      <c r="M232" s="240"/>
      <c r="N232" s="241"/>
      <c r="O232" s="242" t="s">
        <v>227</v>
      </c>
      <c r="P232" s="239"/>
      <c r="Q232" s="239" t="s">
        <v>611</v>
      </c>
      <c r="R232" s="239"/>
      <c r="S232" s="239"/>
      <c r="T232" s="239"/>
      <c r="U232" s="239">
        <v>1653</v>
      </c>
    </row>
    <row r="233" spans="1:21" x14ac:dyDescent="0.25">
      <c r="A233">
        <f t="shared" si="2"/>
        <v>1654</v>
      </c>
      <c r="B233" s="154">
        <f>IF(O233="PESO",VALUE(K233),K233*EERR!$D$2)</f>
        <v>194432.69999999998</v>
      </c>
      <c r="C233" s="239" t="s">
        <v>612</v>
      </c>
      <c r="D233" s="239"/>
      <c r="E233" s="239" t="s">
        <v>226</v>
      </c>
      <c r="F233" s="239"/>
      <c r="G233" s="239" t="s">
        <v>229</v>
      </c>
      <c r="H233" s="240"/>
      <c r="I233" s="240"/>
      <c r="J233" s="240"/>
      <c r="K233" s="240">
        <v>219.45</v>
      </c>
      <c r="L233" s="239"/>
      <c r="M233" s="240"/>
      <c r="N233" s="241"/>
      <c r="O233" s="242" t="s">
        <v>227</v>
      </c>
      <c r="P233" s="239"/>
      <c r="Q233" s="239" t="s">
        <v>613</v>
      </c>
      <c r="R233" s="239"/>
      <c r="S233" s="239"/>
      <c r="T233" s="239"/>
      <c r="U233" s="239">
        <v>1654</v>
      </c>
    </row>
    <row r="234" spans="1:21" x14ac:dyDescent="0.25">
      <c r="A234">
        <f t="shared" si="2"/>
        <v>1655</v>
      </c>
      <c r="B234" s="154">
        <f>IF(O234="PESO",VALUE(K234),K234*EERR!$D$2)</f>
        <v>222498</v>
      </c>
      <c r="C234" s="239" t="s">
        <v>614</v>
      </c>
      <c r="D234" s="239"/>
      <c r="E234" s="239" t="s">
        <v>189</v>
      </c>
      <c r="F234" s="239"/>
      <c r="G234" s="239" t="s">
        <v>235</v>
      </c>
      <c r="H234" s="240"/>
      <c r="I234" s="240"/>
      <c r="J234" s="240"/>
      <c r="K234" s="240">
        <v>222498</v>
      </c>
      <c r="L234" s="239"/>
      <c r="M234" s="240"/>
      <c r="N234" s="241"/>
      <c r="O234" s="242" t="s">
        <v>213</v>
      </c>
      <c r="P234" s="239"/>
      <c r="Q234" s="239" t="s">
        <v>615</v>
      </c>
      <c r="R234" s="239"/>
      <c r="S234" s="239"/>
      <c r="T234" s="239"/>
      <c r="U234" s="239">
        <v>1655</v>
      </c>
    </row>
    <row r="235" spans="1:21" x14ac:dyDescent="0.25">
      <c r="A235">
        <f t="shared" ref="A235:A298" si="4">VALUE(U235)</f>
        <v>1656</v>
      </c>
      <c r="B235" s="154">
        <f>IF(O235="PESO",VALUE(K235),K235*EERR!$D$2)</f>
        <v>181807.19999999998</v>
      </c>
      <c r="C235" s="239" t="s">
        <v>616</v>
      </c>
      <c r="D235" s="239"/>
      <c r="E235" s="239" t="s">
        <v>226</v>
      </c>
      <c r="F235" s="239"/>
      <c r="G235" s="239" t="s">
        <v>229</v>
      </c>
      <c r="H235" s="240"/>
      <c r="I235" s="240"/>
      <c r="J235" s="240"/>
      <c r="K235" s="240">
        <v>205.2</v>
      </c>
      <c r="L235" s="239"/>
      <c r="M235" s="240"/>
      <c r="N235" s="241"/>
      <c r="O235" s="242" t="s">
        <v>227</v>
      </c>
      <c r="P235" s="239"/>
      <c r="Q235" s="239" t="s">
        <v>617</v>
      </c>
      <c r="R235" s="239"/>
      <c r="S235" s="239"/>
      <c r="T235" s="239"/>
      <c r="U235" s="239">
        <v>1656</v>
      </c>
    </row>
    <row r="236" spans="1:21" x14ac:dyDescent="0.25">
      <c r="A236">
        <f t="shared" si="4"/>
        <v>1657</v>
      </c>
      <c r="B236" s="154">
        <f>IF(O236="PESO",VALUE(K236),K236*EERR!$D$2)</f>
        <v>388865.39999999997</v>
      </c>
      <c r="C236" s="239" t="s">
        <v>618</v>
      </c>
      <c r="D236" s="239"/>
      <c r="E236" s="239" t="s">
        <v>226</v>
      </c>
      <c r="F236" s="239"/>
      <c r="G236" s="239" t="s">
        <v>229</v>
      </c>
      <c r="H236" s="240"/>
      <c r="I236" s="240"/>
      <c r="J236" s="240"/>
      <c r="K236" s="240">
        <v>438.9</v>
      </c>
      <c r="L236" s="239"/>
      <c r="M236" s="240"/>
      <c r="N236" s="241"/>
      <c r="O236" s="242" t="s">
        <v>227</v>
      </c>
      <c r="P236" s="239"/>
      <c r="Q236" s="239" t="s">
        <v>533</v>
      </c>
      <c r="R236" s="239"/>
      <c r="S236" s="239"/>
      <c r="T236" s="239"/>
      <c r="U236" s="239">
        <v>1657</v>
      </c>
    </row>
    <row r="237" spans="1:21" x14ac:dyDescent="0.25">
      <c r="A237">
        <f t="shared" si="4"/>
        <v>1658</v>
      </c>
      <c r="B237" s="154">
        <f>IF(O237="PESO",VALUE(K237),K237*EERR!$D$2)</f>
        <v>24000</v>
      </c>
      <c r="C237" s="239" t="s">
        <v>619</v>
      </c>
      <c r="D237" s="239"/>
      <c r="E237" s="239" t="s">
        <v>189</v>
      </c>
      <c r="F237" s="239"/>
      <c r="G237" s="239" t="s">
        <v>235</v>
      </c>
      <c r="H237" s="240"/>
      <c r="I237" s="240"/>
      <c r="J237" s="240"/>
      <c r="K237" s="240">
        <v>24000</v>
      </c>
      <c r="L237" s="239"/>
      <c r="M237" s="240"/>
      <c r="N237" s="241"/>
      <c r="O237" s="242" t="s">
        <v>213</v>
      </c>
      <c r="P237" s="239"/>
      <c r="Q237" s="239" t="s">
        <v>519</v>
      </c>
      <c r="R237" s="239"/>
      <c r="S237" s="239"/>
      <c r="T237" s="239"/>
      <c r="U237" s="239">
        <v>1658</v>
      </c>
    </row>
    <row r="238" spans="1:21" x14ac:dyDescent="0.25">
      <c r="A238">
        <f t="shared" si="4"/>
        <v>1659</v>
      </c>
      <c r="B238" s="154">
        <f>IF(O238="PESO",VALUE(K238),K238*EERR!$D$2)</f>
        <v>20000</v>
      </c>
      <c r="C238" s="239" t="s">
        <v>620</v>
      </c>
      <c r="D238" s="239"/>
      <c r="E238" s="239" t="s">
        <v>189</v>
      </c>
      <c r="F238" s="239"/>
      <c r="G238" s="239" t="s">
        <v>235</v>
      </c>
      <c r="H238" s="240"/>
      <c r="I238" s="240"/>
      <c r="J238" s="240"/>
      <c r="K238" s="240">
        <v>20000</v>
      </c>
      <c r="L238" s="239"/>
      <c r="M238" s="240"/>
      <c r="N238" s="241"/>
      <c r="O238" s="242" t="s">
        <v>213</v>
      </c>
      <c r="P238" s="239"/>
      <c r="Q238" s="239" t="s">
        <v>621</v>
      </c>
      <c r="R238" s="239"/>
      <c r="S238" s="239"/>
      <c r="T238" s="239"/>
      <c r="U238" s="239">
        <v>1659</v>
      </c>
    </row>
    <row r="239" spans="1:21" x14ac:dyDescent="0.25">
      <c r="A239">
        <f t="shared" si="4"/>
        <v>1660</v>
      </c>
      <c r="B239" s="154">
        <f>IF(O239="PESO",VALUE(K239),K239*EERR!$D$2)</f>
        <v>62906</v>
      </c>
      <c r="C239" s="239" t="s">
        <v>622</v>
      </c>
      <c r="D239" s="239"/>
      <c r="E239" s="239" t="s">
        <v>226</v>
      </c>
      <c r="F239" s="239"/>
      <c r="G239" s="239" t="s">
        <v>229</v>
      </c>
      <c r="H239" s="240"/>
      <c r="I239" s="240"/>
      <c r="J239" s="240"/>
      <c r="K239" s="240">
        <v>71</v>
      </c>
      <c r="L239" s="239"/>
      <c r="M239" s="240"/>
      <c r="N239" s="241"/>
      <c r="O239" s="242" t="s">
        <v>227</v>
      </c>
      <c r="P239" s="239"/>
      <c r="Q239" s="239" t="s">
        <v>623</v>
      </c>
      <c r="R239" s="239"/>
      <c r="S239" s="239"/>
      <c r="T239" s="239"/>
      <c r="U239" s="239">
        <v>1660</v>
      </c>
    </row>
    <row r="240" spans="1:21" x14ac:dyDescent="0.25">
      <c r="A240">
        <f t="shared" si="4"/>
        <v>1661</v>
      </c>
      <c r="B240" s="154">
        <f>IF(O240="PESO",VALUE(K240),K240*EERR!$D$2)</f>
        <v>222498</v>
      </c>
      <c r="C240" s="239" t="s">
        <v>624</v>
      </c>
      <c r="D240" s="239"/>
      <c r="E240" s="239" t="s">
        <v>189</v>
      </c>
      <c r="F240" s="239"/>
      <c r="G240" s="239" t="s">
        <v>235</v>
      </c>
      <c r="H240" s="240"/>
      <c r="I240" s="240"/>
      <c r="J240" s="240"/>
      <c r="K240" s="240">
        <v>222498</v>
      </c>
      <c r="L240" s="239"/>
      <c r="M240" s="240"/>
      <c r="N240" s="241"/>
      <c r="O240" s="242" t="s">
        <v>213</v>
      </c>
      <c r="P240" s="239"/>
      <c r="Q240" s="239" t="s">
        <v>625</v>
      </c>
      <c r="R240" s="239"/>
      <c r="S240" s="239"/>
      <c r="T240" s="239"/>
      <c r="U240" s="239">
        <v>1661</v>
      </c>
    </row>
    <row r="241" spans="1:21" x14ac:dyDescent="0.25">
      <c r="A241">
        <f t="shared" si="4"/>
        <v>1662</v>
      </c>
      <c r="B241" s="154">
        <f>IF(O241="PESO",VALUE(K241),K241*EERR!$D$2)</f>
        <v>371198.56</v>
      </c>
      <c r="C241" s="239" t="s">
        <v>626</v>
      </c>
      <c r="D241" s="239"/>
      <c r="E241" s="239" t="s">
        <v>226</v>
      </c>
      <c r="F241" s="239"/>
      <c r="G241" s="239" t="s">
        <v>229</v>
      </c>
      <c r="H241" s="240"/>
      <c r="I241" s="240"/>
      <c r="J241" s="240"/>
      <c r="K241" s="240">
        <v>418.96</v>
      </c>
      <c r="L241" s="239"/>
      <c r="M241" s="240"/>
      <c r="N241" s="241"/>
      <c r="O241" s="242" t="s">
        <v>227</v>
      </c>
      <c r="P241" s="239"/>
      <c r="Q241" s="239" t="s">
        <v>535</v>
      </c>
      <c r="R241" s="239"/>
      <c r="S241" s="239"/>
      <c r="T241" s="239"/>
      <c r="U241" s="239">
        <v>1662</v>
      </c>
    </row>
    <row r="242" spans="1:21" x14ac:dyDescent="0.25">
      <c r="A242">
        <f t="shared" si="4"/>
        <v>1663</v>
      </c>
      <c r="B242" s="154">
        <f>IF(O242="PESO",VALUE(K242),K242*EERR!$D$2)</f>
        <v>327252.96000000002</v>
      </c>
      <c r="C242" s="239" t="s">
        <v>627</v>
      </c>
      <c r="D242" s="239"/>
      <c r="E242" s="239" t="s">
        <v>226</v>
      </c>
      <c r="F242" s="239"/>
      <c r="G242" s="239" t="s">
        <v>229</v>
      </c>
      <c r="H242" s="240"/>
      <c r="I242" s="240"/>
      <c r="J242" s="240"/>
      <c r="K242" s="240">
        <v>369.36</v>
      </c>
      <c r="L242" s="239"/>
      <c r="M242" s="240"/>
      <c r="N242" s="241"/>
      <c r="O242" s="242" t="s">
        <v>227</v>
      </c>
      <c r="P242" s="239"/>
      <c r="Q242" s="239" t="s">
        <v>628</v>
      </c>
      <c r="R242" s="239"/>
      <c r="S242" s="239"/>
      <c r="T242" s="239"/>
      <c r="U242" s="239">
        <v>1663</v>
      </c>
    </row>
    <row r="243" spans="1:21" x14ac:dyDescent="0.25">
      <c r="A243">
        <f t="shared" si="4"/>
        <v>1664</v>
      </c>
      <c r="B243" s="154">
        <f>IF(O243="PESO",VALUE(K243),K243*EERR!$D$2)</f>
        <v>185599.28</v>
      </c>
      <c r="C243" s="239" t="s">
        <v>629</v>
      </c>
      <c r="D243" s="239"/>
      <c r="E243" s="239" t="s">
        <v>226</v>
      </c>
      <c r="F243" s="239"/>
      <c r="G243" s="239" t="s">
        <v>229</v>
      </c>
      <c r="H243" s="240"/>
      <c r="I243" s="240"/>
      <c r="J243" s="240"/>
      <c r="K243" s="240">
        <v>209.48</v>
      </c>
      <c r="L243" s="239"/>
      <c r="M243" s="240"/>
      <c r="N243" s="241"/>
      <c r="O243" s="239" t="s">
        <v>227</v>
      </c>
      <c r="P243" s="239"/>
      <c r="Q243" s="239" t="s">
        <v>630</v>
      </c>
      <c r="R243" s="239"/>
      <c r="S243" s="239"/>
      <c r="T243" s="239"/>
      <c r="U243" s="239">
        <v>1664</v>
      </c>
    </row>
    <row r="244" spans="1:21" x14ac:dyDescent="0.25">
      <c r="A244">
        <f t="shared" si="4"/>
        <v>1665</v>
      </c>
      <c r="B244" s="154">
        <f>IF(O244="PESO",VALUE(K244),K244*EERR!$D$2)</f>
        <v>167037.57999999999</v>
      </c>
      <c r="C244" s="239" t="s">
        <v>631</v>
      </c>
      <c r="D244" s="239"/>
      <c r="E244" s="239" t="s">
        <v>226</v>
      </c>
      <c r="F244" s="239"/>
      <c r="G244" s="239" t="s">
        <v>229</v>
      </c>
      <c r="H244" s="240"/>
      <c r="I244" s="240"/>
      <c r="J244" s="240"/>
      <c r="K244" s="240">
        <v>188.53</v>
      </c>
      <c r="L244" s="239"/>
      <c r="M244" s="240"/>
      <c r="N244" s="241"/>
      <c r="O244" s="239" t="s">
        <v>227</v>
      </c>
      <c r="P244" s="239"/>
      <c r="Q244" s="239" t="s">
        <v>474</v>
      </c>
      <c r="R244" s="239"/>
      <c r="S244" s="239"/>
      <c r="T244" s="239"/>
      <c r="U244" s="239">
        <v>1665</v>
      </c>
    </row>
    <row r="245" spans="1:21" x14ac:dyDescent="0.25">
      <c r="A245">
        <f t="shared" si="4"/>
        <v>1666</v>
      </c>
      <c r="B245" s="154">
        <f>IF(O245="PESO",VALUE(K245),K245*EERR!$D$2)</f>
        <v>202008</v>
      </c>
      <c r="C245" s="239" t="s">
        <v>632</v>
      </c>
      <c r="D245" s="239"/>
      <c r="E245" s="239" t="s">
        <v>226</v>
      </c>
      <c r="F245" s="239"/>
      <c r="G245" s="239" t="s">
        <v>229</v>
      </c>
      <c r="H245" s="240"/>
      <c r="I245" s="240"/>
      <c r="J245" s="240"/>
      <c r="K245" s="240">
        <v>228</v>
      </c>
      <c r="L245" s="239"/>
      <c r="M245" s="240"/>
      <c r="N245" s="241"/>
      <c r="O245" s="239" t="s">
        <v>227</v>
      </c>
      <c r="P245" s="239"/>
      <c r="Q245" s="239" t="s">
        <v>633</v>
      </c>
      <c r="R245" s="239"/>
      <c r="S245" s="239"/>
      <c r="T245" s="239"/>
      <c r="U245" s="239">
        <v>1666</v>
      </c>
    </row>
    <row r="246" spans="1:21" x14ac:dyDescent="0.25">
      <c r="A246">
        <f t="shared" si="4"/>
        <v>1667</v>
      </c>
      <c r="B246" s="154">
        <f>IF(O246="PESO",VALUE(K246),K246*EERR!$D$2)</f>
        <v>556797.84000000008</v>
      </c>
      <c r="C246" s="239" t="s">
        <v>634</v>
      </c>
      <c r="D246" s="239"/>
      <c r="E246" s="239" t="s">
        <v>226</v>
      </c>
      <c r="F246" s="239"/>
      <c r="G246" s="239" t="s">
        <v>229</v>
      </c>
      <c r="H246" s="240"/>
      <c r="I246" s="240"/>
      <c r="J246" s="240"/>
      <c r="K246" s="240">
        <v>628.44000000000005</v>
      </c>
      <c r="L246" s="239"/>
      <c r="M246" s="240"/>
      <c r="N246" s="241"/>
      <c r="O246" s="239" t="s">
        <v>227</v>
      </c>
      <c r="P246" s="239"/>
      <c r="Q246" s="239" t="s">
        <v>630</v>
      </c>
      <c r="R246" s="239"/>
      <c r="S246" s="239"/>
      <c r="T246" s="239"/>
      <c r="U246" s="239">
        <v>1667</v>
      </c>
    </row>
    <row r="247" spans="1:21" x14ac:dyDescent="0.25">
      <c r="A247">
        <f t="shared" si="4"/>
        <v>1668</v>
      </c>
      <c r="B247" s="154">
        <f>IF(O247="PESO",VALUE(K247),K247*EERR!$D$2)</f>
        <v>7000</v>
      </c>
      <c r="C247" s="239" t="s">
        <v>635</v>
      </c>
      <c r="D247" s="239"/>
      <c r="E247" s="239" t="s">
        <v>189</v>
      </c>
      <c r="F247" s="239"/>
      <c r="G247" s="239" t="s">
        <v>235</v>
      </c>
      <c r="H247" s="240"/>
      <c r="I247" s="240"/>
      <c r="J247" s="240"/>
      <c r="K247" s="240">
        <v>7000</v>
      </c>
      <c r="L247" s="239"/>
      <c r="M247" s="240"/>
      <c r="N247" s="241"/>
      <c r="O247" s="239" t="s">
        <v>213</v>
      </c>
      <c r="P247" s="239"/>
      <c r="Q247" s="239" t="s">
        <v>621</v>
      </c>
      <c r="R247" s="239"/>
      <c r="S247" s="239"/>
      <c r="T247" s="239"/>
      <c r="U247" s="239">
        <v>1668</v>
      </c>
    </row>
    <row r="248" spans="1:21" x14ac:dyDescent="0.25">
      <c r="A248">
        <f t="shared" si="4"/>
        <v>1669</v>
      </c>
      <c r="B248" s="154">
        <f>IF(O248="PESO",VALUE(K248),K248*EERR!$D$2)</f>
        <v>163626.48000000001</v>
      </c>
      <c r="C248" s="239" t="s">
        <v>636</v>
      </c>
      <c r="D248" s="239"/>
      <c r="E248" s="239" t="s">
        <v>226</v>
      </c>
      <c r="F248" s="239"/>
      <c r="G248" s="239" t="s">
        <v>229</v>
      </c>
      <c r="H248" s="240"/>
      <c r="I248" s="240"/>
      <c r="J248" s="240"/>
      <c r="K248" s="240">
        <v>184.68</v>
      </c>
      <c r="L248" s="239"/>
      <c r="M248" s="240"/>
      <c r="N248" s="241"/>
      <c r="O248" s="239" t="s">
        <v>227</v>
      </c>
      <c r="P248" s="239"/>
      <c r="Q248" s="239" t="s">
        <v>628</v>
      </c>
      <c r="R248" s="239"/>
      <c r="S248" s="239"/>
      <c r="T248" s="239"/>
      <c r="U248" s="239">
        <v>1669</v>
      </c>
    </row>
    <row r="249" spans="1:21" x14ac:dyDescent="0.25">
      <c r="A249">
        <f t="shared" si="4"/>
        <v>1670</v>
      </c>
      <c r="B249" s="154">
        <f>IF(O249="PESO",VALUE(K249),K249*EERR!$D$2)</f>
        <v>417589.52</v>
      </c>
      <c r="C249" s="239" t="s">
        <v>637</v>
      </c>
      <c r="D249" s="239"/>
      <c r="E249" s="239" t="s">
        <v>226</v>
      </c>
      <c r="F249" s="239"/>
      <c r="G249" s="239" t="s">
        <v>229</v>
      </c>
      <c r="H249" s="240"/>
      <c r="I249" s="240"/>
      <c r="J249" s="240"/>
      <c r="K249" s="240">
        <v>471.32</v>
      </c>
      <c r="L249" s="239"/>
      <c r="M249" s="240"/>
      <c r="N249" s="241"/>
      <c r="O249" s="239" t="s">
        <v>227</v>
      </c>
      <c r="P249" s="239"/>
      <c r="Q249" s="239" t="s">
        <v>638</v>
      </c>
      <c r="R249" s="239"/>
      <c r="S249" s="239"/>
      <c r="T249" s="239"/>
      <c r="U249" s="239">
        <v>1670</v>
      </c>
    </row>
    <row r="250" spans="1:21" x14ac:dyDescent="0.25">
      <c r="A250">
        <f t="shared" si="4"/>
        <v>1671</v>
      </c>
      <c r="B250" s="154">
        <f>IF(O250="PESO",VALUE(K250),K250*EERR!$D$2)</f>
        <v>874969.29999999993</v>
      </c>
      <c r="C250" s="239" t="s">
        <v>639</v>
      </c>
      <c r="D250" s="239"/>
      <c r="E250" s="239" t="s">
        <v>226</v>
      </c>
      <c r="F250" s="239"/>
      <c r="G250" s="239" t="s">
        <v>229</v>
      </c>
      <c r="H250" s="240"/>
      <c r="I250" s="240"/>
      <c r="J250" s="240"/>
      <c r="K250" s="240">
        <v>987.55</v>
      </c>
      <c r="L250" s="239"/>
      <c r="M250" s="240"/>
      <c r="N250" s="241"/>
      <c r="O250" s="239" t="s">
        <v>227</v>
      </c>
      <c r="P250" s="239"/>
      <c r="Q250" s="239" t="s">
        <v>552</v>
      </c>
      <c r="R250" s="239"/>
      <c r="S250" s="239"/>
      <c r="T250" s="239"/>
      <c r="U250" s="239">
        <v>1671</v>
      </c>
    </row>
    <row r="251" spans="1:21" x14ac:dyDescent="0.25">
      <c r="A251">
        <f t="shared" si="4"/>
        <v>1672</v>
      </c>
      <c r="B251" s="154">
        <f>IF(O251="PESO",VALUE(K251),K251*EERR!$D$2)</f>
        <v>742397.12</v>
      </c>
      <c r="C251" s="239" t="s">
        <v>640</v>
      </c>
      <c r="D251" s="239"/>
      <c r="E251" s="239" t="s">
        <v>226</v>
      </c>
      <c r="F251" s="239"/>
      <c r="G251" s="239" t="s">
        <v>229</v>
      </c>
      <c r="H251" s="240"/>
      <c r="I251" s="240"/>
      <c r="J251" s="240"/>
      <c r="K251" s="240">
        <v>837.92</v>
      </c>
      <c r="L251" s="239"/>
      <c r="M251" s="240"/>
      <c r="N251" s="241"/>
      <c r="O251" s="239" t="s">
        <v>227</v>
      </c>
      <c r="P251" s="239"/>
      <c r="Q251" s="239" t="s">
        <v>559</v>
      </c>
      <c r="R251" s="239"/>
      <c r="S251" s="239"/>
      <c r="T251" s="239"/>
      <c r="U251" s="239">
        <v>1672</v>
      </c>
    </row>
    <row r="252" spans="1:21" x14ac:dyDescent="0.25">
      <c r="A252">
        <f t="shared" si="4"/>
        <v>1673</v>
      </c>
      <c r="B252" s="154">
        <f>IF(O252="PESO",VALUE(K252),K252*EERR!$D$2)</f>
        <v>194432.69999999998</v>
      </c>
      <c r="C252" s="239" t="s">
        <v>641</v>
      </c>
      <c r="D252" s="239"/>
      <c r="E252" s="239" t="s">
        <v>226</v>
      </c>
      <c r="F252" s="239"/>
      <c r="G252" s="239" t="s">
        <v>229</v>
      </c>
      <c r="H252" s="240"/>
      <c r="I252" s="240"/>
      <c r="J252" s="240"/>
      <c r="K252" s="240">
        <v>219.45</v>
      </c>
      <c r="L252" s="239"/>
      <c r="M252" s="240"/>
      <c r="N252" s="241"/>
      <c r="O252" s="239" t="s">
        <v>227</v>
      </c>
      <c r="P252" s="239"/>
      <c r="Q252" s="239" t="s">
        <v>642</v>
      </c>
      <c r="R252" s="239"/>
      <c r="S252" s="239"/>
      <c r="T252" s="239"/>
      <c r="U252" s="239">
        <v>1673</v>
      </c>
    </row>
    <row r="253" spans="1:21" x14ac:dyDescent="0.25">
      <c r="A253">
        <f t="shared" si="4"/>
        <v>1674</v>
      </c>
      <c r="B253" s="154">
        <f>IF(O253="PESO",VALUE(K253),K253*EERR!$D$2)</f>
        <v>363614.39999999997</v>
      </c>
      <c r="C253" s="239" t="s">
        <v>643</v>
      </c>
      <c r="D253" s="239"/>
      <c r="E253" s="239" t="s">
        <v>226</v>
      </c>
      <c r="F253" s="239"/>
      <c r="G253" s="239" t="s">
        <v>229</v>
      </c>
      <c r="H253" s="240"/>
      <c r="I253" s="240"/>
      <c r="J253" s="240"/>
      <c r="K253" s="240">
        <v>410.4</v>
      </c>
      <c r="L253" s="239"/>
      <c r="M253" s="240"/>
      <c r="N253" s="241"/>
      <c r="O253" s="239" t="s">
        <v>227</v>
      </c>
      <c r="P253" s="239"/>
      <c r="Q253" s="239" t="s">
        <v>644</v>
      </c>
      <c r="R253" s="239"/>
      <c r="S253" s="239"/>
      <c r="T253" s="239"/>
      <c r="U253" s="239">
        <v>1674</v>
      </c>
    </row>
    <row r="254" spans="1:21" x14ac:dyDescent="0.25">
      <c r="A254">
        <f t="shared" si="4"/>
        <v>1675</v>
      </c>
      <c r="B254" s="154">
        <f>IF(O254="PESO",VALUE(K254),K254*EERR!$D$2)</f>
        <v>699975.44</v>
      </c>
      <c r="C254" s="239" t="s">
        <v>645</v>
      </c>
      <c r="D254" s="239"/>
      <c r="E254" s="239" t="s">
        <v>226</v>
      </c>
      <c r="F254" s="239"/>
      <c r="G254" s="239" t="s">
        <v>229</v>
      </c>
      <c r="H254" s="240"/>
      <c r="I254" s="240"/>
      <c r="J254" s="240"/>
      <c r="K254" s="240">
        <v>790.04</v>
      </c>
      <c r="L254" s="239"/>
      <c r="M254" s="240"/>
      <c r="N254" s="241"/>
      <c r="O254" s="239" t="s">
        <v>227</v>
      </c>
      <c r="P254" s="239"/>
      <c r="Q254" s="239" t="s">
        <v>646</v>
      </c>
      <c r="R254" s="239"/>
      <c r="S254" s="239"/>
      <c r="T254" s="239"/>
      <c r="U254" s="239">
        <v>1675</v>
      </c>
    </row>
    <row r="255" spans="1:21" x14ac:dyDescent="0.25">
      <c r="A255">
        <f t="shared" si="4"/>
        <v>1676</v>
      </c>
      <c r="B255" s="154">
        <f>IF(O255="PESO",VALUE(K255),K255*EERR!$D$2)</f>
        <v>699975.44</v>
      </c>
      <c r="C255" s="239" t="s">
        <v>647</v>
      </c>
      <c r="D255" s="239"/>
      <c r="E255" s="239" t="s">
        <v>226</v>
      </c>
      <c r="F255" s="239"/>
      <c r="G255" s="239" t="s">
        <v>229</v>
      </c>
      <c r="H255" s="240"/>
      <c r="I255" s="240"/>
      <c r="J255" s="240"/>
      <c r="K255" s="240">
        <v>790.04</v>
      </c>
      <c r="L255" s="239"/>
      <c r="M255" s="240"/>
      <c r="N255" s="241"/>
      <c r="O255" s="239" t="s">
        <v>227</v>
      </c>
      <c r="P255" s="239"/>
      <c r="Q255" s="239" t="s">
        <v>648</v>
      </c>
      <c r="R255" s="239"/>
      <c r="S255" s="239"/>
      <c r="T255" s="239"/>
      <c r="U255" s="239">
        <v>1676</v>
      </c>
    </row>
    <row r="256" spans="1:21" x14ac:dyDescent="0.25">
      <c r="A256">
        <f t="shared" si="4"/>
        <v>1677</v>
      </c>
      <c r="B256" s="154">
        <f>IF(O256="PESO",VALUE(K256),K256*EERR!$D$2)</f>
        <v>174993.86</v>
      </c>
      <c r="C256" s="239" t="s">
        <v>649</v>
      </c>
      <c r="D256" s="239"/>
      <c r="E256" s="239" t="s">
        <v>226</v>
      </c>
      <c r="F256" s="239"/>
      <c r="G256" s="239" t="s">
        <v>229</v>
      </c>
      <c r="H256" s="240"/>
      <c r="I256" s="240"/>
      <c r="J256" s="240"/>
      <c r="K256" s="240">
        <v>197.51</v>
      </c>
      <c r="L256" s="239"/>
      <c r="M256" s="240"/>
      <c r="N256" s="241"/>
      <c r="O256" s="239" t="s">
        <v>227</v>
      </c>
      <c r="P256" s="239"/>
      <c r="Q256" s="239" t="s">
        <v>650</v>
      </c>
      <c r="R256" s="239"/>
      <c r="S256" s="239"/>
      <c r="T256" s="239"/>
      <c r="U256" s="239">
        <v>1677</v>
      </c>
    </row>
    <row r="257" spans="1:21" x14ac:dyDescent="0.25">
      <c r="A257">
        <f t="shared" si="4"/>
        <v>1678</v>
      </c>
      <c r="B257" s="154">
        <f>IF(O257="PESO",VALUE(K257),K257*EERR!$D$2)</f>
        <v>182064.14</v>
      </c>
      <c r="C257" s="239" t="s">
        <v>651</v>
      </c>
      <c r="D257" s="239"/>
      <c r="E257" s="239" t="s">
        <v>226</v>
      </c>
      <c r="F257" s="239"/>
      <c r="G257" s="239" t="s">
        <v>229</v>
      </c>
      <c r="H257" s="240"/>
      <c r="I257" s="240"/>
      <c r="J257" s="240"/>
      <c r="K257" s="240">
        <v>205.49</v>
      </c>
      <c r="L257" s="239"/>
      <c r="M257" s="240"/>
      <c r="N257" s="241"/>
      <c r="O257" s="239" t="s">
        <v>227</v>
      </c>
      <c r="P257" s="239"/>
      <c r="Q257" s="239" t="s">
        <v>652</v>
      </c>
      <c r="R257" s="239"/>
      <c r="S257" s="239"/>
      <c r="T257" s="239"/>
      <c r="U257" s="239">
        <v>1678</v>
      </c>
    </row>
    <row r="258" spans="1:21" x14ac:dyDescent="0.25">
      <c r="A258">
        <f t="shared" si="4"/>
        <v>1679</v>
      </c>
      <c r="B258" s="154">
        <f>IF(O258="PESO",VALUE(K258),K258*EERR!$D$2)</f>
        <v>168000</v>
      </c>
      <c r="C258" s="239" t="s">
        <v>653</v>
      </c>
      <c r="D258" s="239"/>
      <c r="E258" s="239" t="s">
        <v>189</v>
      </c>
      <c r="F258" s="239"/>
      <c r="G258" s="239" t="s">
        <v>235</v>
      </c>
      <c r="H258" s="240"/>
      <c r="I258" s="240"/>
      <c r="J258" s="240"/>
      <c r="K258" s="240">
        <v>168000</v>
      </c>
      <c r="L258" s="239"/>
      <c r="M258" s="240"/>
      <c r="N258" s="241"/>
      <c r="O258" s="239" t="s">
        <v>213</v>
      </c>
      <c r="P258" s="239"/>
      <c r="Q258" s="239" t="s">
        <v>654</v>
      </c>
      <c r="R258" s="239"/>
      <c r="S258" s="239"/>
      <c r="T258" s="239"/>
      <c r="U258" s="239">
        <v>1679</v>
      </c>
    </row>
    <row r="259" spans="1:21" x14ac:dyDescent="0.25">
      <c r="A259">
        <f t="shared" si="4"/>
        <v>1680</v>
      </c>
      <c r="B259" s="154">
        <f>IF(O259="PESO",VALUE(K259),K259*EERR!$D$2)</f>
        <v>174993.86</v>
      </c>
      <c r="C259" s="239" t="s">
        <v>655</v>
      </c>
      <c r="D259" s="239"/>
      <c r="E259" s="239" t="s">
        <v>226</v>
      </c>
      <c r="F259" s="239"/>
      <c r="G259" s="239" t="s">
        <v>229</v>
      </c>
      <c r="H259" s="240"/>
      <c r="I259" s="240"/>
      <c r="J259" s="240"/>
      <c r="K259" s="240">
        <v>197.51</v>
      </c>
      <c r="L259" s="239"/>
      <c r="M259" s="240"/>
      <c r="N259" s="241"/>
      <c r="O259" s="239" t="s">
        <v>227</v>
      </c>
      <c r="P259" s="239"/>
      <c r="Q259" s="239" t="s">
        <v>656</v>
      </c>
      <c r="R259" s="239"/>
      <c r="S259" s="239"/>
      <c r="T259" s="239"/>
      <c r="U259" s="239">
        <v>1680</v>
      </c>
    </row>
    <row r="260" spans="1:21" x14ac:dyDescent="0.25">
      <c r="A260">
        <f t="shared" si="4"/>
        <v>1681</v>
      </c>
      <c r="B260" s="154">
        <f>IF(O260="PESO",VALUE(K260),K260*EERR!$D$2)</f>
        <v>668243</v>
      </c>
      <c r="C260" s="239" t="s">
        <v>657</v>
      </c>
      <c r="D260" s="239"/>
      <c r="E260" s="239" t="s">
        <v>189</v>
      </c>
      <c r="F260" s="239"/>
      <c r="G260" s="239" t="s">
        <v>235</v>
      </c>
      <c r="H260" s="240"/>
      <c r="I260" s="240"/>
      <c r="J260" s="240"/>
      <c r="K260" s="240">
        <v>668243</v>
      </c>
      <c r="L260" s="239"/>
      <c r="M260" s="240"/>
      <c r="N260" s="241"/>
      <c r="O260" s="239" t="s">
        <v>213</v>
      </c>
      <c r="P260" s="239"/>
      <c r="Q260" s="239" t="s">
        <v>625</v>
      </c>
      <c r="R260" s="239"/>
      <c r="S260" s="239"/>
      <c r="T260" s="239"/>
      <c r="U260" s="239">
        <v>1681</v>
      </c>
    </row>
    <row r="261" spans="1:21" x14ac:dyDescent="0.25">
      <c r="A261">
        <f t="shared" si="4"/>
        <v>1682</v>
      </c>
      <c r="B261" s="154">
        <f>IF(O261="PESO",VALUE(K261),K261*EERR!$D$2)</f>
        <v>524981.57999999996</v>
      </c>
      <c r="C261" s="239" t="s">
        <v>658</v>
      </c>
      <c r="D261" s="239"/>
      <c r="E261" s="239" t="s">
        <v>226</v>
      </c>
      <c r="F261" s="239"/>
      <c r="G261" s="239" t="s">
        <v>229</v>
      </c>
      <c r="H261" s="240"/>
      <c r="I261" s="240"/>
      <c r="J261" s="240"/>
      <c r="K261" s="240">
        <v>592.53</v>
      </c>
      <c r="L261" s="239"/>
      <c r="M261" s="240"/>
      <c r="N261" s="241"/>
      <c r="O261" s="239" t="s">
        <v>227</v>
      </c>
      <c r="P261" s="239"/>
      <c r="Q261" s="239" t="s">
        <v>573</v>
      </c>
      <c r="R261" s="239"/>
      <c r="S261" s="239"/>
      <c r="T261" s="239"/>
      <c r="U261" s="239">
        <v>1682</v>
      </c>
    </row>
    <row r="262" spans="1:21" x14ac:dyDescent="0.25">
      <c r="A262">
        <f t="shared" si="4"/>
        <v>1683</v>
      </c>
      <c r="B262" s="154">
        <f>IF(O262="PESO",VALUE(K262),K262*EERR!$D$2)</f>
        <v>163626.48000000001</v>
      </c>
      <c r="C262" s="239" t="s">
        <v>659</v>
      </c>
      <c r="D262" s="239"/>
      <c r="E262" s="239" t="s">
        <v>226</v>
      </c>
      <c r="F262" s="239"/>
      <c r="G262" s="239" t="s">
        <v>229</v>
      </c>
      <c r="H262" s="240"/>
      <c r="I262" s="240"/>
      <c r="J262" s="240"/>
      <c r="K262" s="240">
        <v>184.68</v>
      </c>
      <c r="L262" s="239"/>
      <c r="M262" s="240"/>
      <c r="N262" s="241"/>
      <c r="O262" s="239" t="s">
        <v>227</v>
      </c>
      <c r="P262" s="239"/>
      <c r="Q262" s="239" t="s">
        <v>381</v>
      </c>
      <c r="R262" s="239"/>
      <c r="S262" s="239"/>
      <c r="T262" s="239"/>
      <c r="U262" s="239">
        <v>1683</v>
      </c>
    </row>
    <row r="263" spans="1:21" x14ac:dyDescent="0.25">
      <c r="A263">
        <f t="shared" si="4"/>
        <v>1684</v>
      </c>
      <c r="B263" s="154">
        <f>IF(O263="PESO",VALUE(K263),K263*EERR!$D$2)</f>
        <v>163626.48000000001</v>
      </c>
      <c r="C263" s="239" t="s">
        <v>660</v>
      </c>
      <c r="D263" s="239"/>
      <c r="E263" s="239" t="s">
        <v>226</v>
      </c>
      <c r="F263" s="239"/>
      <c r="G263" s="239" t="s">
        <v>229</v>
      </c>
      <c r="H263" s="240"/>
      <c r="I263" s="240"/>
      <c r="J263" s="240"/>
      <c r="K263" s="240">
        <v>184.68</v>
      </c>
      <c r="L263" s="239"/>
      <c r="M263" s="240"/>
      <c r="N263" s="241"/>
      <c r="O263" s="239" t="s">
        <v>227</v>
      </c>
      <c r="P263" s="239"/>
      <c r="Q263" s="239" t="s">
        <v>381</v>
      </c>
      <c r="R263" s="239"/>
      <c r="S263" s="239"/>
      <c r="T263" s="239"/>
      <c r="U263" s="239">
        <v>1684</v>
      </c>
    </row>
    <row r="264" spans="1:21" x14ac:dyDescent="0.25">
      <c r="A264">
        <f t="shared" si="4"/>
        <v>1685</v>
      </c>
      <c r="B264" s="154">
        <f>IF(O264="PESO",VALUE(K264),K264*EERR!$D$2)</f>
        <v>167037.57999999999</v>
      </c>
      <c r="C264" s="239" t="s">
        <v>661</v>
      </c>
      <c r="D264" s="239"/>
      <c r="E264" s="239" t="s">
        <v>226</v>
      </c>
      <c r="F264" s="239"/>
      <c r="G264" s="239" t="s">
        <v>229</v>
      </c>
      <c r="H264" s="240"/>
      <c r="I264" s="240"/>
      <c r="J264" s="240"/>
      <c r="K264" s="240">
        <v>188.53</v>
      </c>
      <c r="L264" s="239"/>
      <c r="M264" s="240"/>
      <c r="N264" s="241"/>
      <c r="O264" s="239" t="s">
        <v>227</v>
      </c>
      <c r="P264" s="239"/>
      <c r="Q264" s="239" t="s">
        <v>662</v>
      </c>
      <c r="R264" s="239"/>
      <c r="S264" s="239"/>
      <c r="T264" s="239"/>
      <c r="U264" s="239">
        <v>1685</v>
      </c>
    </row>
    <row r="265" spans="1:21" x14ac:dyDescent="0.25">
      <c r="A265">
        <f t="shared" si="4"/>
        <v>1686</v>
      </c>
      <c r="B265" s="154">
        <f>IF(O265="PESO",VALUE(K265),K265*EERR!$D$2)</f>
        <v>841700</v>
      </c>
      <c r="C265" s="239" t="s">
        <v>663</v>
      </c>
      <c r="D265" s="239"/>
      <c r="E265" s="239" t="s">
        <v>226</v>
      </c>
      <c r="F265" s="239"/>
      <c r="G265" s="239" t="s">
        <v>229</v>
      </c>
      <c r="H265" s="240"/>
      <c r="I265" s="240"/>
      <c r="J265" s="240"/>
      <c r="K265" s="240">
        <v>950</v>
      </c>
      <c r="L265" s="239"/>
      <c r="M265" s="240"/>
      <c r="N265" s="241"/>
      <c r="O265" s="239" t="s">
        <v>227</v>
      </c>
      <c r="P265" s="239"/>
      <c r="Q265" s="239" t="s">
        <v>584</v>
      </c>
      <c r="R265" s="239"/>
      <c r="S265" s="239"/>
      <c r="T265" s="239"/>
      <c r="U265" s="239">
        <v>1686</v>
      </c>
    </row>
    <row r="266" spans="1:21" x14ac:dyDescent="0.25">
      <c r="A266">
        <f t="shared" si="4"/>
        <v>1687</v>
      </c>
      <c r="B266" s="297">
        <f>IF(O266="PESO",VALUE(K266),K266*EERR!$D$2)</f>
        <v>167037.57999999999</v>
      </c>
      <c r="C266" s="239" t="s">
        <v>664</v>
      </c>
      <c r="D266" s="239"/>
      <c r="E266" s="239" t="s">
        <v>226</v>
      </c>
      <c r="F266" s="239"/>
      <c r="G266" s="239" t="s">
        <v>229</v>
      </c>
      <c r="H266" s="240"/>
      <c r="I266" s="240"/>
      <c r="J266" s="240"/>
      <c r="K266" s="240">
        <v>188.53</v>
      </c>
      <c r="L266" s="239"/>
      <c r="M266" s="240"/>
      <c r="N266" s="241"/>
      <c r="O266" s="239" t="s">
        <v>227</v>
      </c>
      <c r="P266" s="239"/>
      <c r="Q266" s="239" t="s">
        <v>662</v>
      </c>
      <c r="R266" s="239"/>
      <c r="S266" s="239"/>
      <c r="T266" s="239"/>
      <c r="U266" s="239">
        <v>1687</v>
      </c>
    </row>
    <row r="267" spans="1:21" x14ac:dyDescent="0.25">
      <c r="A267">
        <f t="shared" si="4"/>
        <v>1688</v>
      </c>
      <c r="B267" s="154">
        <f>IF(O267="PESO",VALUE(K267),K267*EERR!$D$2)</f>
        <v>185599.28</v>
      </c>
      <c r="C267" s="239" t="s">
        <v>665</v>
      </c>
      <c r="D267" s="239"/>
      <c r="E267" s="239" t="s">
        <v>226</v>
      </c>
      <c r="F267" s="239"/>
      <c r="G267" s="239" t="s">
        <v>229</v>
      </c>
      <c r="H267" s="240"/>
      <c r="I267" s="240"/>
      <c r="J267" s="240"/>
      <c r="K267" s="240">
        <v>209.48</v>
      </c>
      <c r="L267" s="239"/>
      <c r="M267" s="240"/>
      <c r="N267" s="241"/>
      <c r="O267" s="239" t="s">
        <v>227</v>
      </c>
      <c r="P267" s="239"/>
      <c r="Q267" s="239" t="s">
        <v>666</v>
      </c>
      <c r="R267" s="239"/>
      <c r="S267" s="239"/>
      <c r="T267" s="239"/>
      <c r="U267" s="239">
        <v>1688</v>
      </c>
    </row>
    <row r="268" spans="1:21" x14ac:dyDescent="0.25">
      <c r="A268">
        <f t="shared" si="4"/>
        <v>1689</v>
      </c>
      <c r="B268" s="154">
        <f>IF(O268="PESO",VALUE(K268),K268*EERR!$D$2)</f>
        <v>194432.69999999998</v>
      </c>
      <c r="C268" s="239" t="s">
        <v>667</v>
      </c>
      <c r="D268" s="239"/>
      <c r="E268" s="239" t="s">
        <v>226</v>
      </c>
      <c r="F268" s="239"/>
      <c r="G268" s="239" t="s">
        <v>229</v>
      </c>
      <c r="H268" s="240"/>
      <c r="I268" s="240"/>
      <c r="J268" s="240"/>
      <c r="K268" s="240">
        <v>219.45</v>
      </c>
      <c r="L268" s="239"/>
      <c r="M268" s="240"/>
      <c r="N268" s="241"/>
      <c r="O268" s="239" t="s">
        <v>227</v>
      </c>
      <c r="P268" s="239"/>
      <c r="Q268" s="239" t="s">
        <v>668</v>
      </c>
      <c r="R268" s="239"/>
      <c r="S268" s="239"/>
      <c r="T268" s="239"/>
      <c r="U268" s="239">
        <v>1689</v>
      </c>
    </row>
    <row r="269" spans="1:21" x14ac:dyDescent="0.25">
      <c r="A269">
        <f t="shared" si="4"/>
        <v>1690</v>
      </c>
      <c r="B269" s="154">
        <f>IF(O269="PESO",VALUE(K269),K269*EERR!$D$2)</f>
        <v>194432.69999999998</v>
      </c>
      <c r="C269" s="239" t="s">
        <v>669</v>
      </c>
      <c r="D269" s="239"/>
      <c r="E269" s="239" t="s">
        <v>226</v>
      </c>
      <c r="F269" s="239"/>
      <c r="G269" s="239" t="s">
        <v>229</v>
      </c>
      <c r="H269" s="240"/>
      <c r="I269" s="240"/>
      <c r="J269" s="240"/>
      <c r="K269" s="240">
        <v>219.45</v>
      </c>
      <c r="L269" s="239"/>
      <c r="M269" s="240"/>
      <c r="N269" s="241"/>
      <c r="O269" s="239" t="s">
        <v>227</v>
      </c>
      <c r="P269" s="239"/>
      <c r="Q269" s="239" t="s">
        <v>670</v>
      </c>
      <c r="R269" s="239"/>
      <c r="S269" s="239"/>
      <c r="T269" s="239"/>
      <c r="U269" s="239">
        <v>1690</v>
      </c>
    </row>
    <row r="270" spans="1:21" x14ac:dyDescent="0.25">
      <c r="A270">
        <f t="shared" si="4"/>
        <v>1691</v>
      </c>
      <c r="B270" s="154">
        <f>IF(O270="PESO",VALUE(K270),K270*EERR!$D$2)</f>
        <v>194432.69999999998</v>
      </c>
      <c r="C270" s="239" t="s">
        <v>671</v>
      </c>
      <c r="D270" s="239"/>
      <c r="E270" s="239" t="s">
        <v>226</v>
      </c>
      <c r="F270" s="239"/>
      <c r="G270" s="239" t="s">
        <v>229</v>
      </c>
      <c r="H270" s="240"/>
      <c r="I270" s="240"/>
      <c r="J270" s="240"/>
      <c r="K270" s="240">
        <v>219.45</v>
      </c>
      <c r="L270" s="239"/>
      <c r="M270" s="240"/>
      <c r="N270" s="241"/>
      <c r="O270" s="239" t="s">
        <v>227</v>
      </c>
      <c r="P270" s="239"/>
      <c r="Q270" s="239" t="s">
        <v>672</v>
      </c>
      <c r="R270" s="239"/>
      <c r="S270" s="239"/>
      <c r="T270" s="239"/>
      <c r="U270" s="239">
        <v>1691</v>
      </c>
    </row>
    <row r="271" spans="1:21" x14ac:dyDescent="0.25">
      <c r="A271">
        <f t="shared" si="4"/>
        <v>1692</v>
      </c>
      <c r="B271" s="154">
        <f>IF(O271="PESO",VALUE(K271),K271*EERR!$D$2)</f>
        <v>174993.86</v>
      </c>
      <c r="C271" s="239" t="s">
        <v>673</v>
      </c>
      <c r="D271" s="239"/>
      <c r="E271" s="239" t="s">
        <v>226</v>
      </c>
      <c r="F271" s="239"/>
      <c r="G271" s="239" t="s">
        <v>229</v>
      </c>
      <c r="H271" s="240"/>
      <c r="I271" s="240"/>
      <c r="J271" s="240"/>
      <c r="K271" s="240">
        <v>197.51</v>
      </c>
      <c r="L271" s="239"/>
      <c r="M271" s="240"/>
      <c r="N271" s="241"/>
      <c r="O271" s="239" t="s">
        <v>227</v>
      </c>
      <c r="P271" s="239"/>
      <c r="Q271" s="239" t="s">
        <v>674</v>
      </c>
      <c r="R271" s="239"/>
      <c r="S271" s="239"/>
      <c r="T271" s="239"/>
      <c r="U271" s="239">
        <v>1692</v>
      </c>
    </row>
    <row r="272" spans="1:21" x14ac:dyDescent="0.25">
      <c r="A272">
        <f t="shared" si="4"/>
        <v>1693</v>
      </c>
      <c r="B272" s="154">
        <f>IF(O272="PESO",VALUE(K272),K272*EERR!$D$2)</f>
        <v>3000</v>
      </c>
      <c r="C272" s="239" t="s">
        <v>675</v>
      </c>
      <c r="D272" s="239"/>
      <c r="E272" s="239" t="s">
        <v>189</v>
      </c>
      <c r="F272" s="239"/>
      <c r="G272" s="239" t="s">
        <v>235</v>
      </c>
      <c r="H272" s="240"/>
      <c r="I272" s="240"/>
      <c r="J272" s="240"/>
      <c r="K272" s="240">
        <v>3000</v>
      </c>
      <c r="L272" s="239"/>
      <c r="M272" s="240"/>
      <c r="N272" s="241"/>
      <c r="O272" s="239" t="s">
        <v>213</v>
      </c>
      <c r="P272" s="239"/>
      <c r="Q272" s="239" t="s">
        <v>676</v>
      </c>
      <c r="R272" s="239"/>
      <c r="S272" s="239"/>
      <c r="T272" s="239"/>
      <c r="U272" s="239">
        <v>1693</v>
      </c>
    </row>
    <row r="273" spans="1:21" x14ac:dyDescent="0.25">
      <c r="A273">
        <f t="shared" si="4"/>
        <v>1694</v>
      </c>
      <c r="B273" s="154">
        <f>IF(O273="PESO",VALUE(K273),K273*EERR!$D$2)</f>
        <v>1090843.2</v>
      </c>
      <c r="C273" s="239" t="s">
        <v>677</v>
      </c>
      <c r="D273" s="239"/>
      <c r="E273" s="239" t="s">
        <v>226</v>
      </c>
      <c r="F273" s="239"/>
      <c r="G273" s="239" t="s">
        <v>229</v>
      </c>
      <c r="H273" s="240"/>
      <c r="I273" s="240"/>
      <c r="J273" s="240"/>
      <c r="K273" s="240">
        <v>1231.2</v>
      </c>
      <c r="L273" s="239"/>
      <c r="M273" s="240"/>
      <c r="N273" s="241"/>
      <c r="O273" s="239" t="s">
        <v>227</v>
      </c>
      <c r="P273" s="239"/>
      <c r="Q273" s="239" t="s">
        <v>644</v>
      </c>
      <c r="R273" s="239"/>
      <c r="S273" s="239"/>
      <c r="T273" s="239"/>
      <c r="U273" s="239">
        <v>1694</v>
      </c>
    </row>
    <row r="274" spans="1:21" x14ac:dyDescent="0.25">
      <c r="A274">
        <f t="shared" si="4"/>
        <v>1695</v>
      </c>
      <c r="B274" s="154">
        <f>IF(O274="PESO",VALUE(K274),K274*EERR!$D$2)</f>
        <v>6000</v>
      </c>
      <c r="C274" s="239" t="s">
        <v>678</v>
      </c>
      <c r="D274" s="239"/>
      <c r="E274" s="239" t="s">
        <v>189</v>
      </c>
      <c r="F274" s="239"/>
      <c r="G274" s="239" t="s">
        <v>235</v>
      </c>
      <c r="H274" s="240"/>
      <c r="I274" s="240"/>
      <c r="J274" s="240"/>
      <c r="K274" s="240">
        <v>6000</v>
      </c>
      <c r="L274" s="239"/>
      <c r="M274" s="240"/>
      <c r="N274" s="241"/>
      <c r="O274" s="239" t="s">
        <v>213</v>
      </c>
      <c r="P274" s="239"/>
      <c r="Q274" s="239" t="s">
        <v>679</v>
      </c>
      <c r="R274" s="239"/>
      <c r="S274" s="239"/>
      <c r="T274" s="239"/>
      <c r="U274" s="239">
        <v>1695</v>
      </c>
    </row>
    <row r="275" spans="1:21" x14ac:dyDescent="0.25">
      <c r="A275">
        <f t="shared" si="4"/>
        <v>1696</v>
      </c>
      <c r="B275" s="154">
        <f>IF(O275="PESO",VALUE(K275),K275*EERR!$D$2)</f>
        <v>168340</v>
      </c>
      <c r="C275" s="239" t="s">
        <v>680</v>
      </c>
      <c r="D275" s="239"/>
      <c r="E275" s="239" t="s">
        <v>226</v>
      </c>
      <c r="F275" s="239"/>
      <c r="G275" s="239" t="s">
        <v>229</v>
      </c>
      <c r="H275" s="240"/>
      <c r="I275" s="240"/>
      <c r="J275" s="240"/>
      <c r="K275" s="240">
        <v>190</v>
      </c>
      <c r="L275" s="239"/>
      <c r="M275" s="240"/>
      <c r="N275" s="241"/>
      <c r="O275" s="239" t="s">
        <v>227</v>
      </c>
      <c r="P275" s="239"/>
      <c r="Q275" s="239" t="s">
        <v>601</v>
      </c>
      <c r="R275" s="239"/>
      <c r="S275" s="239"/>
      <c r="T275" s="239"/>
      <c r="U275" s="239">
        <v>1696</v>
      </c>
    </row>
    <row r="276" spans="1:21" x14ac:dyDescent="0.25">
      <c r="A276">
        <f t="shared" si="4"/>
        <v>1697</v>
      </c>
      <c r="B276" s="154">
        <f>IF(O276="PESO",VALUE(K276),K276*EERR!$D$2)</f>
        <v>699975.44</v>
      </c>
      <c r="C276" s="239" t="s">
        <v>681</v>
      </c>
      <c r="D276" s="239"/>
      <c r="E276" s="239" t="s">
        <v>226</v>
      </c>
      <c r="F276" s="239"/>
      <c r="G276" s="239" t="s">
        <v>229</v>
      </c>
      <c r="H276" s="240"/>
      <c r="I276" s="240"/>
      <c r="J276" s="240"/>
      <c r="K276" s="240">
        <v>790.04</v>
      </c>
      <c r="L276" s="239"/>
      <c r="M276" s="240"/>
      <c r="N276" s="241"/>
      <c r="O276" s="239" t="s">
        <v>227</v>
      </c>
      <c r="P276" s="239"/>
      <c r="Q276" s="239" t="s">
        <v>604</v>
      </c>
      <c r="R276" s="239"/>
      <c r="S276" s="239"/>
      <c r="T276" s="239"/>
      <c r="U276" s="239">
        <v>1697</v>
      </c>
    </row>
    <row r="277" spans="1:21" x14ac:dyDescent="0.25">
      <c r="A277">
        <f t="shared" si="4"/>
        <v>1698</v>
      </c>
      <c r="B277" s="154">
        <f>IF(O277="PESO",VALUE(K277),K277*EERR!$D$2)</f>
        <v>327252.96000000002</v>
      </c>
      <c r="C277" s="239" t="s">
        <v>682</v>
      </c>
      <c r="D277" s="239"/>
      <c r="E277" s="239" t="s">
        <v>226</v>
      </c>
      <c r="F277" s="239"/>
      <c r="G277" s="239" t="s">
        <v>229</v>
      </c>
      <c r="H277" s="240"/>
      <c r="I277" s="240"/>
      <c r="J277" s="240"/>
      <c r="K277" s="240">
        <v>369.36</v>
      </c>
      <c r="L277" s="239"/>
      <c r="M277" s="240"/>
      <c r="N277" s="241"/>
      <c r="O277" s="239" t="s">
        <v>227</v>
      </c>
      <c r="P277" s="239"/>
      <c r="Q277" s="239" t="s">
        <v>683</v>
      </c>
      <c r="R277" s="239"/>
      <c r="S277" s="239"/>
      <c r="T277" s="239"/>
      <c r="U277" s="239">
        <v>1698</v>
      </c>
    </row>
    <row r="278" spans="1:21" x14ac:dyDescent="0.25">
      <c r="A278">
        <f t="shared" si="4"/>
        <v>1699</v>
      </c>
      <c r="B278" s="154">
        <f>IF(O278="PESO",VALUE(K278),K278*EERR!$D$2)</f>
        <v>185599.28</v>
      </c>
      <c r="C278" s="239" t="s">
        <v>684</v>
      </c>
      <c r="D278" s="239"/>
      <c r="E278" s="239" t="s">
        <v>226</v>
      </c>
      <c r="F278" s="239"/>
      <c r="G278" s="239" t="s">
        <v>229</v>
      </c>
      <c r="H278" s="240"/>
      <c r="I278" s="240"/>
      <c r="J278" s="240"/>
      <c r="K278" s="240">
        <v>209.48</v>
      </c>
      <c r="L278" s="239"/>
      <c r="M278" s="240"/>
      <c r="N278" s="241"/>
      <c r="O278" s="239" t="s">
        <v>227</v>
      </c>
      <c r="P278" s="239"/>
      <c r="Q278" s="239" t="s">
        <v>685</v>
      </c>
      <c r="R278" s="239"/>
      <c r="S278" s="239"/>
      <c r="T278" s="239"/>
      <c r="U278" s="239">
        <v>1699</v>
      </c>
    </row>
    <row r="279" spans="1:21" x14ac:dyDescent="0.25">
      <c r="A279">
        <f t="shared" si="4"/>
        <v>1700</v>
      </c>
      <c r="B279" s="154">
        <f>IF(O279="PESO",VALUE(K279),K279*EERR!$D$2)</f>
        <v>1231831</v>
      </c>
      <c r="C279" s="239" t="s">
        <v>686</v>
      </c>
      <c r="D279" s="239"/>
      <c r="E279" s="239" t="s">
        <v>189</v>
      </c>
      <c r="F279" s="239"/>
      <c r="G279" s="239" t="s">
        <v>235</v>
      </c>
      <c r="H279" s="240"/>
      <c r="I279" s="240"/>
      <c r="J279" s="240"/>
      <c r="K279" s="240">
        <v>1231831</v>
      </c>
      <c r="L279" s="239"/>
      <c r="M279" s="240"/>
      <c r="N279" s="241"/>
      <c r="O279" s="239" t="s">
        <v>213</v>
      </c>
      <c r="P279" s="239"/>
      <c r="Q279" s="239" t="s">
        <v>687</v>
      </c>
      <c r="R279" s="239"/>
      <c r="S279" s="239"/>
      <c r="T279" s="239"/>
      <c r="U279" s="239">
        <v>1700</v>
      </c>
    </row>
    <row r="280" spans="1:21" x14ac:dyDescent="0.25">
      <c r="A280">
        <f t="shared" si="4"/>
        <v>1701</v>
      </c>
      <c r="B280" s="154">
        <f>IF(O280="PESO",VALUE(K280),K280*EERR!$D$2)</f>
        <v>327252.96000000002</v>
      </c>
      <c r="C280" s="239" t="s">
        <v>688</v>
      </c>
      <c r="D280" s="239"/>
      <c r="E280" s="239" t="s">
        <v>226</v>
      </c>
      <c r="F280" s="239"/>
      <c r="G280" s="239" t="s">
        <v>229</v>
      </c>
      <c r="H280" s="240"/>
      <c r="I280" s="240"/>
      <c r="J280" s="240"/>
      <c r="K280" s="240">
        <v>369.36</v>
      </c>
      <c r="L280" s="239"/>
      <c r="M280" s="240"/>
      <c r="N280" s="241"/>
      <c r="O280" s="239" t="s">
        <v>227</v>
      </c>
      <c r="P280" s="239"/>
      <c r="Q280" s="239" t="s">
        <v>689</v>
      </c>
      <c r="R280" s="239"/>
      <c r="S280" s="239"/>
      <c r="T280" s="239"/>
      <c r="U280" s="239">
        <v>1701</v>
      </c>
    </row>
    <row r="281" spans="1:21" x14ac:dyDescent="0.25">
      <c r="A281">
        <f t="shared" si="4"/>
        <v>1702</v>
      </c>
      <c r="B281" s="154">
        <f>IF(O281="PESO",VALUE(K281),K281*EERR!$D$2)</f>
        <v>194432.69999999998</v>
      </c>
      <c r="C281" s="239" t="s">
        <v>690</v>
      </c>
      <c r="D281" s="239"/>
      <c r="E281" s="239" t="s">
        <v>226</v>
      </c>
      <c r="F281" s="239"/>
      <c r="G281" s="239" t="s">
        <v>229</v>
      </c>
      <c r="H281" s="240"/>
      <c r="I281" s="240"/>
      <c r="J281" s="240"/>
      <c r="K281" s="240">
        <v>219.45</v>
      </c>
      <c r="L281" s="239"/>
      <c r="M281" s="240"/>
      <c r="N281" s="241"/>
      <c r="O281" s="239" t="s">
        <v>227</v>
      </c>
      <c r="P281" s="239"/>
      <c r="Q281" s="239" t="s">
        <v>672</v>
      </c>
      <c r="R281" s="239"/>
      <c r="S281" s="239"/>
      <c r="T281" s="239"/>
      <c r="U281" s="239">
        <v>1702</v>
      </c>
    </row>
    <row r="282" spans="1:21" x14ac:dyDescent="0.25">
      <c r="A282">
        <f t="shared" si="4"/>
        <v>1703</v>
      </c>
      <c r="B282" s="154">
        <f>IF(O282="PESO",VALUE(K282),K282*EERR!$D$2)</f>
        <v>167037.57999999999</v>
      </c>
      <c r="C282" s="239" t="s">
        <v>691</v>
      </c>
      <c r="D282" s="239"/>
      <c r="E282" s="239" t="s">
        <v>226</v>
      </c>
      <c r="F282" s="239"/>
      <c r="G282" s="239" t="s">
        <v>229</v>
      </c>
      <c r="H282" s="240"/>
      <c r="I282" s="240"/>
      <c r="J282" s="240"/>
      <c r="K282" s="240">
        <v>188.53</v>
      </c>
      <c r="L282" s="239"/>
      <c r="M282" s="240"/>
      <c r="N282" s="241"/>
      <c r="O282" s="239" t="s">
        <v>227</v>
      </c>
      <c r="P282" s="239"/>
      <c r="Q282" s="239" t="s">
        <v>692</v>
      </c>
      <c r="R282" s="239"/>
      <c r="S282" s="239"/>
      <c r="T282" s="239"/>
      <c r="U282" s="239">
        <v>1703</v>
      </c>
    </row>
    <row r="283" spans="1:21" x14ac:dyDescent="0.25">
      <c r="A283">
        <f t="shared" si="4"/>
        <v>1479</v>
      </c>
      <c r="B283" s="154">
        <f>IF(O283="PESO",VALUE(K283),K283*EERR!$D$2)</f>
        <v>612482.93999999994</v>
      </c>
      <c r="C283" s="239" t="s">
        <v>310</v>
      </c>
      <c r="D283" s="239"/>
      <c r="E283" s="239" t="s">
        <v>226</v>
      </c>
      <c r="F283" s="239"/>
      <c r="G283" s="239" t="s">
        <v>229</v>
      </c>
      <c r="H283" s="240"/>
      <c r="I283" s="240"/>
      <c r="J283" s="240"/>
      <c r="K283" s="240">
        <v>691.29</v>
      </c>
      <c r="L283" s="239"/>
      <c r="M283" s="240"/>
      <c r="N283" s="241"/>
      <c r="O283" s="239" t="s">
        <v>227</v>
      </c>
      <c r="P283" s="239"/>
      <c r="Q283" s="239" t="s">
        <v>311</v>
      </c>
      <c r="R283" s="239"/>
      <c r="S283" s="239"/>
      <c r="T283" s="239"/>
      <c r="U283" s="239">
        <v>1479</v>
      </c>
    </row>
    <row r="284" spans="1:21" x14ac:dyDescent="0.25">
      <c r="A284">
        <f t="shared" si="4"/>
        <v>1480</v>
      </c>
      <c r="B284" s="154">
        <f>IF(O284="PESO",VALUE(K284),K284*EERR!$D$2)</f>
        <v>200773</v>
      </c>
      <c r="C284" s="239" t="s">
        <v>312</v>
      </c>
      <c r="D284" s="239"/>
      <c r="E284" s="239" t="s">
        <v>189</v>
      </c>
      <c r="F284" s="239"/>
      <c r="G284" s="239" t="s">
        <v>235</v>
      </c>
      <c r="H284" s="240"/>
      <c r="I284" s="240"/>
      <c r="J284" s="240"/>
      <c r="K284" s="240">
        <v>200773</v>
      </c>
      <c r="L284" s="239"/>
      <c r="M284" s="240"/>
      <c r="N284" s="241"/>
      <c r="O284" s="239" t="s">
        <v>213</v>
      </c>
      <c r="P284" s="239"/>
      <c r="Q284" s="239" t="s">
        <v>297</v>
      </c>
      <c r="R284" s="239"/>
      <c r="S284" s="239"/>
      <c r="T284" s="239"/>
      <c r="U284" s="239">
        <v>1480</v>
      </c>
    </row>
    <row r="285" spans="1:21" x14ac:dyDescent="0.25">
      <c r="A285">
        <f t="shared" si="4"/>
        <v>1481</v>
      </c>
      <c r="B285" s="154">
        <f>IF(O285="PESO",VALUE(K285),K285*EERR!$D$2)</f>
        <v>191564</v>
      </c>
      <c r="C285" s="239" t="s">
        <v>313</v>
      </c>
      <c r="D285" s="239"/>
      <c r="E285" s="239" t="s">
        <v>189</v>
      </c>
      <c r="F285" s="239"/>
      <c r="G285" s="239" t="s">
        <v>235</v>
      </c>
      <c r="H285" s="240"/>
      <c r="I285" s="240"/>
      <c r="J285" s="240"/>
      <c r="K285" s="240">
        <v>191564</v>
      </c>
      <c r="L285" s="239"/>
      <c r="M285" s="240"/>
      <c r="N285" s="241"/>
      <c r="O285" s="239" t="s">
        <v>213</v>
      </c>
      <c r="P285" s="239"/>
      <c r="Q285" s="239" t="s">
        <v>314</v>
      </c>
      <c r="R285" s="239"/>
      <c r="S285" s="239"/>
      <c r="T285" s="239"/>
      <c r="U285" s="239">
        <v>1481</v>
      </c>
    </row>
    <row r="286" spans="1:21" x14ac:dyDescent="0.25">
      <c r="A286">
        <f t="shared" si="4"/>
        <v>1482</v>
      </c>
      <c r="B286" s="154">
        <f>IF(O286="PESO",VALUE(K286),K286*EERR!$D$2)</f>
        <v>314973</v>
      </c>
      <c r="C286" s="239" t="s">
        <v>315</v>
      </c>
      <c r="D286" s="239"/>
      <c r="E286" s="239" t="s">
        <v>226</v>
      </c>
      <c r="F286" s="239"/>
      <c r="G286" s="239" t="s">
        <v>229</v>
      </c>
      <c r="H286" s="240"/>
      <c r="I286" s="240"/>
      <c r="J286" s="240"/>
      <c r="K286" s="240">
        <v>355.5</v>
      </c>
      <c r="L286" s="239"/>
      <c r="M286" s="240"/>
      <c r="N286" s="241"/>
      <c r="O286" s="239" t="s">
        <v>227</v>
      </c>
      <c r="P286" s="239"/>
      <c r="Q286" s="239" t="s">
        <v>316</v>
      </c>
      <c r="R286" s="239"/>
      <c r="S286" s="239"/>
      <c r="T286" s="239"/>
      <c r="U286" s="239">
        <v>1482</v>
      </c>
    </row>
    <row r="287" spans="1:21" x14ac:dyDescent="0.25">
      <c r="A287">
        <f t="shared" si="4"/>
        <v>1483</v>
      </c>
      <c r="B287" s="154">
        <f>IF(O287="PESO",VALUE(K287),K287*EERR!$D$2)</f>
        <v>383128</v>
      </c>
      <c r="C287" s="239" t="s">
        <v>317</v>
      </c>
      <c r="D287" s="239"/>
      <c r="E287" s="239" t="s">
        <v>189</v>
      </c>
      <c r="F287" s="239"/>
      <c r="G287" s="239" t="s">
        <v>235</v>
      </c>
      <c r="H287" s="240"/>
      <c r="I287" s="240"/>
      <c r="J287" s="240"/>
      <c r="K287" s="240">
        <v>383128</v>
      </c>
      <c r="L287" s="239"/>
      <c r="M287" s="240"/>
      <c r="N287" s="241"/>
      <c r="O287" s="239" t="s">
        <v>213</v>
      </c>
      <c r="P287" s="239"/>
      <c r="Q287" s="239" t="s">
        <v>318</v>
      </c>
      <c r="R287" s="239"/>
      <c r="S287" s="239"/>
      <c r="T287" s="239"/>
      <c r="U287" s="239">
        <v>1483</v>
      </c>
    </row>
    <row r="288" spans="1:21" x14ac:dyDescent="0.25">
      <c r="A288">
        <f t="shared" si="4"/>
        <v>1484</v>
      </c>
      <c r="B288" s="154">
        <f>IF(O288="PESO",VALUE(K288),K288*EERR!$D$2)</f>
        <v>490879.43999999994</v>
      </c>
      <c r="C288" s="239" t="s">
        <v>319</v>
      </c>
      <c r="D288" s="239"/>
      <c r="E288" s="239" t="s">
        <v>226</v>
      </c>
      <c r="F288" s="239"/>
      <c r="G288" s="239" t="s">
        <v>229</v>
      </c>
      <c r="H288" s="240"/>
      <c r="I288" s="240"/>
      <c r="J288" s="240"/>
      <c r="K288" s="240">
        <v>554.04</v>
      </c>
      <c r="L288" s="239"/>
      <c r="M288" s="240"/>
      <c r="N288" s="241"/>
      <c r="O288" s="239" t="s">
        <v>227</v>
      </c>
      <c r="P288" s="239"/>
      <c r="Q288" s="239" t="s">
        <v>320</v>
      </c>
      <c r="R288" s="239"/>
      <c r="S288" s="239"/>
      <c r="T288" s="239"/>
      <c r="U288" s="239">
        <v>1484</v>
      </c>
    </row>
    <row r="289" spans="1:21" x14ac:dyDescent="0.25">
      <c r="A289">
        <f t="shared" si="4"/>
        <v>1485</v>
      </c>
      <c r="B289" s="154">
        <f>IF(O289="PESO",VALUE(K289),K289*EERR!$D$2)</f>
        <v>90000</v>
      </c>
      <c r="C289" s="239" t="s">
        <v>321</v>
      </c>
      <c r="D289" s="239"/>
      <c r="E289" s="239" t="s">
        <v>189</v>
      </c>
      <c r="F289" s="239"/>
      <c r="G289" s="239" t="s">
        <v>235</v>
      </c>
      <c r="H289" s="240"/>
      <c r="I289" s="240"/>
      <c r="J289" s="240"/>
      <c r="K289" s="240">
        <v>90000</v>
      </c>
      <c r="L289" s="239"/>
      <c r="M289" s="240"/>
      <c r="N289" s="241"/>
      <c r="O289" s="239" t="s">
        <v>213</v>
      </c>
      <c r="P289" s="239"/>
      <c r="Q289" s="239" t="s">
        <v>292</v>
      </c>
      <c r="R289" s="239"/>
      <c r="S289" s="239"/>
      <c r="T289" s="239"/>
      <c r="U289" s="239">
        <v>1485</v>
      </c>
    </row>
    <row r="290" spans="1:21" x14ac:dyDescent="0.25">
      <c r="A290">
        <f t="shared" si="4"/>
        <v>1486</v>
      </c>
      <c r="B290" s="154">
        <f>IF(O290="PESO",VALUE(K290),K290*EERR!$D$2)</f>
        <v>200689</v>
      </c>
      <c r="C290" s="239" t="s">
        <v>322</v>
      </c>
      <c r="D290" s="239"/>
      <c r="E290" s="239" t="s">
        <v>189</v>
      </c>
      <c r="F290" s="239"/>
      <c r="G290" s="239" t="s">
        <v>235</v>
      </c>
      <c r="H290" s="240"/>
      <c r="I290" s="240"/>
      <c r="J290" s="240"/>
      <c r="K290" s="240">
        <v>200689</v>
      </c>
      <c r="L290" s="239"/>
      <c r="M290" s="240"/>
      <c r="N290" s="241"/>
      <c r="O290" s="239" t="s">
        <v>213</v>
      </c>
      <c r="P290" s="239"/>
      <c r="Q290" s="239" t="s">
        <v>323</v>
      </c>
      <c r="R290" s="239"/>
      <c r="S290" s="239"/>
      <c r="T290" s="239"/>
      <c r="U290" s="239">
        <v>1486</v>
      </c>
    </row>
    <row r="291" spans="1:21" x14ac:dyDescent="0.25">
      <c r="A291">
        <f t="shared" si="4"/>
        <v>1487</v>
      </c>
      <c r="B291" s="154">
        <f>IF(O291="PESO",VALUE(K291),K291*EERR!$D$2)</f>
        <v>181807.19999999998</v>
      </c>
      <c r="C291" s="239" t="s">
        <v>324</v>
      </c>
      <c r="D291" s="239"/>
      <c r="E291" s="239" t="s">
        <v>226</v>
      </c>
      <c r="F291" s="239"/>
      <c r="G291" s="239" t="s">
        <v>229</v>
      </c>
      <c r="H291" s="240"/>
      <c r="I291" s="240"/>
      <c r="J291" s="240"/>
      <c r="K291" s="240">
        <v>205.2</v>
      </c>
      <c r="L291" s="239"/>
      <c r="M291" s="240"/>
      <c r="N291" s="241"/>
      <c r="O291" s="239" t="s">
        <v>227</v>
      </c>
      <c r="P291" s="239"/>
      <c r="Q291" s="239" t="s">
        <v>325</v>
      </c>
      <c r="R291" s="239"/>
      <c r="S291" s="239"/>
      <c r="T291" s="239"/>
      <c r="U291" s="239">
        <v>1487</v>
      </c>
    </row>
    <row r="292" spans="1:21" x14ac:dyDescent="0.25">
      <c r="A292">
        <f t="shared" si="4"/>
        <v>1488</v>
      </c>
      <c r="B292" s="154">
        <f>IF(O292="PESO",VALUE(K292),K292*EERR!$D$2)</f>
        <v>185599.28</v>
      </c>
      <c r="C292" s="239" t="s">
        <v>326</v>
      </c>
      <c r="D292" s="239"/>
      <c r="E292" s="239" t="s">
        <v>226</v>
      </c>
      <c r="F292" s="239"/>
      <c r="G292" s="239" t="s">
        <v>229</v>
      </c>
      <c r="H292" s="240"/>
      <c r="I292" s="240"/>
      <c r="J292" s="240"/>
      <c r="K292" s="240">
        <v>209.48</v>
      </c>
      <c r="L292" s="239"/>
      <c r="M292" s="240"/>
      <c r="N292" s="241"/>
      <c r="O292" s="239" t="s">
        <v>227</v>
      </c>
      <c r="P292" s="239"/>
      <c r="Q292" s="239" t="s">
        <v>327</v>
      </c>
      <c r="R292" s="239"/>
      <c r="S292" s="239"/>
      <c r="T292" s="239"/>
      <c r="U292" s="239">
        <v>1488</v>
      </c>
    </row>
    <row r="293" spans="1:21" x14ac:dyDescent="0.25">
      <c r="A293">
        <f t="shared" si="4"/>
        <v>1489</v>
      </c>
      <c r="B293" s="154">
        <f>IF(O293="PESO",VALUE(K293),K293*EERR!$D$2)</f>
        <v>654505.92000000004</v>
      </c>
      <c r="C293" s="239" t="s">
        <v>328</v>
      </c>
      <c r="D293" s="239"/>
      <c r="E293" s="239" t="s">
        <v>226</v>
      </c>
      <c r="F293" s="239"/>
      <c r="G293" s="239" t="s">
        <v>229</v>
      </c>
      <c r="H293" s="240"/>
      <c r="I293" s="240"/>
      <c r="J293" s="240"/>
      <c r="K293" s="240">
        <v>738.72</v>
      </c>
      <c r="L293" s="239"/>
      <c r="M293" s="240"/>
      <c r="N293" s="241"/>
      <c r="O293" s="239" t="s">
        <v>227</v>
      </c>
      <c r="P293" s="239"/>
      <c r="Q293" s="239" t="s">
        <v>329</v>
      </c>
      <c r="R293" s="239"/>
      <c r="S293" s="239"/>
      <c r="T293" s="239"/>
      <c r="U293" s="239">
        <v>1489</v>
      </c>
    </row>
    <row r="294" spans="1:21" x14ac:dyDescent="0.25">
      <c r="A294">
        <f t="shared" si="4"/>
        <v>1490</v>
      </c>
      <c r="B294" s="154">
        <f>IF(O294="PESO",VALUE(K294),K294*EERR!$D$2)</f>
        <v>194432.69999999998</v>
      </c>
      <c r="C294" s="239" t="s">
        <v>330</v>
      </c>
      <c r="D294" s="239"/>
      <c r="E294" s="239" t="s">
        <v>226</v>
      </c>
      <c r="F294" s="239"/>
      <c r="G294" s="239" t="s">
        <v>229</v>
      </c>
      <c r="H294" s="240"/>
      <c r="I294" s="240"/>
      <c r="J294" s="240"/>
      <c r="K294" s="240">
        <v>219.45</v>
      </c>
      <c r="L294" s="239"/>
      <c r="M294" s="240"/>
      <c r="N294" s="241"/>
      <c r="O294" s="239" t="s">
        <v>227</v>
      </c>
      <c r="P294" s="239"/>
      <c r="Q294" s="239" t="s">
        <v>331</v>
      </c>
      <c r="R294" s="239"/>
      <c r="S294" s="239"/>
      <c r="T294" s="239"/>
      <c r="U294" s="239">
        <v>1490</v>
      </c>
    </row>
    <row r="295" spans="1:21" x14ac:dyDescent="0.25">
      <c r="A295">
        <f t="shared" si="4"/>
        <v>1491</v>
      </c>
      <c r="B295" s="154">
        <f>IF(O295="PESO",VALUE(K295),K295*EERR!$D$2)</f>
        <v>167037.57999999999</v>
      </c>
      <c r="C295" s="239" t="s">
        <v>332</v>
      </c>
      <c r="D295" s="239"/>
      <c r="E295" s="239" t="s">
        <v>226</v>
      </c>
      <c r="F295" s="239"/>
      <c r="G295" s="239" t="s">
        <v>229</v>
      </c>
      <c r="H295" s="240"/>
      <c r="I295" s="240"/>
      <c r="J295" s="240"/>
      <c r="K295" s="240">
        <v>188.53</v>
      </c>
      <c r="L295" s="239"/>
      <c r="M295" s="240"/>
      <c r="N295" s="241"/>
      <c r="O295" s="239" t="s">
        <v>227</v>
      </c>
      <c r="P295" s="239"/>
      <c r="Q295" s="239" t="s">
        <v>333</v>
      </c>
      <c r="R295" s="239"/>
      <c r="S295" s="239"/>
      <c r="T295" s="239"/>
      <c r="U295" s="239">
        <v>1491</v>
      </c>
    </row>
    <row r="296" spans="1:21" x14ac:dyDescent="0.25">
      <c r="A296">
        <f t="shared" si="4"/>
        <v>1492</v>
      </c>
      <c r="B296" s="154">
        <f>IF(O296="PESO",VALUE(K296),K296*EERR!$D$2)</f>
        <v>181807.19999999998</v>
      </c>
      <c r="C296" s="239" t="s">
        <v>334</v>
      </c>
      <c r="D296" s="239"/>
      <c r="E296" s="239" t="s">
        <v>226</v>
      </c>
      <c r="F296" s="239"/>
      <c r="G296" s="239" t="s">
        <v>229</v>
      </c>
      <c r="H296" s="240"/>
      <c r="I296" s="240"/>
      <c r="J296" s="240"/>
      <c r="K296" s="240">
        <v>205.2</v>
      </c>
      <c r="L296" s="239"/>
      <c r="M296" s="240"/>
      <c r="N296" s="241"/>
      <c r="O296" s="239" t="s">
        <v>227</v>
      </c>
      <c r="P296" s="239"/>
      <c r="Q296" s="239" t="s">
        <v>335</v>
      </c>
      <c r="R296" s="239"/>
      <c r="S296" s="239"/>
      <c r="T296" s="239"/>
      <c r="U296" s="239">
        <v>1492</v>
      </c>
    </row>
    <row r="297" spans="1:21" x14ac:dyDescent="0.25">
      <c r="A297">
        <f t="shared" si="4"/>
        <v>1493</v>
      </c>
      <c r="B297" s="154">
        <f>IF(O297="PESO",VALUE(K297),K297*EERR!$D$2)</f>
        <v>349987.72</v>
      </c>
      <c r="C297" s="239" t="s">
        <v>336</v>
      </c>
      <c r="D297" s="239"/>
      <c r="E297" s="239" t="s">
        <v>226</v>
      </c>
      <c r="F297" s="239"/>
      <c r="G297" s="239" t="s">
        <v>229</v>
      </c>
      <c r="H297" s="240"/>
      <c r="I297" s="240"/>
      <c r="J297" s="240"/>
      <c r="K297" s="240">
        <v>395.02</v>
      </c>
      <c r="L297" s="239"/>
      <c r="M297" s="240"/>
      <c r="N297" s="241"/>
      <c r="O297" s="239" t="s">
        <v>227</v>
      </c>
      <c r="P297" s="239"/>
      <c r="Q297" s="239" t="s">
        <v>293</v>
      </c>
      <c r="R297" s="239"/>
      <c r="S297" s="239"/>
      <c r="T297" s="239"/>
      <c r="U297" s="239">
        <v>1493</v>
      </c>
    </row>
    <row r="298" spans="1:21" x14ac:dyDescent="0.25">
      <c r="A298">
        <f t="shared" si="4"/>
        <v>1494</v>
      </c>
      <c r="B298" s="154">
        <f>IF(O298="PESO",VALUE(K298),K298*EERR!$D$2)</f>
        <v>524981.57999999996</v>
      </c>
      <c r="C298" s="239" t="s">
        <v>337</v>
      </c>
      <c r="D298" s="239"/>
      <c r="E298" s="239" t="s">
        <v>226</v>
      </c>
      <c r="F298" s="239"/>
      <c r="G298" s="239" t="s">
        <v>229</v>
      </c>
      <c r="H298" s="240"/>
      <c r="I298" s="240"/>
      <c r="J298" s="240"/>
      <c r="K298" s="240">
        <v>592.53</v>
      </c>
      <c r="L298" s="239"/>
      <c r="M298" s="240"/>
      <c r="N298" s="241"/>
      <c r="O298" s="239" t="s">
        <v>227</v>
      </c>
      <c r="P298" s="239"/>
      <c r="Q298" s="239" t="s">
        <v>338</v>
      </c>
      <c r="R298" s="239"/>
      <c r="S298" s="239"/>
      <c r="T298" s="239"/>
      <c r="U298" s="239">
        <v>1494</v>
      </c>
    </row>
    <row r="299" spans="1:21" x14ac:dyDescent="0.25">
      <c r="A299">
        <f t="shared" ref="A299:A362" si="5">VALUE(U299)</f>
        <v>1495</v>
      </c>
      <c r="B299" s="154">
        <f>IF(O299="PESO",VALUE(K299),K299*EERR!$D$2)</f>
        <v>524981.57999999996</v>
      </c>
      <c r="C299" s="239" t="s">
        <v>339</v>
      </c>
      <c r="D299" s="239"/>
      <c r="E299" s="239" t="s">
        <v>226</v>
      </c>
      <c r="F299" s="239"/>
      <c r="G299" s="239" t="s">
        <v>229</v>
      </c>
      <c r="H299" s="240"/>
      <c r="I299" s="240"/>
      <c r="J299" s="240"/>
      <c r="K299" s="240">
        <v>592.53</v>
      </c>
      <c r="L299" s="239"/>
      <c r="M299" s="240"/>
      <c r="N299" s="241"/>
      <c r="O299" s="239" t="s">
        <v>227</v>
      </c>
      <c r="P299" s="239"/>
      <c r="Q299" s="239" t="s">
        <v>294</v>
      </c>
      <c r="R299" s="239"/>
      <c r="S299" s="239"/>
      <c r="T299" s="239"/>
      <c r="U299" s="239">
        <v>1495</v>
      </c>
    </row>
    <row r="300" spans="1:21" x14ac:dyDescent="0.25">
      <c r="A300">
        <f t="shared" si="5"/>
        <v>1496</v>
      </c>
      <c r="B300" s="154">
        <f>IF(O300="PESO",VALUE(K300),K300*EERR!$D$2)</f>
        <v>668150.31999999995</v>
      </c>
      <c r="C300" s="239" t="s">
        <v>340</v>
      </c>
      <c r="D300" s="239"/>
      <c r="E300" s="239" t="s">
        <v>226</v>
      </c>
      <c r="F300" s="239"/>
      <c r="G300" s="239" t="s">
        <v>229</v>
      </c>
      <c r="H300" s="240"/>
      <c r="I300" s="240"/>
      <c r="J300" s="240"/>
      <c r="K300" s="240">
        <v>754.12</v>
      </c>
      <c r="L300" s="239"/>
      <c r="M300" s="240"/>
      <c r="N300" s="241"/>
      <c r="O300" s="239" t="s">
        <v>227</v>
      </c>
      <c r="P300" s="239"/>
      <c r="Q300" s="239" t="s">
        <v>341</v>
      </c>
      <c r="R300" s="239"/>
      <c r="S300" s="239"/>
      <c r="T300" s="239"/>
      <c r="U300" s="239">
        <v>1496</v>
      </c>
    </row>
    <row r="301" spans="1:21" x14ac:dyDescent="0.25">
      <c r="A301">
        <f t="shared" si="5"/>
        <v>1497</v>
      </c>
      <c r="B301" s="154">
        <f>IF(O301="PESO",VALUE(K301),K301*EERR!$D$2)</f>
        <v>174993.86</v>
      </c>
      <c r="C301" s="239" t="s">
        <v>342</v>
      </c>
      <c r="D301" s="239"/>
      <c r="E301" s="239" t="s">
        <v>226</v>
      </c>
      <c r="F301" s="239"/>
      <c r="G301" s="239" t="s">
        <v>229</v>
      </c>
      <c r="H301" s="240"/>
      <c r="I301" s="240"/>
      <c r="J301" s="240"/>
      <c r="K301" s="240">
        <v>197.51</v>
      </c>
      <c r="L301" s="239"/>
      <c r="M301" s="240"/>
      <c r="N301" s="241"/>
      <c r="O301" s="239" t="s">
        <v>227</v>
      </c>
      <c r="P301" s="239"/>
      <c r="Q301" s="239" t="s">
        <v>343</v>
      </c>
      <c r="R301" s="239"/>
      <c r="S301" s="239"/>
      <c r="T301" s="239"/>
      <c r="U301" s="239">
        <v>1497</v>
      </c>
    </row>
    <row r="302" spans="1:21" x14ac:dyDescent="0.25">
      <c r="A302">
        <f t="shared" si="5"/>
        <v>1498</v>
      </c>
      <c r="B302" s="154">
        <f>IF(O302="PESO",VALUE(K302),K302*EERR!$D$2)</f>
        <v>174993.86</v>
      </c>
      <c r="C302" s="239" t="s">
        <v>344</v>
      </c>
      <c r="D302" s="239"/>
      <c r="E302" s="239" t="s">
        <v>226</v>
      </c>
      <c r="F302" s="239"/>
      <c r="G302" s="239" t="s">
        <v>229</v>
      </c>
      <c r="H302" s="240"/>
      <c r="I302" s="240"/>
      <c r="J302" s="240"/>
      <c r="K302" s="240">
        <v>197.51</v>
      </c>
      <c r="L302" s="239"/>
      <c r="M302" s="240"/>
      <c r="N302" s="241"/>
      <c r="O302" s="239" t="s">
        <v>227</v>
      </c>
      <c r="P302" s="239"/>
      <c r="Q302" s="239" t="s">
        <v>345</v>
      </c>
      <c r="R302" s="239"/>
      <c r="S302" s="239"/>
      <c r="T302" s="239"/>
      <c r="U302" s="239">
        <v>1498</v>
      </c>
    </row>
    <row r="303" spans="1:21" x14ac:dyDescent="0.25">
      <c r="A303">
        <f t="shared" si="5"/>
        <v>1498</v>
      </c>
      <c r="B303" s="154">
        <f>IF(O303="PESO",VALUE(K303),K303*EERR!$D$2)</f>
        <v>-174993.86</v>
      </c>
      <c r="C303" s="239" t="s">
        <v>344</v>
      </c>
      <c r="D303" s="239"/>
      <c r="E303" s="239" t="s">
        <v>226</v>
      </c>
      <c r="F303" s="239"/>
      <c r="G303" s="239" t="s">
        <v>281</v>
      </c>
      <c r="H303" s="240"/>
      <c r="I303" s="240"/>
      <c r="J303" s="240"/>
      <c r="K303" s="240">
        <v>-197.51</v>
      </c>
      <c r="L303" s="239"/>
      <c r="M303" s="240"/>
      <c r="N303" s="241"/>
      <c r="O303" s="239" t="s">
        <v>227</v>
      </c>
      <c r="P303" s="239"/>
      <c r="Q303" s="239" t="s">
        <v>345</v>
      </c>
      <c r="R303" s="239"/>
      <c r="S303" s="239"/>
      <c r="T303" s="239"/>
      <c r="U303" s="239">
        <v>1498</v>
      </c>
    </row>
    <row r="304" spans="1:21" x14ac:dyDescent="0.25">
      <c r="A304">
        <f t="shared" si="5"/>
        <v>1499</v>
      </c>
      <c r="B304" s="154">
        <f>IF(O304="PESO",VALUE(K304),K304*EERR!$D$2)</f>
        <v>204405</v>
      </c>
      <c r="C304" s="239" t="s">
        <v>346</v>
      </c>
      <c r="D304" s="239"/>
      <c r="E304" s="239" t="s">
        <v>189</v>
      </c>
      <c r="F304" s="239"/>
      <c r="G304" s="239" t="s">
        <v>235</v>
      </c>
      <c r="H304" s="240"/>
      <c r="I304" s="240"/>
      <c r="J304" s="240"/>
      <c r="K304" s="240">
        <v>204405</v>
      </c>
      <c r="L304" s="239"/>
      <c r="M304" s="240"/>
      <c r="N304" s="241"/>
      <c r="O304" s="239" t="s">
        <v>213</v>
      </c>
      <c r="P304" s="239"/>
      <c r="Q304" s="239" t="s">
        <v>347</v>
      </c>
      <c r="R304" s="239"/>
      <c r="S304" s="239"/>
      <c r="T304" s="239"/>
      <c r="U304" s="239">
        <v>1499</v>
      </c>
    </row>
    <row r="305" spans="1:21" x14ac:dyDescent="0.25">
      <c r="A305">
        <f t="shared" si="5"/>
        <v>1500</v>
      </c>
      <c r="B305" s="154">
        <f>IF(O305="PESO",VALUE(K305),K305*EERR!$D$2)</f>
        <v>174993.86</v>
      </c>
      <c r="C305" s="239" t="s">
        <v>348</v>
      </c>
      <c r="D305" s="239"/>
      <c r="E305" s="239" t="s">
        <v>226</v>
      </c>
      <c r="F305" s="239"/>
      <c r="G305" s="239" t="s">
        <v>229</v>
      </c>
      <c r="H305" s="240"/>
      <c r="I305" s="240"/>
      <c r="J305" s="240"/>
      <c r="K305" s="240">
        <v>197.51</v>
      </c>
      <c r="L305" s="239"/>
      <c r="M305" s="240"/>
      <c r="N305" s="241"/>
      <c r="O305" s="239" t="s">
        <v>227</v>
      </c>
      <c r="P305" s="239"/>
      <c r="Q305" s="239" t="s">
        <v>349</v>
      </c>
      <c r="R305" s="239"/>
      <c r="S305" s="239"/>
      <c r="T305" s="239"/>
      <c r="U305" s="239">
        <v>1500</v>
      </c>
    </row>
    <row r="306" spans="1:21" x14ac:dyDescent="0.25">
      <c r="A306">
        <f t="shared" si="5"/>
        <v>1501</v>
      </c>
      <c r="B306" s="154">
        <f>IF(O306="PESO",VALUE(K306),K306*EERR!$D$2)</f>
        <v>167037.57999999999</v>
      </c>
      <c r="C306" s="239" t="s">
        <v>350</v>
      </c>
      <c r="D306" s="239"/>
      <c r="E306" s="239" t="s">
        <v>226</v>
      </c>
      <c r="F306" s="239"/>
      <c r="G306" s="239" t="s">
        <v>229</v>
      </c>
      <c r="H306" s="240"/>
      <c r="I306" s="240"/>
      <c r="J306" s="240"/>
      <c r="K306" s="240">
        <v>188.53</v>
      </c>
      <c r="L306" s="239"/>
      <c r="M306" s="240"/>
      <c r="N306" s="241"/>
      <c r="O306" s="239" t="s">
        <v>227</v>
      </c>
      <c r="P306" s="239"/>
      <c r="Q306" s="239" t="s">
        <v>351</v>
      </c>
      <c r="R306" s="239"/>
      <c r="S306" s="239"/>
      <c r="T306" s="239"/>
      <c r="U306" s="239">
        <v>1501</v>
      </c>
    </row>
    <row r="307" spans="1:21" x14ac:dyDescent="0.25">
      <c r="A307">
        <f t="shared" si="5"/>
        <v>1502</v>
      </c>
      <c r="B307" s="154">
        <f>IF(O307="PESO",VALUE(K307),K307*EERR!$D$2)</f>
        <v>213157</v>
      </c>
      <c r="C307" s="239" t="s">
        <v>352</v>
      </c>
      <c r="D307" s="239"/>
      <c r="E307" s="239" t="s">
        <v>189</v>
      </c>
      <c r="F307" s="239"/>
      <c r="G307" s="239" t="s">
        <v>235</v>
      </c>
      <c r="H307" s="240"/>
      <c r="I307" s="240"/>
      <c r="J307" s="240"/>
      <c r="K307" s="240">
        <v>213157</v>
      </c>
      <c r="L307" s="239"/>
      <c r="M307" s="240"/>
      <c r="N307" s="241"/>
      <c r="O307" s="239" t="s">
        <v>213</v>
      </c>
      <c r="P307" s="239"/>
      <c r="Q307" s="239" t="s">
        <v>353</v>
      </c>
      <c r="R307" s="239"/>
      <c r="S307" s="239"/>
      <c r="T307" s="239"/>
      <c r="U307" s="239">
        <v>1502</v>
      </c>
    </row>
    <row r="308" spans="1:21" x14ac:dyDescent="0.25">
      <c r="A308">
        <f t="shared" si="5"/>
        <v>1503</v>
      </c>
      <c r="B308" s="154">
        <f>IF(O308="PESO",VALUE(K308),K308*EERR!$D$2)</f>
        <v>654505.92000000004</v>
      </c>
      <c r="C308" s="239" t="s">
        <v>354</v>
      </c>
      <c r="D308" s="239"/>
      <c r="E308" s="239" t="s">
        <v>226</v>
      </c>
      <c r="F308" s="239"/>
      <c r="G308" s="239" t="s">
        <v>229</v>
      </c>
      <c r="H308" s="240"/>
      <c r="I308" s="240"/>
      <c r="J308" s="240"/>
      <c r="K308" s="240">
        <v>738.72</v>
      </c>
      <c r="L308" s="239"/>
      <c r="M308" s="240"/>
      <c r="N308" s="241"/>
      <c r="O308" s="239" t="s">
        <v>227</v>
      </c>
      <c r="P308" s="239"/>
      <c r="Q308" s="239" t="s">
        <v>355</v>
      </c>
      <c r="R308" s="239"/>
      <c r="S308" s="239"/>
      <c r="T308" s="239"/>
      <c r="U308" s="239">
        <v>1503</v>
      </c>
    </row>
    <row r="309" spans="1:21" x14ac:dyDescent="0.25">
      <c r="A309">
        <f t="shared" si="5"/>
        <v>1504</v>
      </c>
      <c r="B309" s="154">
        <f>IF(O309="PESO",VALUE(K309),K309*EERR!$D$2)</f>
        <v>272710.8</v>
      </c>
      <c r="C309" s="239" t="s">
        <v>356</v>
      </c>
      <c r="D309" s="239"/>
      <c r="E309" s="239" t="s">
        <v>226</v>
      </c>
      <c r="F309" s="239"/>
      <c r="G309" s="239" t="s">
        <v>229</v>
      </c>
      <c r="H309" s="240"/>
      <c r="I309" s="240"/>
      <c r="J309" s="240"/>
      <c r="K309" s="240">
        <v>307.8</v>
      </c>
      <c r="L309" s="239"/>
      <c r="M309" s="240"/>
      <c r="N309" s="241"/>
      <c r="O309" s="239" t="s">
        <v>227</v>
      </c>
      <c r="P309" s="239"/>
      <c r="Q309" s="239" t="s">
        <v>357</v>
      </c>
      <c r="R309" s="239"/>
      <c r="S309" s="239"/>
      <c r="T309" s="239"/>
      <c r="U309" s="239">
        <v>1504</v>
      </c>
    </row>
    <row r="310" spans="1:21" x14ac:dyDescent="0.25">
      <c r="A310">
        <f t="shared" si="5"/>
        <v>1505</v>
      </c>
      <c r="B310" s="154">
        <f>IF(O310="PESO",VALUE(K310),K310*EERR!$D$2)</f>
        <v>410337</v>
      </c>
      <c r="C310" s="239" t="s">
        <v>358</v>
      </c>
      <c r="D310" s="239"/>
      <c r="E310" s="239" t="s">
        <v>189</v>
      </c>
      <c r="F310" s="239"/>
      <c r="G310" s="239" t="s">
        <v>235</v>
      </c>
      <c r="H310" s="240"/>
      <c r="I310" s="240"/>
      <c r="J310" s="240"/>
      <c r="K310" s="240">
        <v>410337</v>
      </c>
      <c r="L310" s="239"/>
      <c r="M310" s="240"/>
      <c r="N310" s="241"/>
      <c r="O310" s="239" t="s">
        <v>213</v>
      </c>
      <c r="P310" s="239"/>
      <c r="Q310" s="239" t="s">
        <v>295</v>
      </c>
      <c r="R310" s="239"/>
      <c r="S310" s="239"/>
      <c r="T310" s="239"/>
      <c r="U310" s="239">
        <v>1505</v>
      </c>
    </row>
    <row r="311" spans="1:21" x14ac:dyDescent="0.25">
      <c r="A311">
        <f t="shared" si="5"/>
        <v>1506</v>
      </c>
      <c r="B311" s="154">
        <f>IF(O311="PESO",VALUE(K311),K311*EERR!$D$2)</f>
        <v>639470</v>
      </c>
      <c r="C311" s="239" t="s">
        <v>359</v>
      </c>
      <c r="D311" s="239"/>
      <c r="E311" s="239" t="s">
        <v>189</v>
      </c>
      <c r="F311" s="239"/>
      <c r="G311" s="239" t="s">
        <v>235</v>
      </c>
      <c r="H311" s="240"/>
      <c r="I311" s="240"/>
      <c r="J311" s="240"/>
      <c r="K311" s="240">
        <v>639470</v>
      </c>
      <c r="L311" s="239"/>
      <c r="M311" s="240"/>
      <c r="N311" s="241"/>
      <c r="O311" s="239" t="s">
        <v>213</v>
      </c>
      <c r="P311" s="239"/>
      <c r="Q311" s="239" t="s">
        <v>353</v>
      </c>
      <c r="R311" s="239"/>
      <c r="S311" s="239"/>
      <c r="T311" s="239"/>
      <c r="U311" s="239">
        <v>1506</v>
      </c>
    </row>
    <row r="312" spans="1:21" x14ac:dyDescent="0.25">
      <c r="A312">
        <f t="shared" si="5"/>
        <v>1507</v>
      </c>
      <c r="B312" s="154">
        <f>IF(O312="PESO",VALUE(K312),K312*EERR!$D$2)</f>
        <v>272710.8</v>
      </c>
      <c r="C312" s="239" t="s">
        <v>360</v>
      </c>
      <c r="D312" s="239"/>
      <c r="E312" s="239" t="s">
        <v>226</v>
      </c>
      <c r="F312" s="239"/>
      <c r="G312" s="239" t="s">
        <v>229</v>
      </c>
      <c r="H312" s="240"/>
      <c r="I312" s="240"/>
      <c r="J312" s="240"/>
      <c r="K312" s="240">
        <v>307.8</v>
      </c>
      <c r="L312" s="239"/>
      <c r="M312" s="240"/>
      <c r="N312" s="241"/>
      <c r="O312" s="239" t="s">
        <v>227</v>
      </c>
      <c r="P312" s="239"/>
      <c r="Q312" s="239" t="s">
        <v>361</v>
      </c>
      <c r="R312" s="239"/>
      <c r="S312" s="239"/>
      <c r="T312" s="239"/>
      <c r="U312" s="239">
        <v>1507</v>
      </c>
    </row>
    <row r="313" spans="1:21" x14ac:dyDescent="0.25">
      <c r="A313">
        <f t="shared" si="5"/>
        <v>1508</v>
      </c>
      <c r="B313" s="154">
        <f>IF(O313="PESO",VALUE(K313),K313*EERR!$D$2)</f>
        <v>272710.8</v>
      </c>
      <c r="C313" s="239" t="s">
        <v>362</v>
      </c>
      <c r="D313" s="239"/>
      <c r="E313" s="239" t="s">
        <v>226</v>
      </c>
      <c r="F313" s="239"/>
      <c r="G313" s="239" t="s">
        <v>229</v>
      </c>
      <c r="H313" s="240"/>
      <c r="I313" s="240"/>
      <c r="J313" s="240"/>
      <c r="K313" s="240">
        <v>307.8</v>
      </c>
      <c r="L313" s="239"/>
      <c r="M313" s="240"/>
      <c r="N313" s="241"/>
      <c r="O313" s="239" t="s">
        <v>227</v>
      </c>
      <c r="P313" s="239"/>
      <c r="Q313" s="239" t="s">
        <v>361</v>
      </c>
      <c r="R313" s="239"/>
      <c r="S313" s="239"/>
      <c r="T313" s="239"/>
      <c r="U313" s="239">
        <v>1508</v>
      </c>
    </row>
    <row r="314" spans="1:21" x14ac:dyDescent="0.25">
      <c r="A314">
        <f t="shared" si="5"/>
        <v>1509</v>
      </c>
      <c r="B314" s="154">
        <f>IF(O314="PESO",VALUE(K314),K314*EERR!$D$2)</f>
        <v>181807.19999999998</v>
      </c>
      <c r="C314" s="239" t="s">
        <v>363</v>
      </c>
      <c r="D314" s="239"/>
      <c r="E314" s="239" t="s">
        <v>226</v>
      </c>
      <c r="F314" s="239"/>
      <c r="G314" s="239" t="s">
        <v>229</v>
      </c>
      <c r="H314" s="240"/>
      <c r="I314" s="240"/>
      <c r="J314" s="240"/>
      <c r="K314" s="240">
        <v>205.2</v>
      </c>
      <c r="L314" s="239"/>
      <c r="M314" s="240"/>
      <c r="N314" s="241"/>
      <c r="O314" s="239" t="s">
        <v>227</v>
      </c>
      <c r="P314" s="239"/>
      <c r="Q314" s="239" t="s">
        <v>325</v>
      </c>
      <c r="R314" s="239"/>
      <c r="S314" s="239"/>
      <c r="T314" s="239"/>
      <c r="U314" s="239">
        <v>1509</v>
      </c>
    </row>
    <row r="315" spans="1:21" x14ac:dyDescent="0.25">
      <c r="A315">
        <f t="shared" si="5"/>
        <v>1510</v>
      </c>
      <c r="B315" s="154">
        <f>IF(O315="PESO",VALUE(K315),K315*EERR!$D$2)</f>
        <v>132900</v>
      </c>
      <c r="C315" s="239" t="s">
        <v>364</v>
      </c>
      <c r="D315" s="239"/>
      <c r="E315" s="239" t="s">
        <v>226</v>
      </c>
      <c r="F315" s="239"/>
      <c r="G315" s="239" t="s">
        <v>229</v>
      </c>
      <c r="H315" s="240"/>
      <c r="I315" s="240"/>
      <c r="J315" s="240"/>
      <c r="K315" s="240">
        <v>150</v>
      </c>
      <c r="L315" s="239"/>
      <c r="M315" s="240"/>
      <c r="N315" s="241"/>
      <c r="O315" s="239" t="s">
        <v>227</v>
      </c>
      <c r="P315" s="239"/>
      <c r="Q315" s="239" t="s">
        <v>365</v>
      </c>
      <c r="R315" s="239"/>
      <c r="S315" s="239"/>
      <c r="T315" s="239"/>
      <c r="U315" s="239">
        <v>1510</v>
      </c>
    </row>
    <row r="316" spans="1:21" x14ac:dyDescent="0.25">
      <c r="A316">
        <f t="shared" si="5"/>
        <v>1511</v>
      </c>
      <c r="B316" s="154">
        <f>IF(O316="PESO",VALUE(K316),K316*EERR!$D$2)</f>
        <v>214829</v>
      </c>
      <c r="C316" s="239" t="s">
        <v>366</v>
      </c>
      <c r="D316" s="239"/>
      <c r="E316" s="239" t="s">
        <v>189</v>
      </c>
      <c r="F316" s="239"/>
      <c r="G316" s="239" t="s">
        <v>235</v>
      </c>
      <c r="H316" s="240"/>
      <c r="I316" s="240"/>
      <c r="J316" s="240"/>
      <c r="K316" s="240">
        <v>214829</v>
      </c>
      <c r="L316" s="239"/>
      <c r="M316" s="240"/>
      <c r="N316" s="241"/>
      <c r="O316" s="239" t="s">
        <v>213</v>
      </c>
      <c r="P316" s="239"/>
      <c r="Q316" s="239" t="s">
        <v>367</v>
      </c>
      <c r="R316" s="239"/>
      <c r="S316" s="239"/>
      <c r="T316" s="239"/>
      <c r="U316" s="239">
        <v>1511</v>
      </c>
    </row>
    <row r="317" spans="1:21" x14ac:dyDescent="0.25">
      <c r="A317">
        <f t="shared" si="5"/>
        <v>1512</v>
      </c>
      <c r="B317" s="154">
        <f>IF(O317="PESO",VALUE(K317),K317*EERR!$D$2)</f>
        <v>168340</v>
      </c>
      <c r="C317" s="239" t="s">
        <v>368</v>
      </c>
      <c r="D317" s="239"/>
      <c r="E317" s="239" t="s">
        <v>226</v>
      </c>
      <c r="F317" s="239"/>
      <c r="G317" s="239" t="s">
        <v>229</v>
      </c>
      <c r="H317" s="240"/>
      <c r="I317" s="240"/>
      <c r="J317" s="240"/>
      <c r="K317" s="240">
        <v>190</v>
      </c>
      <c r="L317" s="239"/>
      <c r="M317" s="240"/>
      <c r="N317" s="241"/>
      <c r="O317" s="239" t="s">
        <v>227</v>
      </c>
      <c r="P317" s="239"/>
      <c r="Q317" s="239" t="s">
        <v>369</v>
      </c>
      <c r="R317" s="239"/>
      <c r="S317" s="239"/>
      <c r="T317" s="239"/>
      <c r="U317" s="239">
        <v>1512</v>
      </c>
    </row>
    <row r="318" spans="1:21" x14ac:dyDescent="0.25">
      <c r="A318">
        <f t="shared" si="5"/>
        <v>1513</v>
      </c>
      <c r="B318" s="154">
        <f>IF(O318="PESO",VALUE(K318),K318*EERR!$D$2)</f>
        <v>4000</v>
      </c>
      <c r="C318" s="239" t="s">
        <v>370</v>
      </c>
      <c r="D318" s="239"/>
      <c r="E318" s="239" t="s">
        <v>189</v>
      </c>
      <c r="F318" s="239"/>
      <c r="G318" s="239" t="s">
        <v>235</v>
      </c>
      <c r="H318" s="240"/>
      <c r="I318" s="240"/>
      <c r="J318" s="240"/>
      <c r="K318" s="240">
        <v>4000</v>
      </c>
      <c r="L318" s="239"/>
      <c r="M318" s="240"/>
      <c r="N318" s="241"/>
      <c r="O318" s="239" t="s">
        <v>213</v>
      </c>
      <c r="P318" s="239"/>
      <c r="Q318" s="239" t="s">
        <v>338</v>
      </c>
      <c r="R318" s="239"/>
      <c r="S318" s="239"/>
      <c r="T318" s="239"/>
      <c r="U318" s="239">
        <v>1513</v>
      </c>
    </row>
    <row r="319" spans="1:21" x14ac:dyDescent="0.25">
      <c r="A319">
        <f t="shared" si="5"/>
        <v>1514</v>
      </c>
      <c r="B319" s="154">
        <f>IF(O319="PESO",VALUE(K319),K319*EERR!$D$2)</f>
        <v>4000</v>
      </c>
      <c r="C319" s="239" t="s">
        <v>371</v>
      </c>
      <c r="D319" s="239"/>
      <c r="E319" s="239" t="s">
        <v>189</v>
      </c>
      <c r="F319" s="239"/>
      <c r="G319" s="239" t="s">
        <v>235</v>
      </c>
      <c r="H319" s="240"/>
      <c r="I319" s="240"/>
      <c r="J319" s="240"/>
      <c r="K319" s="240">
        <v>4000</v>
      </c>
      <c r="L319" s="239"/>
      <c r="M319" s="240"/>
      <c r="N319" s="241"/>
      <c r="O319" s="239" t="s">
        <v>213</v>
      </c>
      <c r="P319" s="239"/>
      <c r="Q319" s="239" t="s">
        <v>293</v>
      </c>
      <c r="R319" s="239"/>
      <c r="S319" s="239"/>
      <c r="T319" s="239"/>
      <c r="U319" s="239">
        <v>1514</v>
      </c>
    </row>
    <row r="320" spans="1:21" x14ac:dyDescent="0.25">
      <c r="A320">
        <f t="shared" si="5"/>
        <v>1515</v>
      </c>
      <c r="B320" s="154">
        <f>IF(O320="PESO",VALUE(K320),K320*EERR!$D$2)</f>
        <v>185599.28</v>
      </c>
      <c r="C320" s="239" t="s">
        <v>372</v>
      </c>
      <c r="D320" s="239"/>
      <c r="E320" s="239" t="s">
        <v>226</v>
      </c>
      <c r="F320" s="239"/>
      <c r="G320" s="239" t="s">
        <v>229</v>
      </c>
      <c r="H320" s="240"/>
      <c r="I320" s="240"/>
      <c r="J320" s="240"/>
      <c r="K320" s="240">
        <v>209.48</v>
      </c>
      <c r="L320" s="239"/>
      <c r="M320" s="240"/>
      <c r="N320" s="241"/>
      <c r="O320" s="239" t="s">
        <v>227</v>
      </c>
      <c r="P320" s="239"/>
      <c r="Q320" s="239" t="s">
        <v>373</v>
      </c>
      <c r="R320" s="239"/>
      <c r="S320" s="239"/>
      <c r="T320" s="239"/>
      <c r="U320" s="239">
        <v>1515</v>
      </c>
    </row>
    <row r="321" spans="1:21" x14ac:dyDescent="0.25">
      <c r="A321">
        <f t="shared" si="5"/>
        <v>1516</v>
      </c>
      <c r="B321" s="154">
        <f>IF(O321="PESO",VALUE(K321),K321*EERR!$D$2)</f>
        <v>336680</v>
      </c>
      <c r="C321" s="239" t="s">
        <v>374</v>
      </c>
      <c r="D321" s="239"/>
      <c r="E321" s="239" t="s">
        <v>226</v>
      </c>
      <c r="F321" s="239"/>
      <c r="G321" s="239" t="s">
        <v>229</v>
      </c>
      <c r="H321" s="240"/>
      <c r="I321" s="240"/>
      <c r="J321" s="240"/>
      <c r="K321" s="240">
        <v>380</v>
      </c>
      <c r="L321" s="239"/>
      <c r="M321" s="240"/>
      <c r="N321" s="241"/>
      <c r="O321" s="239" t="s">
        <v>227</v>
      </c>
      <c r="P321" s="239"/>
      <c r="Q321" s="239" t="s">
        <v>298</v>
      </c>
      <c r="R321" s="239"/>
      <c r="S321" s="239"/>
      <c r="T321" s="239"/>
      <c r="U321" s="239">
        <v>1516</v>
      </c>
    </row>
    <row r="322" spans="1:21" x14ac:dyDescent="0.25">
      <c r="A322">
        <f t="shared" si="5"/>
        <v>1517</v>
      </c>
      <c r="B322" s="154">
        <f>IF(O322="PESO",VALUE(K322),K322*EERR!$D$2)</f>
        <v>52185.4</v>
      </c>
      <c r="C322" s="239" t="s">
        <v>375</v>
      </c>
      <c r="D322" s="239"/>
      <c r="E322" s="239" t="s">
        <v>226</v>
      </c>
      <c r="F322" s="239"/>
      <c r="G322" s="239" t="s">
        <v>229</v>
      </c>
      <c r="H322" s="240"/>
      <c r="I322" s="240"/>
      <c r="J322" s="240"/>
      <c r="K322" s="240">
        <v>58.9</v>
      </c>
      <c r="L322" s="239"/>
      <c r="M322" s="240"/>
      <c r="N322" s="241"/>
      <c r="O322" s="239" t="s">
        <v>227</v>
      </c>
      <c r="P322" s="239"/>
      <c r="Q322" s="239" t="s">
        <v>298</v>
      </c>
      <c r="R322" s="239"/>
      <c r="S322" s="239"/>
      <c r="T322" s="239"/>
      <c r="U322" s="239">
        <v>1517</v>
      </c>
    </row>
    <row r="323" spans="1:21" x14ac:dyDescent="0.25">
      <c r="A323">
        <f t="shared" si="5"/>
        <v>1518</v>
      </c>
      <c r="B323" s="154">
        <f>IF(O323="PESO",VALUE(K323),K323*EERR!$D$2)</f>
        <v>835187.9</v>
      </c>
      <c r="C323" s="239" t="s">
        <v>376</v>
      </c>
      <c r="D323" s="239"/>
      <c r="E323" s="239" t="s">
        <v>226</v>
      </c>
      <c r="F323" s="239"/>
      <c r="G323" s="239" t="s">
        <v>229</v>
      </c>
      <c r="H323" s="240"/>
      <c r="I323" s="240"/>
      <c r="J323" s="240"/>
      <c r="K323" s="240">
        <v>942.65</v>
      </c>
      <c r="L323" s="239"/>
      <c r="M323" s="240"/>
      <c r="N323" s="241"/>
      <c r="O323" s="239" t="s">
        <v>227</v>
      </c>
      <c r="P323" s="239"/>
      <c r="Q323" s="239" t="s">
        <v>296</v>
      </c>
      <c r="R323" s="239"/>
      <c r="S323" s="239"/>
      <c r="T323" s="239"/>
      <c r="U323" s="239">
        <v>1518</v>
      </c>
    </row>
    <row r="324" spans="1:21" x14ac:dyDescent="0.25">
      <c r="A324">
        <f t="shared" si="5"/>
        <v>1519</v>
      </c>
      <c r="B324" s="154">
        <f>IF(O324="PESO",VALUE(K324),K324*EERR!$D$2)</f>
        <v>174993.86</v>
      </c>
      <c r="C324" s="239" t="s">
        <v>377</v>
      </c>
      <c r="D324" s="239"/>
      <c r="E324" s="239" t="s">
        <v>226</v>
      </c>
      <c r="F324" s="239"/>
      <c r="G324" s="239" t="s">
        <v>229</v>
      </c>
      <c r="H324" s="240"/>
      <c r="I324" s="240"/>
      <c r="J324" s="240"/>
      <c r="K324" s="240">
        <v>197.51</v>
      </c>
      <c r="L324" s="239"/>
      <c r="M324" s="240"/>
      <c r="N324" s="241"/>
      <c r="O324" s="239" t="s">
        <v>227</v>
      </c>
      <c r="P324" s="239"/>
      <c r="Q324" s="239" t="s">
        <v>378</v>
      </c>
      <c r="R324" s="239"/>
      <c r="S324" s="239"/>
      <c r="T324" s="239"/>
      <c r="U324" s="239">
        <v>1519</v>
      </c>
    </row>
    <row r="325" spans="1:21" x14ac:dyDescent="0.25">
      <c r="A325">
        <f t="shared" si="5"/>
        <v>1520</v>
      </c>
      <c r="B325" s="154">
        <f>IF(O325="PESO",VALUE(K325),K325*EERR!$D$2)</f>
        <v>1002225.4800000001</v>
      </c>
      <c r="C325" s="239" t="s">
        <v>379</v>
      </c>
      <c r="D325" s="239"/>
      <c r="E325" s="239" t="s">
        <v>226</v>
      </c>
      <c r="F325" s="239"/>
      <c r="G325" s="239" t="s">
        <v>229</v>
      </c>
      <c r="H325" s="240"/>
      <c r="I325" s="240"/>
      <c r="J325" s="240"/>
      <c r="K325" s="240">
        <v>1131.18</v>
      </c>
      <c r="L325" s="239"/>
      <c r="M325" s="240"/>
      <c r="N325" s="241"/>
      <c r="O325" s="239" t="s">
        <v>227</v>
      </c>
      <c r="P325" s="239"/>
      <c r="Q325" s="239" t="s">
        <v>299</v>
      </c>
      <c r="R325" s="239"/>
      <c r="S325" s="239"/>
      <c r="T325" s="239"/>
      <c r="U325" s="239">
        <v>1520</v>
      </c>
    </row>
    <row r="326" spans="1:21" x14ac:dyDescent="0.25">
      <c r="A326">
        <f t="shared" si="5"/>
        <v>1521</v>
      </c>
      <c r="B326" s="154">
        <f>IF(O326="PESO",VALUE(K326),K326*EERR!$D$2)</f>
        <v>327252.96000000002</v>
      </c>
      <c r="C326" s="239" t="s">
        <v>380</v>
      </c>
      <c r="D326" s="239"/>
      <c r="E326" s="239" t="s">
        <v>226</v>
      </c>
      <c r="F326" s="239"/>
      <c r="G326" s="239" t="s">
        <v>229</v>
      </c>
      <c r="H326" s="240"/>
      <c r="I326" s="240"/>
      <c r="J326" s="240"/>
      <c r="K326" s="240">
        <v>369.36</v>
      </c>
      <c r="L326" s="239"/>
      <c r="M326" s="240"/>
      <c r="N326" s="241"/>
      <c r="O326" s="239" t="s">
        <v>227</v>
      </c>
      <c r="P326" s="239"/>
      <c r="Q326" s="239" t="s">
        <v>381</v>
      </c>
      <c r="R326" s="239"/>
      <c r="S326" s="239"/>
      <c r="T326" s="239"/>
      <c r="U326" s="239">
        <v>1521</v>
      </c>
    </row>
    <row r="327" spans="1:21" x14ac:dyDescent="0.25">
      <c r="A327">
        <f t="shared" si="5"/>
        <v>1522</v>
      </c>
      <c r="B327" s="154">
        <f>IF(O327="PESO",VALUE(K327),K327*EERR!$D$2)</f>
        <v>327252.96000000002</v>
      </c>
      <c r="C327" s="239" t="s">
        <v>382</v>
      </c>
      <c r="D327" s="239"/>
      <c r="E327" s="239" t="s">
        <v>226</v>
      </c>
      <c r="F327" s="239"/>
      <c r="G327" s="239" t="s">
        <v>229</v>
      </c>
      <c r="H327" s="240"/>
      <c r="I327" s="240"/>
      <c r="J327" s="240"/>
      <c r="K327" s="240">
        <v>369.36</v>
      </c>
      <c r="L327" s="239"/>
      <c r="M327" s="240"/>
      <c r="N327" s="241"/>
      <c r="O327" s="239" t="s">
        <v>227</v>
      </c>
      <c r="P327" s="239"/>
      <c r="Q327" s="239" t="s">
        <v>381</v>
      </c>
      <c r="R327" s="239"/>
      <c r="S327" s="239"/>
      <c r="T327" s="239"/>
      <c r="U327" s="239">
        <v>1522</v>
      </c>
    </row>
    <row r="328" spans="1:21" x14ac:dyDescent="0.25">
      <c r="A328">
        <f t="shared" si="5"/>
        <v>1523</v>
      </c>
      <c r="B328" s="154">
        <f>IF(O328="PESO",VALUE(K328),K328*EERR!$D$2)</f>
        <v>181807.19999999998</v>
      </c>
      <c r="C328" s="239" t="s">
        <v>383</v>
      </c>
      <c r="D328" s="239"/>
      <c r="E328" s="239" t="s">
        <v>226</v>
      </c>
      <c r="F328" s="239"/>
      <c r="G328" s="239" t="s">
        <v>229</v>
      </c>
      <c r="H328" s="240"/>
      <c r="I328" s="240"/>
      <c r="J328" s="240"/>
      <c r="K328" s="240">
        <v>205.2</v>
      </c>
      <c r="L328" s="239"/>
      <c r="M328" s="240"/>
      <c r="N328" s="241"/>
      <c r="O328" s="239" t="s">
        <v>227</v>
      </c>
      <c r="P328" s="239"/>
      <c r="Q328" s="239" t="s">
        <v>384</v>
      </c>
      <c r="R328" s="239"/>
      <c r="S328" s="239"/>
      <c r="T328" s="239"/>
      <c r="U328" s="239">
        <v>1523</v>
      </c>
    </row>
    <row r="329" spans="1:21" x14ac:dyDescent="0.25">
      <c r="A329">
        <f t="shared" si="5"/>
        <v>1524</v>
      </c>
      <c r="B329" s="154">
        <f>IF(O329="PESO",VALUE(K329),K329*EERR!$D$2)</f>
        <v>336680</v>
      </c>
      <c r="C329" s="239" t="s">
        <v>385</v>
      </c>
      <c r="D329" s="239"/>
      <c r="E329" s="239" t="s">
        <v>226</v>
      </c>
      <c r="F329" s="239"/>
      <c r="G329" s="239" t="s">
        <v>229</v>
      </c>
      <c r="H329" s="240"/>
      <c r="I329" s="240"/>
      <c r="J329" s="240"/>
      <c r="K329" s="240">
        <v>380</v>
      </c>
      <c r="L329" s="239"/>
      <c r="M329" s="240"/>
      <c r="N329" s="241"/>
      <c r="O329" s="239" t="s">
        <v>227</v>
      </c>
      <c r="P329" s="239"/>
      <c r="Q329" s="239" t="s">
        <v>386</v>
      </c>
      <c r="R329" s="239"/>
      <c r="S329" s="239"/>
      <c r="T329" s="239"/>
      <c r="U329" s="239">
        <v>1524</v>
      </c>
    </row>
    <row r="330" spans="1:21" x14ac:dyDescent="0.25">
      <c r="A330">
        <f t="shared" si="5"/>
        <v>1525</v>
      </c>
      <c r="B330" s="154">
        <f>IF(O330="PESO",VALUE(K330),K330*EERR!$D$2)</f>
        <v>4500</v>
      </c>
      <c r="C330" s="239" t="s">
        <v>387</v>
      </c>
      <c r="D330" s="239"/>
      <c r="E330" s="239" t="s">
        <v>189</v>
      </c>
      <c r="F330" s="239"/>
      <c r="G330" s="239" t="s">
        <v>235</v>
      </c>
      <c r="H330" s="240"/>
      <c r="I330" s="240"/>
      <c r="J330" s="240"/>
      <c r="K330" s="240">
        <v>4500</v>
      </c>
      <c r="L330" s="239"/>
      <c r="M330" s="240"/>
      <c r="N330" s="241"/>
      <c r="O330" s="239" t="s">
        <v>213</v>
      </c>
      <c r="P330" s="239"/>
      <c r="Q330" s="239" t="s">
        <v>388</v>
      </c>
      <c r="R330" s="239"/>
      <c r="S330" s="239"/>
      <c r="T330" s="239"/>
      <c r="U330" s="239">
        <v>1525</v>
      </c>
    </row>
    <row r="331" spans="1:21" x14ac:dyDescent="0.25">
      <c r="A331">
        <f t="shared" si="5"/>
        <v>1526</v>
      </c>
      <c r="B331" s="154">
        <f>IF(O331="PESO",VALUE(K331),K331*EERR!$D$2)</f>
        <v>194432.69999999998</v>
      </c>
      <c r="C331" s="239" t="s">
        <v>389</v>
      </c>
      <c r="D331" s="239"/>
      <c r="E331" s="239" t="s">
        <v>226</v>
      </c>
      <c r="F331" s="239"/>
      <c r="G331" s="239" t="s">
        <v>229</v>
      </c>
      <c r="H331" s="240"/>
      <c r="I331" s="240"/>
      <c r="J331" s="240"/>
      <c r="K331" s="240">
        <v>219.45</v>
      </c>
      <c r="L331" s="239"/>
      <c r="M331" s="240"/>
      <c r="N331" s="241"/>
      <c r="O331" s="239" t="s">
        <v>227</v>
      </c>
      <c r="P331" s="239"/>
      <c r="Q331" s="239" t="s">
        <v>301</v>
      </c>
      <c r="R331" s="239"/>
      <c r="S331" s="239"/>
      <c r="T331" s="239"/>
      <c r="U331" s="239">
        <v>1526</v>
      </c>
    </row>
    <row r="332" spans="1:21" x14ac:dyDescent="0.25">
      <c r="A332">
        <f t="shared" si="5"/>
        <v>1527</v>
      </c>
      <c r="B332" s="154">
        <f>IF(O332="PESO",VALUE(K332),K332*EERR!$D$2)</f>
        <v>490879.43999999994</v>
      </c>
      <c r="C332" s="239" t="s">
        <v>390</v>
      </c>
      <c r="D332" s="239"/>
      <c r="E332" s="239" t="s">
        <v>226</v>
      </c>
      <c r="F332" s="239"/>
      <c r="G332" s="239" t="s">
        <v>229</v>
      </c>
      <c r="H332" s="240"/>
      <c r="I332" s="240"/>
      <c r="J332" s="240"/>
      <c r="K332" s="240">
        <v>554.04</v>
      </c>
      <c r="L332" s="239"/>
      <c r="M332" s="240"/>
      <c r="N332" s="241"/>
      <c r="O332" s="239" t="s">
        <v>227</v>
      </c>
      <c r="P332" s="239"/>
      <c r="Q332" s="239" t="s">
        <v>391</v>
      </c>
      <c r="R332" s="239"/>
      <c r="S332" s="239"/>
      <c r="T332" s="239"/>
      <c r="U332" s="239">
        <v>1527</v>
      </c>
    </row>
    <row r="333" spans="1:21" x14ac:dyDescent="0.25">
      <c r="A333">
        <f t="shared" si="5"/>
        <v>1528</v>
      </c>
      <c r="B333" s="154">
        <f>IF(O333="PESO",VALUE(K333),K333*EERR!$D$2)</f>
        <v>1807683</v>
      </c>
      <c r="C333" s="239" t="s">
        <v>392</v>
      </c>
      <c r="D333" s="239"/>
      <c r="E333" s="239" t="s">
        <v>189</v>
      </c>
      <c r="F333" s="239"/>
      <c r="G333" s="239" t="s">
        <v>235</v>
      </c>
      <c r="H333" s="240"/>
      <c r="I333" s="240"/>
      <c r="J333" s="240"/>
      <c r="K333" s="240">
        <v>1807683</v>
      </c>
      <c r="L333" s="239"/>
      <c r="M333" s="240"/>
      <c r="N333" s="241"/>
      <c r="O333" s="239" t="s">
        <v>213</v>
      </c>
      <c r="P333" s="239"/>
      <c r="Q333" s="239" t="s">
        <v>393</v>
      </c>
      <c r="R333" s="239"/>
      <c r="S333" s="239"/>
      <c r="T333" s="239"/>
      <c r="U333" s="239">
        <v>1528</v>
      </c>
    </row>
    <row r="334" spans="1:21" x14ac:dyDescent="0.25">
      <c r="A334">
        <f t="shared" si="5"/>
        <v>1529</v>
      </c>
      <c r="B334" s="154">
        <f>IF(O334="PESO",VALUE(K334),K334*EERR!$D$2)</f>
        <v>524981.57999999996</v>
      </c>
      <c r="C334" s="239" t="s">
        <v>394</v>
      </c>
      <c r="D334" s="239"/>
      <c r="E334" s="239" t="s">
        <v>226</v>
      </c>
      <c r="F334" s="239"/>
      <c r="G334" s="239" t="s">
        <v>229</v>
      </c>
      <c r="H334" s="240"/>
      <c r="I334" s="240"/>
      <c r="J334" s="240"/>
      <c r="K334" s="240">
        <v>592.53</v>
      </c>
      <c r="L334" s="239"/>
      <c r="M334" s="240"/>
      <c r="N334" s="241"/>
      <c r="O334" s="239" t="s">
        <v>227</v>
      </c>
      <c r="P334" s="239"/>
      <c r="Q334" s="239" t="s">
        <v>300</v>
      </c>
      <c r="R334" s="239"/>
      <c r="S334" s="239"/>
      <c r="T334" s="239"/>
      <c r="U334" s="239">
        <v>1529</v>
      </c>
    </row>
    <row r="335" spans="1:21" x14ac:dyDescent="0.25">
      <c r="A335">
        <f t="shared" si="5"/>
        <v>1530</v>
      </c>
      <c r="B335" s="154">
        <f>IF(O335="PESO",VALUE(K335),K335*EERR!$D$2)</f>
        <v>185599.28</v>
      </c>
      <c r="C335" s="239" t="s">
        <v>395</v>
      </c>
      <c r="D335" s="239"/>
      <c r="E335" s="239" t="s">
        <v>226</v>
      </c>
      <c r="F335" s="239"/>
      <c r="G335" s="239" t="s">
        <v>229</v>
      </c>
      <c r="H335" s="240"/>
      <c r="I335" s="240"/>
      <c r="J335" s="240"/>
      <c r="K335" s="240">
        <v>209.48</v>
      </c>
      <c r="L335" s="239"/>
      <c r="M335" s="240"/>
      <c r="N335" s="241"/>
      <c r="O335" s="239" t="s">
        <v>227</v>
      </c>
      <c r="P335" s="239"/>
      <c r="Q335" s="239" t="s">
        <v>396</v>
      </c>
      <c r="R335" s="239"/>
      <c r="S335" s="239"/>
      <c r="T335" s="239"/>
      <c r="U335" s="239">
        <v>1530</v>
      </c>
    </row>
    <row r="336" spans="1:21" x14ac:dyDescent="0.25">
      <c r="A336">
        <f t="shared" si="5"/>
        <v>1531</v>
      </c>
      <c r="B336" s="154">
        <f>IF(O336="PESO",VALUE(K336),K336*EERR!$D$2)</f>
        <v>556797.84000000008</v>
      </c>
      <c r="C336" s="239" t="s">
        <v>397</v>
      </c>
      <c r="D336" s="239"/>
      <c r="E336" s="239" t="s">
        <v>226</v>
      </c>
      <c r="F336" s="239"/>
      <c r="G336" s="239" t="s">
        <v>229</v>
      </c>
      <c r="H336" s="240"/>
      <c r="I336" s="240"/>
      <c r="J336" s="240"/>
      <c r="K336" s="240">
        <v>628.44000000000005</v>
      </c>
      <c r="L336" s="239"/>
      <c r="M336" s="240"/>
      <c r="N336" s="241"/>
      <c r="O336" s="239" t="s">
        <v>227</v>
      </c>
      <c r="P336" s="239"/>
      <c r="Q336" s="239" t="s">
        <v>398</v>
      </c>
      <c r="R336" s="239"/>
      <c r="S336" s="239"/>
      <c r="T336" s="239"/>
      <c r="U336" s="239">
        <v>1531</v>
      </c>
    </row>
    <row r="337" spans="1:21" x14ac:dyDescent="0.25">
      <c r="A337">
        <f t="shared" si="5"/>
        <v>1532</v>
      </c>
      <c r="B337" s="154">
        <f>IF(O337="PESO",VALUE(K337),K337*EERR!$D$2)</f>
        <v>167037.57999999999</v>
      </c>
      <c r="C337" s="239" t="s">
        <v>399</v>
      </c>
      <c r="D337" s="239"/>
      <c r="E337" s="239" t="s">
        <v>226</v>
      </c>
      <c r="F337" s="239"/>
      <c r="G337" s="239" t="s">
        <v>229</v>
      </c>
      <c r="H337" s="240"/>
      <c r="I337" s="240"/>
      <c r="J337" s="240"/>
      <c r="K337" s="240">
        <v>188.53</v>
      </c>
      <c r="L337" s="239"/>
      <c r="M337" s="240"/>
      <c r="N337" s="241"/>
      <c r="O337" s="239" t="s">
        <v>227</v>
      </c>
      <c r="P337" s="239"/>
      <c r="Q337" s="239" t="s">
        <v>400</v>
      </c>
      <c r="R337" s="239"/>
      <c r="S337" s="239"/>
      <c r="T337" s="239"/>
      <c r="U337" s="239">
        <v>1532</v>
      </c>
    </row>
    <row r="338" spans="1:21" x14ac:dyDescent="0.25">
      <c r="A338">
        <f t="shared" si="5"/>
        <v>1533</v>
      </c>
      <c r="B338" s="154">
        <f>IF(O338="PESO",VALUE(K338),K338*EERR!$D$2)</f>
        <v>174993.86</v>
      </c>
      <c r="C338" s="239" t="s">
        <v>401</v>
      </c>
      <c r="D338" s="239"/>
      <c r="E338" s="239" t="s">
        <v>226</v>
      </c>
      <c r="F338" s="239"/>
      <c r="G338" s="239" t="s">
        <v>229</v>
      </c>
      <c r="H338" s="240"/>
      <c r="I338" s="240"/>
      <c r="J338" s="240"/>
      <c r="K338" s="240">
        <v>197.51</v>
      </c>
      <c r="L338" s="239"/>
      <c r="M338" s="240"/>
      <c r="N338" s="241"/>
      <c r="O338" s="239" t="s">
        <v>227</v>
      </c>
      <c r="P338" s="239"/>
      <c r="Q338" s="239" t="s">
        <v>402</v>
      </c>
      <c r="R338" s="239"/>
      <c r="S338" s="239"/>
      <c r="T338" s="239"/>
      <c r="U338" s="239">
        <v>1533</v>
      </c>
    </row>
    <row r="339" spans="1:21" x14ac:dyDescent="0.25">
      <c r="A339">
        <f t="shared" si="5"/>
        <v>1534</v>
      </c>
      <c r="B339" s="154">
        <f>IF(O339="PESO",VALUE(K339),K339*EERR!$D$2)</f>
        <v>174993.86</v>
      </c>
      <c r="C339" s="239" t="s">
        <v>403</v>
      </c>
      <c r="D339" s="239"/>
      <c r="E339" s="239" t="s">
        <v>226</v>
      </c>
      <c r="F339" s="239"/>
      <c r="G339" s="239" t="s">
        <v>229</v>
      </c>
      <c r="H339" s="240"/>
      <c r="I339" s="240"/>
      <c r="J339" s="240"/>
      <c r="K339" s="240">
        <v>197.51</v>
      </c>
      <c r="L339" s="239"/>
      <c r="M339" s="240"/>
      <c r="N339" s="241"/>
      <c r="O339" s="239" t="s">
        <v>227</v>
      </c>
      <c r="P339" s="239"/>
      <c r="Q339" s="239" t="s">
        <v>404</v>
      </c>
      <c r="R339" s="239"/>
      <c r="S339" s="239"/>
      <c r="T339" s="239"/>
      <c r="U339" s="239">
        <v>1534</v>
      </c>
    </row>
    <row r="340" spans="1:21" x14ac:dyDescent="0.25">
      <c r="A340">
        <f t="shared" si="5"/>
        <v>1535</v>
      </c>
      <c r="B340" s="154">
        <f>IF(O340="PESO",VALUE(K340),K340*EERR!$D$2)</f>
        <v>794955</v>
      </c>
      <c r="C340" s="239" t="s">
        <v>405</v>
      </c>
      <c r="D340" s="239"/>
      <c r="E340" s="239" t="s">
        <v>189</v>
      </c>
      <c r="F340" s="239"/>
      <c r="G340" s="239" t="s">
        <v>235</v>
      </c>
      <c r="H340" s="240"/>
      <c r="I340" s="240"/>
      <c r="J340" s="240"/>
      <c r="K340" s="240">
        <v>794955</v>
      </c>
      <c r="L340" s="239"/>
      <c r="M340" s="240"/>
      <c r="N340" s="241"/>
      <c r="O340" s="239" t="s">
        <v>213</v>
      </c>
      <c r="P340" s="239"/>
      <c r="Q340" s="239" t="s">
        <v>318</v>
      </c>
      <c r="R340" s="239"/>
      <c r="S340" s="239"/>
      <c r="T340" s="239"/>
      <c r="U340" s="239">
        <v>1535</v>
      </c>
    </row>
    <row r="341" spans="1:21" x14ac:dyDescent="0.25">
      <c r="A341">
        <f t="shared" si="5"/>
        <v>1536</v>
      </c>
      <c r="B341" s="154">
        <f>IF(O341="PESO",VALUE(K341),K341*EERR!$D$2)</f>
        <v>167037.57999999999</v>
      </c>
      <c r="C341" s="239" t="s">
        <v>406</v>
      </c>
      <c r="D341" s="239"/>
      <c r="E341" s="239" t="s">
        <v>226</v>
      </c>
      <c r="F341" s="239"/>
      <c r="G341" s="239" t="s">
        <v>229</v>
      </c>
      <c r="H341" s="240"/>
      <c r="I341" s="240"/>
      <c r="J341" s="240"/>
      <c r="K341" s="240">
        <v>188.53</v>
      </c>
      <c r="L341" s="239"/>
      <c r="M341" s="240"/>
      <c r="N341" s="241"/>
      <c r="O341" s="239" t="s">
        <v>227</v>
      </c>
      <c r="P341" s="239"/>
      <c r="Q341" s="239" t="s">
        <v>407</v>
      </c>
      <c r="R341" s="239"/>
      <c r="S341" s="239"/>
      <c r="T341" s="239"/>
      <c r="U341" s="239">
        <v>1536</v>
      </c>
    </row>
    <row r="342" spans="1:21" x14ac:dyDescent="0.25">
      <c r="A342">
        <f t="shared" si="5"/>
        <v>1537</v>
      </c>
      <c r="B342" s="154">
        <f>IF(O342="PESO",VALUE(K342),K342*EERR!$D$2)</f>
        <v>1192433</v>
      </c>
      <c r="C342" s="239" t="s">
        <v>408</v>
      </c>
      <c r="D342" s="239"/>
      <c r="E342" s="239" t="s">
        <v>189</v>
      </c>
      <c r="F342" s="239"/>
      <c r="G342" s="239" t="s">
        <v>235</v>
      </c>
      <c r="H342" s="240"/>
      <c r="I342" s="240"/>
      <c r="J342" s="240"/>
      <c r="K342" s="240">
        <v>1192433</v>
      </c>
      <c r="L342" s="239"/>
      <c r="M342" s="240"/>
      <c r="N342" s="241"/>
      <c r="O342" s="239" t="s">
        <v>213</v>
      </c>
      <c r="P342" s="239"/>
      <c r="Q342" s="239" t="s">
        <v>314</v>
      </c>
      <c r="R342" s="239"/>
      <c r="S342" s="239"/>
      <c r="T342" s="239"/>
      <c r="U342" s="239">
        <v>1537</v>
      </c>
    </row>
    <row r="343" spans="1:21" x14ac:dyDescent="0.25">
      <c r="A343">
        <f t="shared" si="5"/>
        <v>1538</v>
      </c>
      <c r="B343" s="154">
        <f>IF(O343="PESO",VALUE(K343),K343*EERR!$D$2)</f>
        <v>208205</v>
      </c>
      <c r="C343" s="239" t="s">
        <v>409</v>
      </c>
      <c r="D343" s="239"/>
      <c r="E343" s="239" t="s">
        <v>189</v>
      </c>
      <c r="F343" s="239"/>
      <c r="G343" s="239" t="s">
        <v>235</v>
      </c>
      <c r="H343" s="240"/>
      <c r="I343" s="240"/>
      <c r="J343" s="240"/>
      <c r="K343" s="240">
        <v>208205</v>
      </c>
      <c r="L343" s="239"/>
      <c r="M343" s="240"/>
      <c r="N343" s="241"/>
      <c r="O343" s="239" t="s">
        <v>213</v>
      </c>
      <c r="P343" s="239"/>
      <c r="Q343" s="239" t="s">
        <v>323</v>
      </c>
      <c r="R343" s="239"/>
      <c r="S343" s="239"/>
      <c r="T343" s="239"/>
      <c r="U343" s="239">
        <v>1538</v>
      </c>
    </row>
    <row r="344" spans="1:21" x14ac:dyDescent="0.25">
      <c r="A344">
        <f t="shared" si="5"/>
        <v>1539</v>
      </c>
      <c r="B344" s="154">
        <f>IF(O344="PESO",VALUE(K344),K344*EERR!$D$2)</f>
        <v>181807.19999999998</v>
      </c>
      <c r="C344" s="239" t="s">
        <v>410</v>
      </c>
      <c r="D344" s="239"/>
      <c r="E344" s="239" t="s">
        <v>226</v>
      </c>
      <c r="F344" s="239"/>
      <c r="G344" s="239" t="s">
        <v>229</v>
      </c>
      <c r="H344" s="240"/>
      <c r="I344" s="240"/>
      <c r="J344" s="240"/>
      <c r="K344" s="240">
        <v>205.2</v>
      </c>
      <c r="L344" s="239"/>
      <c r="M344" s="240"/>
      <c r="N344" s="241"/>
      <c r="O344" s="239" t="s">
        <v>227</v>
      </c>
      <c r="P344" s="239"/>
      <c r="Q344" s="239" t="s">
        <v>411</v>
      </c>
      <c r="R344" s="239"/>
      <c r="S344" s="239"/>
      <c r="T344" s="239"/>
      <c r="U344" s="239">
        <v>1539</v>
      </c>
    </row>
    <row r="345" spans="1:21" x14ac:dyDescent="0.25">
      <c r="A345">
        <f t="shared" si="5"/>
        <v>1540</v>
      </c>
      <c r="B345" s="154">
        <f>IF(O345="PESO",VALUE(K345),K345*EERR!$D$2)</f>
        <v>167037.57999999999</v>
      </c>
      <c r="C345" s="239" t="s">
        <v>412</v>
      </c>
      <c r="D345" s="239"/>
      <c r="E345" s="239" t="s">
        <v>226</v>
      </c>
      <c r="F345" s="239"/>
      <c r="G345" s="239" t="s">
        <v>229</v>
      </c>
      <c r="H345" s="240"/>
      <c r="I345" s="240"/>
      <c r="J345" s="240"/>
      <c r="K345" s="240">
        <v>188.53</v>
      </c>
      <c r="L345" s="239"/>
      <c r="M345" s="240"/>
      <c r="N345" s="241"/>
      <c r="O345" s="239" t="s">
        <v>227</v>
      </c>
      <c r="P345" s="239"/>
      <c r="Q345" s="239" t="s">
        <v>413</v>
      </c>
      <c r="R345" s="239"/>
      <c r="S345" s="239"/>
      <c r="T345" s="239"/>
      <c r="U345" s="239">
        <v>1540</v>
      </c>
    </row>
    <row r="346" spans="1:21" x14ac:dyDescent="0.25">
      <c r="A346">
        <f t="shared" si="5"/>
        <v>1541</v>
      </c>
      <c r="B346" s="154">
        <f>IF(O346="PESO",VALUE(K346),K346*EERR!$D$2)</f>
        <v>167037.57999999999</v>
      </c>
      <c r="C346" s="239" t="s">
        <v>414</v>
      </c>
      <c r="D346" s="239"/>
      <c r="E346" s="239" t="s">
        <v>226</v>
      </c>
      <c r="F346" s="239"/>
      <c r="G346" s="239" t="s">
        <v>229</v>
      </c>
      <c r="H346" s="240"/>
      <c r="I346" s="240"/>
      <c r="J346" s="240"/>
      <c r="K346" s="240">
        <v>188.53</v>
      </c>
      <c r="L346" s="239"/>
      <c r="M346" s="240"/>
      <c r="N346" s="241"/>
      <c r="O346" s="239" t="s">
        <v>227</v>
      </c>
      <c r="P346" s="239"/>
      <c r="Q346" s="239" t="s">
        <v>415</v>
      </c>
      <c r="R346" s="239"/>
      <c r="S346" s="239"/>
      <c r="T346" s="239"/>
      <c r="U346" s="239">
        <v>1541</v>
      </c>
    </row>
    <row r="347" spans="1:21" x14ac:dyDescent="0.25">
      <c r="A347">
        <f t="shared" si="5"/>
        <v>1542</v>
      </c>
      <c r="B347" s="154">
        <f>IF(O347="PESO",VALUE(K347),K347*EERR!$D$2)</f>
        <v>927996.4</v>
      </c>
      <c r="C347" s="239" t="s">
        <v>416</v>
      </c>
      <c r="D347" s="239"/>
      <c r="E347" s="239" t="s">
        <v>226</v>
      </c>
      <c r="F347" s="239"/>
      <c r="G347" s="239" t="s">
        <v>229</v>
      </c>
      <c r="H347" s="240"/>
      <c r="I347" s="240"/>
      <c r="J347" s="240"/>
      <c r="K347" s="240">
        <v>1047.4000000000001</v>
      </c>
      <c r="L347" s="239"/>
      <c r="M347" s="240"/>
      <c r="N347" s="241"/>
      <c r="O347" s="239" t="s">
        <v>227</v>
      </c>
      <c r="P347" s="239"/>
      <c r="Q347" s="239" t="s">
        <v>417</v>
      </c>
      <c r="R347" s="239"/>
      <c r="S347" s="239"/>
      <c r="T347" s="239"/>
      <c r="U347" s="239">
        <v>1542</v>
      </c>
    </row>
    <row r="348" spans="1:21" x14ac:dyDescent="0.25">
      <c r="A348">
        <f t="shared" si="5"/>
        <v>1543</v>
      </c>
      <c r="B348" s="154">
        <f>IF(O348="PESO",VALUE(K348),K348*EERR!$D$2)</f>
        <v>167037.57999999999</v>
      </c>
      <c r="C348" s="239" t="s">
        <v>418</v>
      </c>
      <c r="D348" s="239"/>
      <c r="E348" s="239" t="s">
        <v>226</v>
      </c>
      <c r="F348" s="239"/>
      <c r="G348" s="239" t="s">
        <v>229</v>
      </c>
      <c r="H348" s="240"/>
      <c r="I348" s="240"/>
      <c r="J348" s="240"/>
      <c r="K348" s="240">
        <v>188.53</v>
      </c>
      <c r="L348" s="239"/>
      <c r="M348" s="240"/>
      <c r="N348" s="241"/>
      <c r="O348" s="239" t="s">
        <v>227</v>
      </c>
      <c r="P348" s="239"/>
      <c r="Q348" s="239" t="s">
        <v>419</v>
      </c>
      <c r="R348" s="239"/>
      <c r="S348" s="239"/>
      <c r="T348" s="239"/>
      <c r="U348" s="239">
        <v>1543</v>
      </c>
    </row>
    <row r="349" spans="1:21" x14ac:dyDescent="0.25">
      <c r="A349">
        <f t="shared" si="5"/>
        <v>1544</v>
      </c>
      <c r="B349" s="154">
        <f>IF(O349="PESO",VALUE(K349),K349*EERR!$D$2)</f>
        <v>181807.19999999998</v>
      </c>
      <c r="C349" s="239" t="s">
        <v>420</v>
      </c>
      <c r="D349" s="239"/>
      <c r="E349" s="239" t="s">
        <v>226</v>
      </c>
      <c r="F349" s="239"/>
      <c r="G349" s="239" t="s">
        <v>229</v>
      </c>
      <c r="H349" s="240"/>
      <c r="I349" s="240"/>
      <c r="J349" s="240"/>
      <c r="K349" s="240">
        <v>205.2</v>
      </c>
      <c r="L349" s="239"/>
      <c r="M349" s="240"/>
      <c r="N349" s="241"/>
      <c r="O349" s="239" t="s">
        <v>227</v>
      </c>
      <c r="P349" s="239"/>
      <c r="Q349" s="239" t="s">
        <v>421</v>
      </c>
      <c r="R349" s="239"/>
      <c r="S349" s="239"/>
      <c r="T349" s="239"/>
      <c r="U349" s="239">
        <v>1544</v>
      </c>
    </row>
    <row r="350" spans="1:21" x14ac:dyDescent="0.25">
      <c r="A350">
        <f t="shared" si="5"/>
        <v>1545</v>
      </c>
      <c r="B350" s="154">
        <f>IF(O350="PESO",VALUE(K350),K350*EERR!$D$2)</f>
        <v>9000</v>
      </c>
      <c r="C350" s="239" t="s">
        <v>422</v>
      </c>
      <c r="D350" s="239"/>
      <c r="E350" s="239" t="s">
        <v>189</v>
      </c>
      <c r="F350" s="239"/>
      <c r="G350" s="239" t="s">
        <v>235</v>
      </c>
      <c r="H350" s="240"/>
      <c r="I350" s="240"/>
      <c r="J350" s="240"/>
      <c r="K350" s="240">
        <v>9000</v>
      </c>
      <c r="L350" s="239"/>
      <c r="M350" s="240"/>
      <c r="N350" s="241"/>
      <c r="O350" s="239" t="s">
        <v>213</v>
      </c>
      <c r="P350" s="239"/>
      <c r="Q350" s="239" t="s">
        <v>423</v>
      </c>
      <c r="R350" s="239"/>
      <c r="S350" s="239"/>
      <c r="T350" s="239"/>
      <c r="U350" s="239">
        <v>1545</v>
      </c>
    </row>
    <row r="351" spans="1:21" x14ac:dyDescent="0.25">
      <c r="A351">
        <f t="shared" si="5"/>
        <v>1546</v>
      </c>
      <c r="B351" s="154">
        <f>IF(O351="PESO",VALUE(K351),K351*EERR!$D$2)</f>
        <v>1002225.4800000001</v>
      </c>
      <c r="C351" s="239" t="s">
        <v>424</v>
      </c>
      <c r="D351" s="239"/>
      <c r="E351" s="239" t="s">
        <v>226</v>
      </c>
      <c r="F351" s="239"/>
      <c r="G351" s="239" t="s">
        <v>229</v>
      </c>
      <c r="H351" s="240"/>
      <c r="I351" s="240"/>
      <c r="J351" s="240"/>
      <c r="K351" s="240">
        <v>1131.18</v>
      </c>
      <c r="L351" s="239"/>
      <c r="M351" s="240"/>
      <c r="N351" s="241"/>
      <c r="O351" s="239" t="s">
        <v>227</v>
      </c>
      <c r="P351" s="239"/>
      <c r="Q351" s="239" t="s">
        <v>333</v>
      </c>
      <c r="R351" s="239"/>
      <c r="S351" s="239"/>
      <c r="T351" s="239"/>
      <c r="U351" s="239">
        <v>1546</v>
      </c>
    </row>
    <row r="352" spans="1:21" x14ac:dyDescent="0.25">
      <c r="A352">
        <f t="shared" si="5"/>
        <v>1547</v>
      </c>
      <c r="B352" s="154">
        <f>IF(O352="PESO",VALUE(K352),K352*EERR!$D$2)</f>
        <v>388865.39999999997</v>
      </c>
      <c r="C352" s="239" t="s">
        <v>425</v>
      </c>
      <c r="D352" s="239"/>
      <c r="E352" s="239" t="s">
        <v>226</v>
      </c>
      <c r="F352" s="239"/>
      <c r="G352" s="239" t="s">
        <v>229</v>
      </c>
      <c r="H352" s="240"/>
      <c r="I352" s="240"/>
      <c r="J352" s="240"/>
      <c r="K352" s="240">
        <v>438.9</v>
      </c>
      <c r="L352" s="239"/>
      <c r="M352" s="240"/>
      <c r="N352" s="241"/>
      <c r="O352" s="239" t="s">
        <v>227</v>
      </c>
      <c r="P352" s="239"/>
      <c r="Q352" s="239" t="s">
        <v>426</v>
      </c>
      <c r="R352" s="239"/>
      <c r="S352" s="239"/>
      <c r="T352" s="239"/>
      <c r="U352" s="239">
        <v>1547</v>
      </c>
    </row>
    <row r="353" spans="1:21" x14ac:dyDescent="0.25">
      <c r="A353">
        <f t="shared" si="5"/>
        <v>1548</v>
      </c>
      <c r="B353" s="154">
        <f>IF(O353="PESO",VALUE(K353),K353*EERR!$D$2)</f>
        <v>168340</v>
      </c>
      <c r="C353" s="239" t="s">
        <v>427</v>
      </c>
      <c r="D353" s="239"/>
      <c r="E353" s="239" t="s">
        <v>226</v>
      </c>
      <c r="F353" s="239"/>
      <c r="G353" s="239" t="s">
        <v>229</v>
      </c>
      <c r="H353" s="240"/>
      <c r="I353" s="240"/>
      <c r="J353" s="240"/>
      <c r="K353" s="240">
        <v>190</v>
      </c>
      <c r="L353" s="239"/>
      <c r="M353" s="240"/>
      <c r="N353" s="241"/>
      <c r="O353" s="239" t="s">
        <v>227</v>
      </c>
      <c r="P353" s="239"/>
      <c r="Q353" s="239" t="s">
        <v>428</v>
      </c>
      <c r="R353" s="239"/>
      <c r="S353" s="239"/>
      <c r="T353" s="239"/>
      <c r="U353" s="239">
        <v>1548</v>
      </c>
    </row>
    <row r="354" spans="1:21" x14ac:dyDescent="0.25">
      <c r="A354">
        <f t="shared" si="5"/>
        <v>1549</v>
      </c>
      <c r="B354" s="154">
        <f>IF(O354="PESO",VALUE(K354),K354*EERR!$D$2)</f>
        <v>327252.96000000002</v>
      </c>
      <c r="C354" s="239" t="s">
        <v>429</v>
      </c>
      <c r="D354" s="239"/>
      <c r="E354" s="239" t="s">
        <v>226</v>
      </c>
      <c r="F354" s="239"/>
      <c r="G354" s="239" t="s">
        <v>229</v>
      </c>
      <c r="H354" s="240"/>
      <c r="I354" s="240"/>
      <c r="J354" s="240"/>
      <c r="K354" s="240">
        <v>369.36</v>
      </c>
      <c r="L354" s="239"/>
      <c r="M354" s="240"/>
      <c r="N354" s="241"/>
      <c r="O354" s="239" t="s">
        <v>227</v>
      </c>
      <c r="P354" s="239"/>
      <c r="Q354" s="239" t="s">
        <v>430</v>
      </c>
      <c r="R354" s="239"/>
      <c r="S354" s="239"/>
      <c r="T354" s="239"/>
      <c r="U354" s="239">
        <v>1549</v>
      </c>
    </row>
    <row r="355" spans="1:21" x14ac:dyDescent="0.25">
      <c r="A355">
        <f t="shared" si="5"/>
        <v>1550</v>
      </c>
      <c r="B355" s="154">
        <f>IF(O355="PESO",VALUE(K355),K355*EERR!$D$2)</f>
        <v>167037.57999999999</v>
      </c>
      <c r="C355" s="239" t="s">
        <v>431</v>
      </c>
      <c r="D355" s="239"/>
      <c r="E355" s="239" t="s">
        <v>226</v>
      </c>
      <c r="F355" s="239"/>
      <c r="G355" s="239" t="s">
        <v>229</v>
      </c>
      <c r="H355" s="240"/>
      <c r="I355" s="240"/>
      <c r="J355" s="240"/>
      <c r="K355" s="240">
        <v>188.53</v>
      </c>
      <c r="L355" s="239"/>
      <c r="M355" s="240"/>
      <c r="N355" s="241"/>
      <c r="O355" s="239" t="s">
        <v>227</v>
      </c>
      <c r="P355" s="239"/>
      <c r="Q355" s="239" t="s">
        <v>400</v>
      </c>
      <c r="R355" s="239"/>
      <c r="S355" s="239"/>
      <c r="T355" s="239"/>
      <c r="U355" s="239">
        <v>1550</v>
      </c>
    </row>
    <row r="356" spans="1:21" x14ac:dyDescent="0.25">
      <c r="A356">
        <f t="shared" si="5"/>
        <v>1551</v>
      </c>
      <c r="B356" s="154">
        <f>IF(O356="PESO",VALUE(K356),K356*EERR!$D$2)</f>
        <v>874969.29999999993</v>
      </c>
      <c r="C356" s="239" t="s">
        <v>432</v>
      </c>
      <c r="D356" s="239"/>
      <c r="E356" s="239" t="s">
        <v>226</v>
      </c>
      <c r="F356" s="239"/>
      <c r="G356" s="239" t="s">
        <v>229</v>
      </c>
      <c r="H356" s="240"/>
      <c r="I356" s="240"/>
      <c r="J356" s="240"/>
      <c r="K356" s="240">
        <v>987.55</v>
      </c>
      <c r="L356" s="239"/>
      <c r="M356" s="240"/>
      <c r="N356" s="241"/>
      <c r="O356" s="239" t="s">
        <v>227</v>
      </c>
      <c r="P356" s="239"/>
      <c r="Q356" s="239" t="s">
        <v>343</v>
      </c>
      <c r="R356" s="239"/>
      <c r="S356" s="239"/>
      <c r="T356" s="239"/>
      <c r="U356" s="239">
        <v>1551</v>
      </c>
    </row>
    <row r="357" spans="1:21" x14ac:dyDescent="0.25">
      <c r="A357">
        <f t="shared" si="5"/>
        <v>1552</v>
      </c>
      <c r="B357" s="154">
        <f>IF(O357="PESO",VALUE(K357),K357*EERR!$D$2)</f>
        <v>349987.72</v>
      </c>
      <c r="C357" s="239" t="s">
        <v>433</v>
      </c>
      <c r="D357" s="239"/>
      <c r="E357" s="239" t="s">
        <v>226</v>
      </c>
      <c r="F357" s="239"/>
      <c r="G357" s="239" t="s">
        <v>229</v>
      </c>
      <c r="H357" s="240"/>
      <c r="I357" s="240"/>
      <c r="J357" s="240"/>
      <c r="K357" s="240">
        <v>395.02</v>
      </c>
      <c r="L357" s="239"/>
      <c r="M357" s="240"/>
      <c r="N357" s="241"/>
      <c r="O357" s="239" t="s">
        <v>227</v>
      </c>
      <c r="P357" s="239"/>
      <c r="Q357" s="239" t="s">
        <v>434</v>
      </c>
      <c r="R357" s="239"/>
      <c r="S357" s="239"/>
      <c r="T357" s="239"/>
      <c r="U357" s="239">
        <v>1552</v>
      </c>
    </row>
    <row r="358" spans="1:21" x14ac:dyDescent="0.25">
      <c r="A358">
        <f t="shared" si="5"/>
        <v>1553</v>
      </c>
      <c r="B358" s="154">
        <f>IF(O358="PESO",VALUE(K358),K358*EERR!$D$2)</f>
        <v>199490</v>
      </c>
      <c r="C358" s="239" t="s">
        <v>435</v>
      </c>
      <c r="D358" s="239"/>
      <c r="E358" s="239" t="s">
        <v>189</v>
      </c>
      <c r="F358" s="239"/>
      <c r="G358" s="239" t="s">
        <v>235</v>
      </c>
      <c r="H358" s="240"/>
      <c r="I358" s="240"/>
      <c r="J358" s="240"/>
      <c r="K358" s="240">
        <v>199490</v>
      </c>
      <c r="L358" s="239"/>
      <c r="M358" s="240"/>
      <c r="N358" s="241"/>
      <c r="O358" s="239" t="s">
        <v>213</v>
      </c>
      <c r="P358" s="239"/>
      <c r="Q358" s="239" t="s">
        <v>436</v>
      </c>
      <c r="R358" s="239"/>
      <c r="S358" s="239"/>
      <c r="T358" s="239"/>
      <c r="U358" s="239">
        <v>1553</v>
      </c>
    </row>
    <row r="359" spans="1:21" x14ac:dyDescent="0.25">
      <c r="A359">
        <f t="shared" si="5"/>
        <v>1554</v>
      </c>
      <c r="B359" s="154">
        <f>IF(O359="PESO",VALUE(K359),K359*EERR!$D$2)</f>
        <v>168340</v>
      </c>
      <c r="C359" s="239" t="s">
        <v>437</v>
      </c>
      <c r="D359" s="239"/>
      <c r="E359" s="239" t="s">
        <v>226</v>
      </c>
      <c r="F359" s="239"/>
      <c r="G359" s="239" t="s">
        <v>229</v>
      </c>
      <c r="H359" s="240"/>
      <c r="I359" s="240"/>
      <c r="J359" s="240"/>
      <c r="K359" s="240">
        <v>190</v>
      </c>
      <c r="L359" s="239"/>
      <c r="M359" s="240"/>
      <c r="N359" s="241"/>
      <c r="O359" s="239" t="s">
        <v>227</v>
      </c>
      <c r="P359" s="239"/>
      <c r="Q359" s="239" t="s">
        <v>438</v>
      </c>
      <c r="R359" s="239"/>
      <c r="S359" s="239"/>
      <c r="T359" s="239"/>
      <c r="U359" s="239">
        <v>1554</v>
      </c>
    </row>
    <row r="360" spans="1:21" x14ac:dyDescent="0.25">
      <c r="A360">
        <f t="shared" si="5"/>
        <v>1555</v>
      </c>
      <c r="B360" s="154">
        <f>IF(O360="PESO",VALUE(K360),K360*EERR!$D$2)</f>
        <v>622126</v>
      </c>
      <c r="C360" s="239" t="s">
        <v>439</v>
      </c>
      <c r="D360" s="239"/>
      <c r="E360" s="239" t="s">
        <v>189</v>
      </c>
      <c r="F360" s="239"/>
      <c r="G360" s="239" t="s">
        <v>235</v>
      </c>
      <c r="H360" s="240"/>
      <c r="I360" s="240"/>
      <c r="J360" s="240"/>
      <c r="K360" s="240">
        <v>622126</v>
      </c>
      <c r="L360" s="239"/>
      <c r="M360" s="240"/>
      <c r="N360" s="241"/>
      <c r="O360" s="239" t="s">
        <v>213</v>
      </c>
      <c r="P360" s="239"/>
      <c r="Q360" s="239" t="s">
        <v>440</v>
      </c>
      <c r="R360" s="239"/>
      <c r="S360" s="239"/>
      <c r="T360" s="239"/>
      <c r="U360" s="239">
        <v>1555</v>
      </c>
    </row>
    <row r="361" spans="1:21" x14ac:dyDescent="0.25">
      <c r="A361">
        <f t="shared" si="5"/>
        <v>1556</v>
      </c>
      <c r="B361" s="154">
        <f>IF(O361="PESO",VALUE(K361),K361*EERR!$D$2)</f>
        <v>1043435</v>
      </c>
      <c r="C361" s="239" t="s">
        <v>441</v>
      </c>
      <c r="D361" s="239"/>
      <c r="E361" s="239" t="s">
        <v>189</v>
      </c>
      <c r="F361" s="239"/>
      <c r="G361" s="239" t="s">
        <v>235</v>
      </c>
      <c r="H361" s="240"/>
      <c r="I361" s="240"/>
      <c r="J361" s="240"/>
      <c r="K361" s="240">
        <v>1043435</v>
      </c>
      <c r="L361" s="239"/>
      <c r="M361" s="240"/>
      <c r="N361" s="241"/>
      <c r="O361" s="239" t="s">
        <v>213</v>
      </c>
      <c r="P361" s="239"/>
      <c r="Q361" s="239" t="s">
        <v>347</v>
      </c>
      <c r="R361" s="239"/>
      <c r="S361" s="239"/>
      <c r="T361" s="239"/>
      <c r="U361" s="239">
        <v>1556</v>
      </c>
    </row>
    <row r="362" spans="1:21" x14ac:dyDescent="0.25">
      <c r="A362">
        <f t="shared" si="5"/>
        <v>1557</v>
      </c>
      <c r="B362" s="154">
        <f>IF(O362="PESO",VALUE(K362),K362*EERR!$D$2)</f>
        <v>334075.15999999997</v>
      </c>
      <c r="C362" s="239" t="s">
        <v>442</v>
      </c>
      <c r="D362" s="239"/>
      <c r="E362" s="239" t="s">
        <v>226</v>
      </c>
      <c r="F362" s="239"/>
      <c r="G362" s="239" t="s">
        <v>229</v>
      </c>
      <c r="H362" s="240"/>
      <c r="I362" s="240"/>
      <c r="J362" s="240"/>
      <c r="K362" s="240">
        <v>377.06</v>
      </c>
      <c r="L362" s="239"/>
      <c r="M362" s="240"/>
      <c r="N362" s="241"/>
      <c r="O362" s="239" t="s">
        <v>227</v>
      </c>
      <c r="P362" s="239"/>
      <c r="Q362" s="239" t="s">
        <v>351</v>
      </c>
      <c r="R362" s="239"/>
      <c r="S362" s="239"/>
      <c r="T362" s="239"/>
      <c r="U362" s="239">
        <v>1557</v>
      </c>
    </row>
    <row r="363" spans="1:21" x14ac:dyDescent="0.25">
      <c r="A363">
        <f t="shared" ref="A363:A396" si="6">VALUE(U363)</f>
        <v>1558</v>
      </c>
      <c r="B363" s="154">
        <f>IF(O363="PESO",VALUE(K363),K363*EERR!$D$2)</f>
        <v>3000</v>
      </c>
      <c r="C363" s="239" t="s">
        <v>443</v>
      </c>
      <c r="D363" s="239"/>
      <c r="E363" s="239" t="s">
        <v>189</v>
      </c>
      <c r="F363" s="239"/>
      <c r="G363" s="239" t="s">
        <v>235</v>
      </c>
      <c r="H363" s="240"/>
      <c r="I363" s="240"/>
      <c r="J363" s="240"/>
      <c r="K363" s="240">
        <v>3000</v>
      </c>
      <c r="L363" s="239"/>
      <c r="M363" s="240"/>
      <c r="N363" s="241"/>
      <c r="O363" s="239" t="s">
        <v>213</v>
      </c>
      <c r="P363" s="239"/>
      <c r="Q363" s="239" t="s">
        <v>444</v>
      </c>
      <c r="R363" s="239"/>
      <c r="S363" s="239"/>
      <c r="T363" s="239"/>
      <c r="U363" s="239">
        <v>1558</v>
      </c>
    </row>
    <row r="364" spans="1:21" x14ac:dyDescent="0.25">
      <c r="A364">
        <f t="shared" si="6"/>
        <v>1559</v>
      </c>
      <c r="B364" s="154">
        <f>IF(O364="PESO",VALUE(K364),K364*EERR!$D$2)</f>
        <v>185599.28</v>
      </c>
      <c r="C364" s="239" t="s">
        <v>445</v>
      </c>
      <c r="D364" s="239"/>
      <c r="E364" s="239" t="s">
        <v>226</v>
      </c>
      <c r="F364" s="239"/>
      <c r="G364" s="239" t="s">
        <v>229</v>
      </c>
      <c r="H364" s="240"/>
      <c r="I364" s="240"/>
      <c r="J364" s="240"/>
      <c r="K364" s="240">
        <v>209.48</v>
      </c>
      <c r="L364" s="239"/>
      <c r="M364" s="240"/>
      <c r="N364" s="241"/>
      <c r="O364" s="239" t="s">
        <v>227</v>
      </c>
      <c r="P364" s="239"/>
      <c r="Q364" s="239" t="s">
        <v>446</v>
      </c>
      <c r="R364" s="239"/>
      <c r="S364" s="239"/>
      <c r="T364" s="239"/>
      <c r="U364" s="239">
        <v>1559</v>
      </c>
    </row>
    <row r="365" spans="1:21" x14ac:dyDescent="0.25">
      <c r="A365">
        <f t="shared" si="6"/>
        <v>1560</v>
      </c>
      <c r="B365" s="154">
        <f>IF(O365="PESO",VALUE(K365),K365*EERR!$D$2)</f>
        <v>185599.28</v>
      </c>
      <c r="C365" s="239" t="s">
        <v>447</v>
      </c>
      <c r="D365" s="239"/>
      <c r="E365" s="239" t="s">
        <v>226</v>
      </c>
      <c r="F365" s="239"/>
      <c r="G365" s="239" t="s">
        <v>229</v>
      </c>
      <c r="H365" s="240"/>
      <c r="I365" s="240"/>
      <c r="J365" s="240"/>
      <c r="K365" s="240">
        <v>209.48</v>
      </c>
      <c r="L365" s="239"/>
      <c r="M365" s="240"/>
      <c r="N365" s="241"/>
      <c r="O365" s="239" t="s">
        <v>227</v>
      </c>
      <c r="P365" s="239"/>
      <c r="Q365" s="239" t="s">
        <v>448</v>
      </c>
      <c r="R365" s="239"/>
      <c r="S365" s="239"/>
      <c r="T365" s="239"/>
      <c r="U365" s="239">
        <v>1560</v>
      </c>
    </row>
    <row r="366" spans="1:21" x14ac:dyDescent="0.25">
      <c r="A366">
        <f t="shared" si="6"/>
        <v>1561</v>
      </c>
      <c r="B366" s="154">
        <f>IF(O366="PESO",VALUE(K366),K366*EERR!$D$2)</f>
        <v>818132.4</v>
      </c>
      <c r="C366" s="239" t="s">
        <v>449</v>
      </c>
      <c r="D366" s="239"/>
      <c r="E366" s="239" t="s">
        <v>226</v>
      </c>
      <c r="F366" s="239"/>
      <c r="G366" s="239" t="s">
        <v>229</v>
      </c>
      <c r="H366" s="240"/>
      <c r="I366" s="240"/>
      <c r="J366" s="240"/>
      <c r="K366" s="240">
        <v>923.4</v>
      </c>
      <c r="L366" s="239"/>
      <c r="M366" s="240"/>
      <c r="N366" s="241"/>
      <c r="O366" s="239" t="s">
        <v>227</v>
      </c>
      <c r="P366" s="239"/>
      <c r="Q366" s="239" t="s">
        <v>450</v>
      </c>
      <c r="R366" s="239"/>
      <c r="S366" s="239"/>
      <c r="T366" s="239"/>
      <c r="U366" s="239">
        <v>1561</v>
      </c>
    </row>
    <row r="367" spans="1:21" x14ac:dyDescent="0.25">
      <c r="A367">
        <f t="shared" si="6"/>
        <v>1562</v>
      </c>
      <c r="B367" s="154">
        <f>IF(O367="PESO",VALUE(K367),K367*EERR!$D$2)</f>
        <v>45000</v>
      </c>
      <c r="C367" s="239" t="s">
        <v>451</v>
      </c>
      <c r="D367" s="239"/>
      <c r="E367" s="239" t="s">
        <v>189</v>
      </c>
      <c r="F367" s="239"/>
      <c r="G367" s="239" t="s">
        <v>235</v>
      </c>
      <c r="H367" s="240"/>
      <c r="I367" s="240"/>
      <c r="J367" s="240"/>
      <c r="K367" s="240">
        <v>45000</v>
      </c>
      <c r="L367" s="239"/>
      <c r="M367" s="240"/>
      <c r="N367" s="241"/>
      <c r="O367" s="239" t="s">
        <v>213</v>
      </c>
      <c r="P367" s="239"/>
      <c r="Q367" s="239" t="s">
        <v>357</v>
      </c>
      <c r="R367" s="239"/>
      <c r="S367" s="239"/>
      <c r="T367" s="239"/>
      <c r="U367" s="239">
        <v>1562</v>
      </c>
    </row>
    <row r="368" spans="1:21" x14ac:dyDescent="0.25">
      <c r="A368">
        <f t="shared" si="6"/>
        <v>1563</v>
      </c>
      <c r="B368" s="154">
        <f>IF(O368="PESO",VALUE(K368),K368*EERR!$D$2)</f>
        <v>654505.92000000004</v>
      </c>
      <c r="C368" s="239" t="s">
        <v>452</v>
      </c>
      <c r="D368" s="239"/>
      <c r="E368" s="239" t="s">
        <v>226</v>
      </c>
      <c r="F368" s="239"/>
      <c r="G368" s="239" t="s">
        <v>229</v>
      </c>
      <c r="H368" s="240"/>
      <c r="I368" s="240"/>
      <c r="J368" s="240"/>
      <c r="K368" s="240">
        <v>738.72</v>
      </c>
      <c r="L368" s="239"/>
      <c r="M368" s="240"/>
      <c r="N368" s="241"/>
      <c r="O368" s="239" t="s">
        <v>227</v>
      </c>
      <c r="P368" s="239"/>
      <c r="Q368" s="239" t="s">
        <v>453</v>
      </c>
      <c r="R368" s="239"/>
      <c r="S368" s="239"/>
      <c r="T368" s="239"/>
      <c r="U368" s="239">
        <v>1563</v>
      </c>
    </row>
    <row r="369" spans="1:21" x14ac:dyDescent="0.25">
      <c r="A369">
        <f t="shared" si="6"/>
        <v>1564</v>
      </c>
      <c r="B369" s="154">
        <f>IF(O369="PESO",VALUE(K369),K369*EERR!$D$2)</f>
        <v>26580</v>
      </c>
      <c r="C369" s="239" t="s">
        <v>452</v>
      </c>
      <c r="D369" s="239"/>
      <c r="E369" s="239" t="s">
        <v>226</v>
      </c>
      <c r="F369" s="239"/>
      <c r="G369" s="239" t="s">
        <v>229</v>
      </c>
      <c r="H369" s="240"/>
      <c r="I369" s="240"/>
      <c r="J369" s="240"/>
      <c r="K369" s="240">
        <v>30</v>
      </c>
      <c r="L369" s="239"/>
      <c r="M369" s="240"/>
      <c r="N369" s="241"/>
      <c r="O369" s="239" t="s">
        <v>227</v>
      </c>
      <c r="P369" s="239"/>
      <c r="Q369" s="239" t="s">
        <v>421</v>
      </c>
      <c r="R369" s="239"/>
      <c r="S369" s="239"/>
      <c r="T369" s="239"/>
      <c r="U369" s="239">
        <v>1564</v>
      </c>
    </row>
    <row r="370" spans="1:21" x14ac:dyDescent="0.25">
      <c r="A370">
        <f t="shared" si="6"/>
        <v>1565</v>
      </c>
      <c r="B370" s="154">
        <f>IF(O370="PESO",VALUE(K370),K370*EERR!$D$2)</f>
        <v>194432.69999999998</v>
      </c>
      <c r="C370" s="239" t="s">
        <v>452</v>
      </c>
      <c r="D370" s="239"/>
      <c r="E370" s="239" t="s">
        <v>226</v>
      </c>
      <c r="F370" s="239"/>
      <c r="G370" s="239" t="s">
        <v>229</v>
      </c>
      <c r="H370" s="240"/>
      <c r="I370" s="240"/>
      <c r="J370" s="240"/>
      <c r="K370" s="240">
        <v>219.45</v>
      </c>
      <c r="L370" s="239"/>
      <c r="M370" s="240"/>
      <c r="N370" s="241"/>
      <c r="O370" s="239" t="s">
        <v>227</v>
      </c>
      <c r="P370" s="239"/>
      <c r="Q370" s="239" t="s">
        <v>454</v>
      </c>
      <c r="R370" s="239"/>
      <c r="S370" s="239"/>
      <c r="T370" s="239"/>
      <c r="U370" s="239">
        <v>1565</v>
      </c>
    </row>
    <row r="371" spans="1:21" x14ac:dyDescent="0.25">
      <c r="A371">
        <f t="shared" si="6"/>
        <v>1566</v>
      </c>
      <c r="B371" s="154">
        <f>IF(O371="PESO",VALUE(K371),K371*EERR!$D$2)</f>
        <v>4500</v>
      </c>
      <c r="C371" s="239" t="s">
        <v>455</v>
      </c>
      <c r="D371" s="239"/>
      <c r="E371" s="239" t="s">
        <v>189</v>
      </c>
      <c r="F371" s="239"/>
      <c r="G371" s="239" t="s">
        <v>235</v>
      </c>
      <c r="H371" s="240"/>
      <c r="I371" s="240"/>
      <c r="J371" s="240"/>
      <c r="K371" s="240">
        <v>4500</v>
      </c>
      <c r="L371" s="239"/>
      <c r="M371" s="240"/>
      <c r="N371" s="241"/>
      <c r="O371" s="239" t="s">
        <v>213</v>
      </c>
      <c r="P371" s="239"/>
      <c r="Q371" s="239" t="s">
        <v>456</v>
      </c>
      <c r="R371" s="239"/>
      <c r="S371" s="239"/>
      <c r="T371" s="239"/>
      <c r="U371" s="239">
        <v>1566</v>
      </c>
    </row>
    <row r="372" spans="1:21" x14ac:dyDescent="0.25">
      <c r="A372">
        <f t="shared" si="6"/>
        <v>1567</v>
      </c>
      <c r="B372" s="154">
        <f>IF(O372="PESO",VALUE(K372),K372*EERR!$D$2)</f>
        <v>742397.12</v>
      </c>
      <c r="C372" s="239" t="s">
        <v>457</v>
      </c>
      <c r="D372" s="239"/>
      <c r="E372" s="239" t="s">
        <v>226</v>
      </c>
      <c r="F372" s="239"/>
      <c r="G372" s="239" t="s">
        <v>229</v>
      </c>
      <c r="H372" s="240"/>
      <c r="I372" s="240"/>
      <c r="J372" s="240"/>
      <c r="K372" s="240">
        <v>837.92</v>
      </c>
      <c r="L372" s="239"/>
      <c r="M372" s="240"/>
      <c r="N372" s="241"/>
      <c r="O372" s="239" t="s">
        <v>227</v>
      </c>
      <c r="P372" s="239"/>
      <c r="Q372" s="239" t="s">
        <v>458</v>
      </c>
      <c r="R372" s="239"/>
      <c r="S372" s="239"/>
      <c r="T372" s="239"/>
      <c r="U372" s="239">
        <v>1567</v>
      </c>
    </row>
    <row r="373" spans="1:21" x14ac:dyDescent="0.25">
      <c r="A373">
        <f t="shared" si="6"/>
        <v>1568</v>
      </c>
      <c r="B373" s="154">
        <f>IF(O373="PESO",VALUE(K373),K373*EERR!$D$2)</f>
        <v>167037.57999999999</v>
      </c>
      <c r="C373" s="239" t="s">
        <v>459</v>
      </c>
      <c r="D373" s="239"/>
      <c r="E373" s="239" t="s">
        <v>226</v>
      </c>
      <c r="F373" s="239"/>
      <c r="G373" s="239" t="s">
        <v>229</v>
      </c>
      <c r="H373" s="240"/>
      <c r="I373" s="240"/>
      <c r="J373" s="240"/>
      <c r="K373" s="240">
        <v>188.53</v>
      </c>
      <c r="L373" s="239"/>
      <c r="M373" s="240"/>
      <c r="N373" s="241"/>
      <c r="O373" s="239" t="s">
        <v>227</v>
      </c>
      <c r="P373" s="239"/>
      <c r="Q373" s="239" t="s">
        <v>460</v>
      </c>
      <c r="R373" s="239"/>
      <c r="S373" s="239"/>
      <c r="T373" s="239"/>
      <c r="U373" s="239">
        <v>1568</v>
      </c>
    </row>
    <row r="374" spans="1:21" x14ac:dyDescent="0.25">
      <c r="A374">
        <f t="shared" si="6"/>
        <v>1569</v>
      </c>
      <c r="B374" s="154">
        <f>IF(O374="PESO",VALUE(K374),K374*EERR!$D$2)</f>
        <v>388865.39999999997</v>
      </c>
      <c r="C374" s="239" t="s">
        <v>461</v>
      </c>
      <c r="D374" s="239"/>
      <c r="E374" s="239" t="s">
        <v>226</v>
      </c>
      <c r="F374" s="239"/>
      <c r="G374" s="239" t="s">
        <v>229</v>
      </c>
      <c r="H374" s="240"/>
      <c r="I374" s="240"/>
      <c r="J374" s="240"/>
      <c r="K374" s="240">
        <v>438.9</v>
      </c>
      <c r="L374" s="239"/>
      <c r="M374" s="240"/>
      <c r="N374" s="241"/>
      <c r="O374" s="239" t="s">
        <v>227</v>
      </c>
      <c r="P374" s="239"/>
      <c r="Q374" s="239" t="s">
        <v>462</v>
      </c>
      <c r="R374" s="239"/>
      <c r="S374" s="239"/>
      <c r="T374" s="239"/>
      <c r="U374" s="239">
        <v>1569</v>
      </c>
    </row>
    <row r="375" spans="1:21" x14ac:dyDescent="0.25">
      <c r="A375">
        <f t="shared" si="6"/>
        <v>1570</v>
      </c>
      <c r="B375" s="154">
        <f>IF(O375="PESO",VALUE(K375),K375*EERR!$D$2)</f>
        <v>174993.86</v>
      </c>
      <c r="C375" s="239" t="s">
        <v>463</v>
      </c>
      <c r="D375" s="239"/>
      <c r="E375" s="239" t="s">
        <v>226</v>
      </c>
      <c r="F375" s="239"/>
      <c r="G375" s="239" t="s">
        <v>229</v>
      </c>
      <c r="H375" s="240"/>
      <c r="I375" s="240"/>
      <c r="J375" s="240"/>
      <c r="K375" s="240">
        <v>197.51</v>
      </c>
      <c r="L375" s="239"/>
      <c r="M375" s="240"/>
      <c r="N375" s="241"/>
      <c r="O375" s="239" t="s">
        <v>227</v>
      </c>
      <c r="P375" s="239"/>
      <c r="Q375" s="239" t="s">
        <v>464</v>
      </c>
      <c r="R375" s="239"/>
      <c r="S375" s="239"/>
      <c r="T375" s="239"/>
      <c r="U375" s="239">
        <v>1570</v>
      </c>
    </row>
    <row r="376" spans="1:21" x14ac:dyDescent="0.25">
      <c r="A376">
        <f t="shared" si="6"/>
        <v>1571</v>
      </c>
      <c r="B376" s="154">
        <f>IF(O376="PESO",VALUE(K376),K376*EERR!$D$2)</f>
        <v>407043</v>
      </c>
      <c r="C376" s="239" t="s">
        <v>465</v>
      </c>
      <c r="D376" s="239"/>
      <c r="E376" s="239" t="s">
        <v>189</v>
      </c>
      <c r="F376" s="239"/>
      <c r="G376" s="239" t="s">
        <v>235</v>
      </c>
      <c r="H376" s="240"/>
      <c r="I376" s="240"/>
      <c r="J376" s="240"/>
      <c r="K376" s="240">
        <v>407043</v>
      </c>
      <c r="L376" s="239"/>
      <c r="M376" s="240"/>
      <c r="N376" s="241"/>
      <c r="O376" s="239" t="s">
        <v>213</v>
      </c>
      <c r="P376" s="239"/>
      <c r="Q376" s="239" t="s">
        <v>466</v>
      </c>
      <c r="R376" s="239"/>
      <c r="S376" s="239"/>
      <c r="T376" s="239"/>
      <c r="U376" s="239">
        <v>1571</v>
      </c>
    </row>
    <row r="377" spans="1:21" x14ac:dyDescent="0.25">
      <c r="A377">
        <f t="shared" si="6"/>
        <v>1572</v>
      </c>
      <c r="B377" s="154">
        <f>IF(O377="PESO",VALUE(K377),K377*EERR!$D$2)</f>
        <v>16000</v>
      </c>
      <c r="C377" s="239" t="s">
        <v>467</v>
      </c>
      <c r="D377" s="239"/>
      <c r="E377" s="239" t="s">
        <v>189</v>
      </c>
      <c r="F377" s="239"/>
      <c r="G377" s="239" t="s">
        <v>235</v>
      </c>
      <c r="H377" s="240"/>
      <c r="I377" s="240"/>
      <c r="J377" s="240"/>
      <c r="K377" s="240">
        <v>16000</v>
      </c>
      <c r="L377" s="239"/>
      <c r="M377" s="240"/>
      <c r="N377" s="241"/>
      <c r="O377" s="239" t="s">
        <v>213</v>
      </c>
      <c r="P377" s="239"/>
      <c r="Q377" s="239" t="s">
        <v>468</v>
      </c>
      <c r="R377" s="239"/>
      <c r="S377" s="239"/>
      <c r="T377" s="239"/>
      <c r="U377" s="239">
        <v>1572</v>
      </c>
    </row>
    <row r="378" spans="1:21" x14ac:dyDescent="0.25">
      <c r="A378">
        <f t="shared" si="6"/>
        <v>1573</v>
      </c>
      <c r="B378" s="154">
        <f>IF(O378="PESO",VALUE(K378),K378*EERR!$D$2)</f>
        <v>405765</v>
      </c>
      <c r="C378" s="239" t="s">
        <v>469</v>
      </c>
      <c r="D378" s="239"/>
      <c r="E378" s="239" t="s">
        <v>189</v>
      </c>
      <c r="F378" s="239"/>
      <c r="G378" s="239" t="s">
        <v>235</v>
      </c>
      <c r="H378" s="240"/>
      <c r="I378" s="240"/>
      <c r="J378" s="240"/>
      <c r="K378" s="240">
        <v>405765</v>
      </c>
      <c r="L378" s="239"/>
      <c r="M378" s="240"/>
      <c r="N378" s="241"/>
      <c r="O378" s="239" t="s">
        <v>213</v>
      </c>
      <c r="P378" s="239"/>
      <c r="Q378" s="239" t="s">
        <v>470</v>
      </c>
      <c r="R378" s="239"/>
      <c r="S378" s="239"/>
      <c r="T378" s="239"/>
      <c r="U378" s="239">
        <v>1573</v>
      </c>
    </row>
    <row r="379" spans="1:21" x14ac:dyDescent="0.25">
      <c r="A379">
        <f t="shared" si="6"/>
        <v>1574</v>
      </c>
      <c r="B379" s="154">
        <f>IF(O379="PESO",VALUE(K379),K379*EERR!$D$2)</f>
        <v>181807.19999999998</v>
      </c>
      <c r="C379" s="239" t="s">
        <v>471</v>
      </c>
      <c r="D379" s="239"/>
      <c r="E379" s="239" t="s">
        <v>226</v>
      </c>
      <c r="F379" s="239"/>
      <c r="G379" s="239" t="s">
        <v>229</v>
      </c>
      <c r="H379" s="240"/>
      <c r="I379" s="240"/>
      <c r="J379" s="240"/>
      <c r="K379" s="240">
        <v>205.2</v>
      </c>
      <c r="L379" s="239"/>
      <c r="M379" s="240"/>
      <c r="N379" s="241"/>
      <c r="O379" s="239" t="s">
        <v>227</v>
      </c>
      <c r="P379" s="239"/>
      <c r="Q379" s="239" t="s">
        <v>472</v>
      </c>
      <c r="R379" s="239"/>
      <c r="S379" s="239"/>
      <c r="T379" s="239"/>
      <c r="U379" s="239">
        <v>1574</v>
      </c>
    </row>
    <row r="380" spans="1:21" x14ac:dyDescent="0.25">
      <c r="A380">
        <f t="shared" si="6"/>
        <v>1575</v>
      </c>
      <c r="B380" s="154">
        <f>IF(O380="PESO",VALUE(K380),K380*EERR!$D$2)</f>
        <v>167037.57999999999</v>
      </c>
      <c r="C380" s="239" t="s">
        <v>473</v>
      </c>
      <c r="D380" s="239"/>
      <c r="E380" s="239" t="s">
        <v>226</v>
      </c>
      <c r="F380" s="239"/>
      <c r="G380" s="239" t="s">
        <v>229</v>
      </c>
      <c r="H380" s="240"/>
      <c r="I380" s="240"/>
      <c r="J380" s="240"/>
      <c r="K380" s="240">
        <v>188.53</v>
      </c>
      <c r="L380" s="239"/>
      <c r="M380" s="240"/>
      <c r="N380" s="241"/>
      <c r="O380" s="239" t="s">
        <v>227</v>
      </c>
      <c r="P380" s="239"/>
      <c r="Q380" s="239" t="s">
        <v>474</v>
      </c>
      <c r="R380" s="239"/>
      <c r="S380" s="239"/>
      <c r="T380" s="239"/>
      <c r="U380" s="239">
        <v>1575</v>
      </c>
    </row>
    <row r="381" spans="1:21" x14ac:dyDescent="0.25">
      <c r="A381">
        <f t="shared" si="6"/>
        <v>1576</v>
      </c>
      <c r="B381" s="154">
        <f>IF(O381="PESO",VALUE(K381),K381*EERR!$D$2)</f>
        <v>167037.57999999999</v>
      </c>
      <c r="C381" s="239" t="s">
        <v>475</v>
      </c>
      <c r="D381" s="239"/>
      <c r="E381" s="239" t="s">
        <v>226</v>
      </c>
      <c r="F381" s="239"/>
      <c r="G381" s="239" t="s">
        <v>229</v>
      </c>
      <c r="H381" s="240"/>
      <c r="I381" s="240"/>
      <c r="J381" s="240"/>
      <c r="K381" s="240">
        <v>188.53</v>
      </c>
      <c r="L381" s="239"/>
      <c r="M381" s="240"/>
      <c r="N381" s="241"/>
      <c r="O381" s="239" t="s">
        <v>227</v>
      </c>
      <c r="P381" s="239"/>
      <c r="Q381" s="239" t="s">
        <v>476</v>
      </c>
      <c r="R381" s="239"/>
      <c r="S381" s="239"/>
      <c r="T381" s="239"/>
      <c r="U381" s="239">
        <v>1576</v>
      </c>
    </row>
    <row r="382" spans="1:21" x14ac:dyDescent="0.25">
      <c r="A382">
        <f t="shared" si="6"/>
        <v>1577</v>
      </c>
      <c r="B382" s="154">
        <f>IF(O382="PESO",VALUE(K382),K382*EERR!$D$2)</f>
        <v>194432.69999999998</v>
      </c>
      <c r="C382" s="239" t="s">
        <v>477</v>
      </c>
      <c r="D382" s="239"/>
      <c r="E382" s="239" t="s">
        <v>226</v>
      </c>
      <c r="F382" s="239"/>
      <c r="G382" s="239" t="s">
        <v>229</v>
      </c>
      <c r="H382" s="240"/>
      <c r="I382" s="240"/>
      <c r="J382" s="240"/>
      <c r="K382" s="240">
        <v>219.45</v>
      </c>
      <c r="L382" s="239"/>
      <c r="M382" s="240"/>
      <c r="N382" s="241"/>
      <c r="O382" s="239" t="s">
        <v>227</v>
      </c>
      <c r="P382" s="239"/>
      <c r="Q382" s="239" t="s">
        <v>478</v>
      </c>
      <c r="R382" s="239"/>
      <c r="S382" s="239"/>
      <c r="T382" s="239"/>
      <c r="U382" s="239">
        <v>1577</v>
      </c>
    </row>
    <row r="383" spans="1:21" x14ac:dyDescent="0.25">
      <c r="A383">
        <f t="shared" si="6"/>
        <v>1578</v>
      </c>
      <c r="B383" s="154">
        <f>IF(O383="PESO",VALUE(K383),K383*EERR!$D$2)</f>
        <v>174993.86</v>
      </c>
      <c r="C383" s="239" t="s">
        <v>479</v>
      </c>
      <c r="D383" s="239"/>
      <c r="E383" s="239" t="s">
        <v>226</v>
      </c>
      <c r="F383" s="239"/>
      <c r="G383" s="239" t="s">
        <v>229</v>
      </c>
      <c r="H383" s="240"/>
      <c r="I383" s="240"/>
      <c r="J383" s="240"/>
      <c r="K383" s="240">
        <v>197.51</v>
      </c>
      <c r="L383" s="239"/>
      <c r="M383" s="240"/>
      <c r="N383" s="241"/>
      <c r="O383" s="239" t="s">
        <v>227</v>
      </c>
      <c r="P383" s="239"/>
      <c r="Q383" s="239" t="s">
        <v>480</v>
      </c>
      <c r="R383" s="239"/>
      <c r="S383" s="239"/>
      <c r="T383" s="239"/>
      <c r="U383" s="239">
        <v>1578</v>
      </c>
    </row>
    <row r="384" spans="1:21" x14ac:dyDescent="0.25">
      <c r="A384">
        <f t="shared" si="6"/>
        <v>1579</v>
      </c>
      <c r="B384" s="154">
        <f>IF(O384="PESO",VALUE(K384),K384*EERR!$D$2)</f>
        <v>167037.57999999999</v>
      </c>
      <c r="C384" s="239" t="s">
        <v>481</v>
      </c>
      <c r="D384" s="239"/>
      <c r="E384" s="239" t="s">
        <v>226</v>
      </c>
      <c r="F384" s="239"/>
      <c r="G384" s="239" t="s">
        <v>229</v>
      </c>
      <c r="H384" s="240"/>
      <c r="I384" s="240"/>
      <c r="J384" s="240"/>
      <c r="K384" s="240">
        <v>188.53</v>
      </c>
      <c r="L384" s="239"/>
      <c r="M384" s="240"/>
      <c r="N384" s="241"/>
      <c r="O384" s="239" t="s">
        <v>227</v>
      </c>
      <c r="P384" s="239"/>
      <c r="Q384" s="239" t="s">
        <v>482</v>
      </c>
      <c r="R384" s="239"/>
      <c r="S384" s="239"/>
      <c r="T384" s="239"/>
      <c r="U384" s="239">
        <v>1579</v>
      </c>
    </row>
    <row r="385" spans="1:21" x14ac:dyDescent="0.25">
      <c r="A385">
        <f t="shared" si="6"/>
        <v>1580</v>
      </c>
      <c r="B385" s="154">
        <f>IF(O385="PESO",VALUE(K385),K385*EERR!$D$2)</f>
        <v>167037.57999999999</v>
      </c>
      <c r="C385" s="239" t="s">
        <v>483</v>
      </c>
      <c r="D385" s="239"/>
      <c r="E385" s="239" t="s">
        <v>226</v>
      </c>
      <c r="F385" s="239"/>
      <c r="G385" s="239" t="s">
        <v>229</v>
      </c>
      <c r="H385" s="240"/>
      <c r="I385" s="240"/>
      <c r="J385" s="240"/>
      <c r="K385" s="240">
        <v>188.53</v>
      </c>
      <c r="L385" s="239"/>
      <c r="M385" s="240"/>
      <c r="N385" s="241"/>
      <c r="O385" s="239" t="s">
        <v>227</v>
      </c>
      <c r="P385" s="239"/>
      <c r="Q385" s="239" t="s">
        <v>484</v>
      </c>
      <c r="R385" s="239"/>
      <c r="S385" s="239"/>
      <c r="T385" s="239"/>
      <c r="U385" s="239">
        <v>1580</v>
      </c>
    </row>
    <row r="386" spans="1:21" x14ac:dyDescent="0.25">
      <c r="A386">
        <f t="shared" si="6"/>
        <v>1581</v>
      </c>
      <c r="B386" s="154">
        <f>IF(O386="PESO",VALUE(K386),K386*EERR!$D$2)</f>
        <v>174993.86</v>
      </c>
      <c r="C386" s="239" t="s">
        <v>485</v>
      </c>
      <c r="D386" s="239"/>
      <c r="E386" s="239" t="s">
        <v>226</v>
      </c>
      <c r="F386" s="239"/>
      <c r="G386" s="239" t="s">
        <v>229</v>
      </c>
      <c r="H386" s="240"/>
      <c r="I386" s="240"/>
      <c r="J386" s="240"/>
      <c r="K386" s="240">
        <v>197.51</v>
      </c>
      <c r="L386" s="239"/>
      <c r="M386" s="240"/>
      <c r="N386" s="241"/>
      <c r="O386" s="239" t="s">
        <v>227</v>
      </c>
      <c r="P386" s="239"/>
      <c r="Q386" s="239" t="s">
        <v>486</v>
      </c>
      <c r="R386" s="239"/>
      <c r="S386" s="239"/>
      <c r="T386" s="239"/>
      <c r="U386" s="239">
        <v>1581</v>
      </c>
    </row>
    <row r="387" spans="1:21" x14ac:dyDescent="0.25">
      <c r="A387">
        <f t="shared" si="6"/>
        <v>1582</v>
      </c>
      <c r="B387" s="154">
        <f>IF(O387="PESO",VALUE(K387),K387*EERR!$D$2)</f>
        <v>185599.28</v>
      </c>
      <c r="C387" s="239" t="s">
        <v>487</v>
      </c>
      <c r="D387" s="239"/>
      <c r="E387" s="239" t="s">
        <v>226</v>
      </c>
      <c r="F387" s="239"/>
      <c r="G387" s="239" t="s">
        <v>229</v>
      </c>
      <c r="H387" s="240"/>
      <c r="I387" s="240"/>
      <c r="J387" s="240"/>
      <c r="K387" s="240">
        <v>209.48</v>
      </c>
      <c r="L387" s="239"/>
      <c r="M387" s="240"/>
      <c r="N387" s="241"/>
      <c r="O387" s="239" t="s">
        <v>227</v>
      </c>
      <c r="P387" s="239"/>
      <c r="Q387" s="239" t="s">
        <v>488</v>
      </c>
      <c r="R387" s="239"/>
      <c r="S387" s="239"/>
      <c r="T387" s="239"/>
      <c r="U387" s="239">
        <v>1582</v>
      </c>
    </row>
    <row r="388" spans="1:21" x14ac:dyDescent="0.25">
      <c r="A388">
        <f t="shared" si="6"/>
        <v>1583</v>
      </c>
      <c r="B388" s="154">
        <f>IF(O388="PESO",VALUE(K388),K388*EERR!$D$2)</f>
        <v>524981.57999999996</v>
      </c>
      <c r="C388" s="239" t="s">
        <v>489</v>
      </c>
      <c r="D388" s="239"/>
      <c r="E388" s="239" t="s">
        <v>226</v>
      </c>
      <c r="F388" s="239"/>
      <c r="G388" s="239" t="s">
        <v>229</v>
      </c>
      <c r="H388" s="240"/>
      <c r="I388" s="240"/>
      <c r="J388" s="240"/>
      <c r="K388" s="240">
        <v>592.53</v>
      </c>
      <c r="L388" s="239"/>
      <c r="M388" s="240"/>
      <c r="N388" s="241"/>
      <c r="O388" s="239" t="s">
        <v>227</v>
      </c>
      <c r="P388" s="239"/>
      <c r="Q388" s="239" t="s">
        <v>404</v>
      </c>
      <c r="R388" s="239"/>
      <c r="S388" s="239"/>
      <c r="T388" s="239"/>
      <c r="U388" s="239">
        <v>1583</v>
      </c>
    </row>
    <row r="389" spans="1:21" x14ac:dyDescent="0.25">
      <c r="A389">
        <f t="shared" si="6"/>
        <v>1584</v>
      </c>
      <c r="B389" s="154">
        <f>IF(O389="PESO",VALUE(K389),K389*EERR!$D$2)</f>
        <v>176757</v>
      </c>
      <c r="C389" s="239" t="s">
        <v>490</v>
      </c>
      <c r="D389" s="239"/>
      <c r="E389" s="239" t="s">
        <v>226</v>
      </c>
      <c r="F389" s="239"/>
      <c r="G389" s="239" t="s">
        <v>229</v>
      </c>
      <c r="H389" s="240"/>
      <c r="I389" s="240"/>
      <c r="J389" s="240"/>
      <c r="K389" s="240">
        <v>199.5</v>
      </c>
      <c r="L389" s="239"/>
      <c r="M389" s="240"/>
      <c r="N389" s="241"/>
      <c r="O389" s="239" t="s">
        <v>227</v>
      </c>
      <c r="P389" s="239"/>
      <c r="Q389" s="239" t="s">
        <v>491</v>
      </c>
      <c r="R389" s="239"/>
      <c r="S389" s="239"/>
      <c r="T389" s="239"/>
      <c r="U389" s="239">
        <v>1584</v>
      </c>
    </row>
    <row r="390" spans="1:21" x14ac:dyDescent="0.25">
      <c r="A390">
        <f t="shared" si="6"/>
        <v>1585</v>
      </c>
      <c r="B390" s="154">
        <f>IF(O390="PESO",VALUE(K390),K390*EERR!$D$2)</f>
        <v>981758.87999999989</v>
      </c>
      <c r="C390" s="239" t="s">
        <v>492</v>
      </c>
      <c r="D390" s="239"/>
      <c r="E390" s="239" t="s">
        <v>226</v>
      </c>
      <c r="F390" s="239"/>
      <c r="G390" s="239" t="s">
        <v>229</v>
      </c>
      <c r="H390" s="240"/>
      <c r="I390" s="240"/>
      <c r="J390" s="240"/>
      <c r="K390" s="240">
        <v>1108.08</v>
      </c>
      <c r="L390" s="239"/>
      <c r="M390" s="240"/>
      <c r="N390" s="241"/>
      <c r="O390" s="239" t="s">
        <v>227</v>
      </c>
      <c r="P390" s="239"/>
      <c r="Q390" s="239" t="s">
        <v>493</v>
      </c>
      <c r="R390" s="239"/>
      <c r="S390" s="239"/>
      <c r="T390" s="239"/>
      <c r="U390" s="239">
        <v>1585</v>
      </c>
    </row>
    <row r="391" spans="1:21" x14ac:dyDescent="0.25">
      <c r="A391">
        <f t="shared" si="6"/>
        <v>1586</v>
      </c>
      <c r="B391" s="154">
        <f>IF(O391="PESO",VALUE(K391),K391*EERR!$D$2)</f>
        <v>185599.28</v>
      </c>
      <c r="C391" s="239" t="s">
        <v>494</v>
      </c>
      <c r="D391" s="239"/>
      <c r="E391" s="239" t="s">
        <v>226</v>
      </c>
      <c r="F391" s="239"/>
      <c r="G391" s="239" t="s">
        <v>229</v>
      </c>
      <c r="H391" s="240"/>
      <c r="I391" s="240"/>
      <c r="J391" s="240"/>
      <c r="K391" s="240">
        <v>209.48</v>
      </c>
      <c r="L391" s="239"/>
      <c r="M391" s="240"/>
      <c r="N391" s="241"/>
      <c r="O391" s="239" t="s">
        <v>227</v>
      </c>
      <c r="P391" s="239"/>
      <c r="Q391" s="239" t="s">
        <v>396</v>
      </c>
      <c r="R391" s="239"/>
      <c r="S391" s="239"/>
      <c r="T391" s="239"/>
      <c r="U391" s="239">
        <v>1586</v>
      </c>
    </row>
    <row r="392" spans="1:21" x14ac:dyDescent="0.25">
      <c r="A392">
        <f t="shared" si="6"/>
        <v>1587</v>
      </c>
      <c r="B392" s="154">
        <f>IF(O392="PESO",VALUE(K392),K392*EERR!$D$2)</f>
        <v>185599.28</v>
      </c>
      <c r="C392" s="239" t="s">
        <v>494</v>
      </c>
      <c r="D392" s="239"/>
      <c r="E392" s="239" t="s">
        <v>226</v>
      </c>
      <c r="F392" s="239"/>
      <c r="G392" s="239" t="s">
        <v>229</v>
      </c>
      <c r="H392" s="240"/>
      <c r="I392" s="240"/>
      <c r="J392" s="240"/>
      <c r="K392" s="240">
        <v>209.48</v>
      </c>
      <c r="L392" s="239"/>
      <c r="M392" s="240"/>
      <c r="N392" s="241"/>
      <c r="O392" s="239" t="s">
        <v>227</v>
      </c>
      <c r="P392" s="239"/>
      <c r="Q392" s="239" t="s">
        <v>495</v>
      </c>
      <c r="R392" s="239"/>
      <c r="S392" s="239"/>
      <c r="T392" s="239"/>
      <c r="U392" s="239">
        <v>1587</v>
      </c>
    </row>
    <row r="393" spans="1:21" x14ac:dyDescent="0.25">
      <c r="A393">
        <f t="shared" si="6"/>
        <v>1588</v>
      </c>
      <c r="B393" s="154">
        <f>IF(O393="PESO",VALUE(K393),K393*EERR!$D$2)</f>
        <v>174993.86</v>
      </c>
      <c r="C393" s="239" t="s">
        <v>496</v>
      </c>
      <c r="D393" s="239"/>
      <c r="E393" s="239" t="s">
        <v>226</v>
      </c>
      <c r="F393" s="239"/>
      <c r="G393" s="239" t="s">
        <v>229</v>
      </c>
      <c r="H393" s="240"/>
      <c r="I393" s="240"/>
      <c r="J393" s="240"/>
      <c r="K393" s="240">
        <v>197.51</v>
      </c>
      <c r="L393" s="239"/>
      <c r="M393" s="240"/>
      <c r="N393" s="241"/>
      <c r="O393" s="239" t="s">
        <v>227</v>
      </c>
      <c r="P393" s="239"/>
      <c r="Q393" s="239" t="s">
        <v>402</v>
      </c>
      <c r="R393" s="239"/>
      <c r="S393" s="239"/>
      <c r="T393" s="239"/>
      <c r="U393" s="239">
        <v>1588</v>
      </c>
    </row>
    <row r="394" spans="1:21" x14ac:dyDescent="0.25">
      <c r="A394">
        <f t="shared" si="6"/>
        <v>1589</v>
      </c>
      <c r="B394" s="154">
        <f>IF(O394="PESO",VALUE(K394),K394*EERR!$D$2)</f>
        <v>167037.57999999999</v>
      </c>
      <c r="C394" s="239" t="s">
        <v>497</v>
      </c>
      <c r="D394" s="239"/>
      <c r="E394" s="239" t="s">
        <v>226</v>
      </c>
      <c r="F394" s="239"/>
      <c r="G394" s="239" t="s">
        <v>229</v>
      </c>
      <c r="H394" s="240"/>
      <c r="I394" s="240"/>
      <c r="J394" s="240"/>
      <c r="K394" s="240">
        <v>188.53</v>
      </c>
      <c r="L394" s="239"/>
      <c r="M394" s="240"/>
      <c r="N394" s="241"/>
      <c r="O394" s="239" t="s">
        <v>227</v>
      </c>
      <c r="P394" s="239"/>
      <c r="Q394" s="239" t="s">
        <v>400</v>
      </c>
      <c r="R394" s="239"/>
      <c r="S394" s="239"/>
      <c r="T394" s="239"/>
      <c r="U394" s="239">
        <v>1589</v>
      </c>
    </row>
    <row r="395" spans="1:21" x14ac:dyDescent="0.25">
      <c r="A395">
        <f t="shared" si="6"/>
        <v>1590</v>
      </c>
      <c r="B395" s="154">
        <f>IF(O395="PESO",VALUE(K395),K395*EERR!$D$2)</f>
        <v>185599.28</v>
      </c>
      <c r="C395" s="239" t="s">
        <v>498</v>
      </c>
      <c r="D395" s="239"/>
      <c r="E395" s="239" t="s">
        <v>226</v>
      </c>
      <c r="F395" s="239"/>
      <c r="G395" s="239" t="s">
        <v>229</v>
      </c>
      <c r="H395" s="240"/>
      <c r="I395" s="240"/>
      <c r="J395" s="240"/>
      <c r="K395" s="240">
        <v>209.48</v>
      </c>
      <c r="L395" s="239"/>
      <c r="M395" s="240"/>
      <c r="N395" s="241"/>
      <c r="O395" s="239" t="s">
        <v>227</v>
      </c>
      <c r="P395" s="239"/>
      <c r="Q395" s="239" t="s">
        <v>499</v>
      </c>
      <c r="R395" s="239"/>
      <c r="S395" s="239"/>
      <c r="T395" s="239"/>
      <c r="U395" s="239">
        <v>1590</v>
      </c>
    </row>
    <row r="396" spans="1:21" x14ac:dyDescent="0.25">
      <c r="A396">
        <f t="shared" si="6"/>
        <v>1591</v>
      </c>
      <c r="B396" s="154">
        <f>IF(O396="PESO",VALUE(K396),K396*EERR!$D$2)</f>
        <v>168340</v>
      </c>
      <c r="C396" s="239" t="s">
        <v>500</v>
      </c>
      <c r="D396" s="239"/>
      <c r="E396" s="239" t="s">
        <v>226</v>
      </c>
      <c r="F396" s="239"/>
      <c r="G396" s="239" t="s">
        <v>229</v>
      </c>
      <c r="H396" s="240"/>
      <c r="I396" s="240"/>
      <c r="J396" s="240"/>
      <c r="K396" s="240">
        <v>190</v>
      </c>
      <c r="L396" s="239"/>
      <c r="M396" s="240"/>
      <c r="N396" s="241"/>
      <c r="O396" s="239" t="s">
        <v>227</v>
      </c>
      <c r="P396" s="239"/>
      <c r="Q396" s="239" t="s">
        <v>501</v>
      </c>
      <c r="R396" s="239"/>
      <c r="S396" s="239"/>
      <c r="T396" s="239"/>
      <c r="U396" s="239">
        <v>1591</v>
      </c>
    </row>
    <row r="397" spans="1:21" x14ac:dyDescent="0.25">
      <c r="A397">
        <v>100000</v>
      </c>
      <c r="B397" s="154"/>
      <c r="C397" s="239"/>
      <c r="D397" s="239"/>
      <c r="E397" s="239"/>
      <c r="F397" s="239"/>
      <c r="G397" s="239"/>
      <c r="H397" s="240"/>
      <c r="I397" s="240"/>
      <c r="J397" s="240"/>
      <c r="K397" s="240"/>
      <c r="L397" s="239"/>
      <c r="M397" s="240"/>
      <c r="N397" s="241"/>
      <c r="O397" s="239" t="s">
        <v>213</v>
      </c>
      <c r="P397" s="239"/>
      <c r="Q397" s="239"/>
      <c r="R397" s="239"/>
      <c r="S397" s="239"/>
      <c r="T397" s="239"/>
      <c r="U397" s="239"/>
    </row>
    <row r="398" spans="1:21" x14ac:dyDescent="0.25">
      <c r="A398">
        <v>100000</v>
      </c>
      <c r="B398" s="154"/>
      <c r="C398" s="239"/>
      <c r="D398" s="239"/>
      <c r="E398" s="239"/>
      <c r="F398" s="239"/>
      <c r="G398" s="239"/>
      <c r="H398" s="240"/>
      <c r="I398" s="240"/>
      <c r="J398" s="240"/>
      <c r="K398" s="240"/>
      <c r="L398" s="239"/>
      <c r="M398" s="240"/>
      <c r="N398" s="241"/>
      <c r="O398" s="239" t="s">
        <v>213</v>
      </c>
      <c r="P398" s="239"/>
      <c r="Q398" s="239"/>
      <c r="R398" s="239"/>
      <c r="S398" s="239"/>
      <c r="T398" s="239"/>
      <c r="U398" s="239"/>
    </row>
    <row r="399" spans="1:21" x14ac:dyDescent="0.25">
      <c r="A399">
        <v>100000</v>
      </c>
      <c r="B399" s="154"/>
      <c r="C399" s="239"/>
      <c r="D399" s="239"/>
      <c r="E399" s="239"/>
      <c r="F399" s="239"/>
      <c r="G399" s="239"/>
      <c r="H399" s="240"/>
      <c r="I399" s="240"/>
      <c r="J399" s="240"/>
      <c r="K399" s="240"/>
      <c r="L399" s="239"/>
      <c r="M399" s="240"/>
      <c r="N399" s="241"/>
      <c r="O399" s="239" t="s">
        <v>213</v>
      </c>
      <c r="P399" s="239"/>
      <c r="Q399" s="239"/>
      <c r="R399" s="239"/>
      <c r="S399" s="239"/>
      <c r="T399" s="239"/>
      <c r="U399" s="239"/>
    </row>
    <row r="400" spans="1:21" x14ac:dyDescent="0.25">
      <c r="A400">
        <v>100000</v>
      </c>
      <c r="B400" s="154"/>
      <c r="C400" s="239"/>
      <c r="D400" s="239"/>
      <c r="E400" s="239"/>
      <c r="F400" s="239"/>
      <c r="G400" s="239"/>
      <c r="H400" s="240"/>
      <c r="I400" s="240"/>
      <c r="J400" s="240"/>
      <c r="K400" s="240"/>
      <c r="L400" s="239"/>
      <c r="M400" s="240"/>
      <c r="N400" s="241"/>
      <c r="O400" s="239" t="s">
        <v>213</v>
      </c>
      <c r="P400" s="239"/>
      <c r="Q400" s="239"/>
      <c r="R400" s="239"/>
      <c r="S400" s="239"/>
      <c r="T400" s="239"/>
      <c r="U400" s="239"/>
    </row>
    <row r="401" spans="1:21" x14ac:dyDescent="0.25">
      <c r="A401">
        <v>100000</v>
      </c>
      <c r="B401" s="154"/>
      <c r="C401" s="239"/>
      <c r="D401" s="239"/>
      <c r="E401" s="239"/>
      <c r="F401" s="239"/>
      <c r="G401" s="239"/>
      <c r="H401" s="240"/>
      <c r="I401" s="240"/>
      <c r="J401" s="240"/>
      <c r="K401" s="240"/>
      <c r="L401" s="239"/>
      <c r="M401" s="240"/>
      <c r="N401" s="241"/>
      <c r="O401" s="239" t="s">
        <v>213</v>
      </c>
      <c r="P401" s="239"/>
      <c r="Q401" s="239"/>
      <c r="R401" s="239"/>
      <c r="S401" s="239"/>
      <c r="T401" s="239"/>
      <c r="U401" s="239"/>
    </row>
    <row r="402" spans="1:21" x14ac:dyDescent="0.25">
      <c r="A402">
        <v>100000</v>
      </c>
      <c r="B402" s="154"/>
      <c r="C402" s="239"/>
      <c r="D402" s="239"/>
      <c r="E402" s="239"/>
      <c r="F402" s="239"/>
      <c r="G402" s="239"/>
      <c r="H402" s="240"/>
      <c r="I402" s="240"/>
      <c r="J402" s="240"/>
      <c r="K402" s="240"/>
      <c r="L402" s="239"/>
      <c r="M402" s="240"/>
      <c r="N402" s="241"/>
      <c r="O402" s="239" t="s">
        <v>213</v>
      </c>
      <c r="P402" s="239"/>
      <c r="Q402" s="239"/>
      <c r="R402" s="239"/>
      <c r="S402" s="239"/>
      <c r="T402" s="239"/>
      <c r="U402" s="239"/>
    </row>
    <row r="403" spans="1:21" x14ac:dyDescent="0.25">
      <c r="A403">
        <v>100000</v>
      </c>
      <c r="B403" s="154"/>
      <c r="C403" s="239"/>
      <c r="D403" s="239"/>
      <c r="E403" s="239"/>
      <c r="F403" s="239"/>
      <c r="G403" s="239"/>
      <c r="H403" s="240"/>
      <c r="I403" s="240"/>
      <c r="J403" s="240"/>
      <c r="K403" s="240"/>
      <c r="L403" s="239"/>
      <c r="M403" s="240"/>
      <c r="N403" s="241"/>
      <c r="O403" s="239" t="s">
        <v>213</v>
      </c>
      <c r="P403" s="239"/>
      <c r="Q403" s="239"/>
      <c r="R403" s="239"/>
      <c r="S403" s="239"/>
      <c r="T403" s="239"/>
      <c r="U403" s="239"/>
    </row>
    <row r="404" spans="1:21" x14ac:dyDescent="0.25">
      <c r="A404">
        <v>100000</v>
      </c>
      <c r="B404" s="154"/>
      <c r="C404" s="239"/>
      <c r="D404" s="239"/>
      <c r="E404" s="239"/>
      <c r="F404" s="239"/>
      <c r="G404" s="239"/>
      <c r="H404" s="240"/>
      <c r="I404" s="240"/>
      <c r="J404" s="240"/>
      <c r="K404" s="240"/>
      <c r="L404" s="239"/>
      <c r="M404" s="240"/>
      <c r="N404" s="241"/>
      <c r="O404" s="239"/>
      <c r="P404" s="239"/>
      <c r="Q404" s="239"/>
      <c r="R404" s="239"/>
      <c r="S404" s="239"/>
      <c r="T404" s="239"/>
      <c r="U404" s="239"/>
    </row>
    <row r="405" spans="1:21" x14ac:dyDescent="0.25">
      <c r="A405">
        <v>100000</v>
      </c>
      <c r="B405" s="154"/>
      <c r="C405" s="239"/>
      <c r="D405" s="239"/>
      <c r="E405" s="239"/>
      <c r="F405" s="239"/>
      <c r="G405" s="239"/>
      <c r="H405" s="240"/>
      <c r="I405" s="240"/>
      <c r="J405" s="240"/>
      <c r="K405" s="240"/>
      <c r="L405" s="239"/>
      <c r="M405" s="240"/>
      <c r="N405" s="241"/>
      <c r="O405" s="239"/>
      <c r="P405" s="239"/>
      <c r="Q405" s="239"/>
      <c r="R405" s="239"/>
      <c r="S405" s="239"/>
      <c r="T405" s="239"/>
      <c r="U405" s="239"/>
    </row>
    <row r="406" spans="1:21" x14ac:dyDescent="0.25">
      <c r="A406">
        <v>100000</v>
      </c>
    </row>
    <row r="407" spans="1:21" x14ac:dyDescent="0.25">
      <c r="A407">
        <v>100000</v>
      </c>
    </row>
    <row r="408" spans="1:21" x14ac:dyDescent="0.25">
      <c r="A408">
        <v>100000</v>
      </c>
    </row>
    <row r="409" spans="1:21" x14ac:dyDescent="0.25">
      <c r="A409">
        <v>100000</v>
      </c>
    </row>
    <row r="410" spans="1:21" x14ac:dyDescent="0.25">
      <c r="A410">
        <v>100000</v>
      </c>
    </row>
    <row r="411" spans="1:21" x14ac:dyDescent="0.25">
      <c r="A411">
        <v>100000</v>
      </c>
    </row>
    <row r="412" spans="1:21" x14ac:dyDescent="0.25">
      <c r="A412">
        <v>100000</v>
      </c>
    </row>
  </sheetData>
  <autoFilter ref="A3:V41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abSelected="1" topLeftCell="F1" zoomScale="85" zoomScaleNormal="85" workbookViewId="0">
      <selection activeCell="K20" sqref="K20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38.85546875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87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5" t="s">
        <v>5</v>
      </c>
      <c r="C2" s="45" t="s">
        <v>24</v>
      </c>
      <c r="D2" s="45" t="s">
        <v>25</v>
      </c>
      <c r="E2" s="45" t="s">
        <v>26</v>
      </c>
      <c r="F2" s="45" t="s">
        <v>27</v>
      </c>
      <c r="G2" s="45" t="s">
        <v>28</v>
      </c>
      <c r="H2" s="45" t="s">
        <v>45</v>
      </c>
      <c r="I2" s="46" t="s">
        <v>35</v>
      </c>
      <c r="J2" s="46" t="s">
        <v>117</v>
      </c>
      <c r="K2" s="46" t="s">
        <v>88</v>
      </c>
      <c r="L2" s="89"/>
      <c r="N2" s="84"/>
      <c r="O2" s="134" t="s">
        <v>5</v>
      </c>
      <c r="P2" s="134" t="s">
        <v>138</v>
      </c>
      <c r="Q2" s="134" t="s">
        <v>139</v>
      </c>
      <c r="R2" s="134" t="s">
        <v>140</v>
      </c>
      <c r="S2" s="134" t="s">
        <v>141</v>
      </c>
      <c r="T2" s="134" t="s">
        <v>85</v>
      </c>
      <c r="U2" s="134" t="s">
        <v>58</v>
      </c>
      <c r="V2" s="134" t="s">
        <v>142</v>
      </c>
      <c r="W2" s="134" t="s">
        <v>143</v>
      </c>
    </row>
    <row r="3" spans="1:27" ht="18" customHeight="1" x14ac:dyDescent="0.3">
      <c r="B3" s="113" t="s">
        <v>1134</v>
      </c>
      <c r="C3" s="87" t="s">
        <v>241</v>
      </c>
      <c r="D3" s="87" t="s">
        <v>243</v>
      </c>
      <c r="E3" s="87" t="s">
        <v>245</v>
      </c>
      <c r="F3" s="153">
        <v>4000000</v>
      </c>
      <c r="G3" s="87">
        <v>0</v>
      </c>
      <c r="H3" s="87">
        <v>67652477</v>
      </c>
      <c r="I3" s="126" t="s">
        <v>132</v>
      </c>
      <c r="J3" s="13" t="str">
        <f>VLOOKUP(-F3,$T$3:$W$55,4,FALSE)</f>
        <v>FR</v>
      </c>
      <c r="K3" s="13" t="str">
        <f>IFERROR(VLOOKUP(-F3,$T$3:$W$55,3,FALSE),"")</f>
        <v>SOCIEDAD HOTELERA ZAMORA RAMIREZ HERMANOS LIM</v>
      </c>
      <c r="L3" s="118"/>
      <c r="M3" s="118"/>
      <c r="N3" s="118"/>
      <c r="O3" s="142" t="s">
        <v>1199</v>
      </c>
      <c r="P3" s="143" t="s">
        <v>1200</v>
      </c>
      <c r="Q3" s="143" t="s">
        <v>257</v>
      </c>
      <c r="R3" s="143" t="s">
        <v>112</v>
      </c>
      <c r="S3" s="144" t="s">
        <v>258</v>
      </c>
      <c r="T3" s="147">
        <v>-1520717</v>
      </c>
      <c r="U3" s="143" t="s">
        <v>111</v>
      </c>
      <c r="V3" s="143" t="s">
        <v>259</v>
      </c>
      <c r="W3" s="145" t="s">
        <v>1201</v>
      </c>
      <c r="X3" s="209"/>
      <c r="Y3" s="209"/>
      <c r="AA3" s="4">
        <f t="shared" ref="AA3:AA20" si="0">VALUE(T3)</f>
        <v>-1520717</v>
      </c>
    </row>
    <row r="4" spans="1:27" ht="18" customHeight="1" x14ac:dyDescent="0.3">
      <c r="B4" s="113" t="s">
        <v>1135</v>
      </c>
      <c r="C4" s="87" t="s">
        <v>255</v>
      </c>
      <c r="D4" s="87" t="s">
        <v>256</v>
      </c>
      <c r="E4" s="87"/>
      <c r="F4" s="87">
        <v>0</v>
      </c>
      <c r="G4" s="87">
        <v>26000</v>
      </c>
      <c r="H4" s="87">
        <v>67678477</v>
      </c>
      <c r="I4" s="126" t="s">
        <v>136</v>
      </c>
      <c r="J4" s="13" t="s">
        <v>695</v>
      </c>
      <c r="K4" s="13" t="str">
        <f t="shared" ref="K4:K17" si="1">IFERROR(VLOOKUP(-F4,$T$3:$W$55,3,FALSE),"")</f>
        <v/>
      </c>
      <c r="L4" s="118"/>
      <c r="M4" s="118"/>
      <c r="N4" s="118"/>
      <c r="O4" s="142" t="s">
        <v>1199</v>
      </c>
      <c r="P4" s="143" t="s">
        <v>1202</v>
      </c>
      <c r="Q4" s="143" t="s">
        <v>220</v>
      </c>
      <c r="R4" s="143" t="s">
        <v>113</v>
      </c>
      <c r="S4" s="144" t="s">
        <v>221</v>
      </c>
      <c r="T4" s="147">
        <v>-1492346</v>
      </c>
      <c r="U4" s="143" t="s">
        <v>111</v>
      </c>
      <c r="V4" s="143" t="s">
        <v>222</v>
      </c>
      <c r="W4" s="145" t="s">
        <v>1201</v>
      </c>
      <c r="X4" s="209"/>
      <c r="Y4" s="209"/>
      <c r="AA4" s="4">
        <f t="shared" si="0"/>
        <v>-1492346</v>
      </c>
    </row>
    <row r="5" spans="1:27" ht="18" customHeight="1" x14ac:dyDescent="0.3">
      <c r="B5" s="113" t="s">
        <v>1274</v>
      </c>
      <c r="C5" s="87" t="s">
        <v>101</v>
      </c>
      <c r="D5" s="87" t="s">
        <v>1296</v>
      </c>
      <c r="E5" s="87" t="s">
        <v>246</v>
      </c>
      <c r="F5" s="87">
        <v>566949</v>
      </c>
      <c r="G5" s="87">
        <v>0</v>
      </c>
      <c r="H5" s="87">
        <v>67111528</v>
      </c>
      <c r="I5" s="126" t="s">
        <v>19</v>
      </c>
      <c r="J5" s="13" t="e">
        <f t="shared" ref="J5:J17" si="2">VLOOKUP(-F5,$T$3:$W$55,4,FALSE)</f>
        <v>#N/A</v>
      </c>
      <c r="K5" s="13" t="str">
        <f t="shared" si="1"/>
        <v/>
      </c>
      <c r="L5" s="118"/>
      <c r="M5" s="118"/>
      <c r="N5" s="118"/>
      <c r="O5" s="142" t="s">
        <v>1199</v>
      </c>
      <c r="P5" s="143" t="s">
        <v>1203</v>
      </c>
      <c r="Q5" s="143" t="s">
        <v>287</v>
      </c>
      <c r="R5" s="143" t="s">
        <v>113</v>
      </c>
      <c r="S5" s="144" t="s">
        <v>288</v>
      </c>
      <c r="T5" s="147">
        <v>-719106</v>
      </c>
      <c r="U5" s="143" t="s">
        <v>111</v>
      </c>
      <c r="V5" s="143" t="s">
        <v>289</v>
      </c>
      <c r="W5" s="145" t="s">
        <v>1201</v>
      </c>
      <c r="X5" s="209"/>
      <c r="Y5" s="209"/>
      <c r="AA5" s="4">
        <f t="shared" si="0"/>
        <v>-719106</v>
      </c>
    </row>
    <row r="6" spans="1:27" ht="18" customHeight="1" x14ac:dyDescent="0.3">
      <c r="B6" s="113" t="s">
        <v>1136</v>
      </c>
      <c r="C6" s="87" t="s">
        <v>241</v>
      </c>
      <c r="D6" s="87" t="s">
        <v>244</v>
      </c>
      <c r="E6" s="87" t="s">
        <v>1297</v>
      </c>
      <c r="F6" s="87">
        <v>6089235</v>
      </c>
      <c r="G6" s="87">
        <v>0</v>
      </c>
      <c r="H6" s="87">
        <v>61022293</v>
      </c>
      <c r="I6" s="126" t="s">
        <v>30</v>
      </c>
      <c r="J6" s="13" t="str">
        <f t="shared" si="2"/>
        <v>10337992 fact  1600005759</v>
      </c>
      <c r="K6" s="13" t="str">
        <f t="shared" si="1"/>
        <v xml:space="preserve">Dlocal Chile SPA                             </v>
      </c>
      <c r="L6" s="118"/>
      <c r="M6" s="118"/>
      <c r="N6" s="118"/>
      <c r="O6" s="142" t="s">
        <v>1199</v>
      </c>
      <c r="P6" s="143" t="s">
        <v>1204</v>
      </c>
      <c r="Q6" s="143" t="s">
        <v>252</v>
      </c>
      <c r="R6" s="143" t="s">
        <v>250</v>
      </c>
      <c r="S6" s="144" t="s">
        <v>253</v>
      </c>
      <c r="T6" s="147">
        <v>-760398</v>
      </c>
      <c r="U6" s="143" t="s">
        <v>111</v>
      </c>
      <c r="V6" s="143" t="s">
        <v>254</v>
      </c>
      <c r="W6" s="145" t="s">
        <v>1201</v>
      </c>
      <c r="X6" s="209"/>
      <c r="Y6" s="209"/>
      <c r="AA6" s="4">
        <f t="shared" si="0"/>
        <v>-760398</v>
      </c>
    </row>
    <row r="7" spans="1:27" s="75" customFormat="1" ht="18" customHeight="1" x14ac:dyDescent="0.3">
      <c r="A7" s="4"/>
      <c r="B7" s="113" t="s">
        <v>1136</v>
      </c>
      <c r="C7" s="87" t="s">
        <v>241</v>
      </c>
      <c r="D7" s="87" t="s">
        <v>1298</v>
      </c>
      <c r="E7" s="87" t="s">
        <v>1299</v>
      </c>
      <c r="F7" s="87">
        <v>538150</v>
      </c>
      <c r="G7" s="87">
        <v>0</v>
      </c>
      <c r="H7" s="87">
        <v>60484143</v>
      </c>
      <c r="I7" s="126" t="s">
        <v>135</v>
      </c>
      <c r="J7" s="13" t="str">
        <f t="shared" si="2"/>
        <v>fact 29543</v>
      </c>
      <c r="K7" s="13" t="str">
        <f t="shared" si="1"/>
        <v xml:space="preserve">Comite de Agua San Pedro de Atacama          </v>
      </c>
      <c r="L7" s="118"/>
      <c r="M7" s="118"/>
      <c r="N7" s="118"/>
      <c r="O7" s="142" t="s">
        <v>1199</v>
      </c>
      <c r="P7" s="143" t="s">
        <v>1205</v>
      </c>
      <c r="Q7" s="143" t="s">
        <v>282</v>
      </c>
      <c r="R7" s="143" t="s">
        <v>113</v>
      </c>
      <c r="S7" s="144" t="s">
        <v>283</v>
      </c>
      <c r="T7" s="147">
        <v>-788170</v>
      </c>
      <c r="U7" s="143" t="s">
        <v>111</v>
      </c>
      <c r="V7" s="143" t="s">
        <v>284</v>
      </c>
      <c r="W7" s="145" t="s">
        <v>1201</v>
      </c>
      <c r="X7" s="209"/>
      <c r="Y7" s="209"/>
      <c r="AA7" s="4">
        <f t="shared" si="0"/>
        <v>-788170</v>
      </c>
    </row>
    <row r="8" spans="1:27" ht="18" customHeight="1" x14ac:dyDescent="0.3">
      <c r="B8" s="113" t="s">
        <v>1136</v>
      </c>
      <c r="C8" s="87" t="s">
        <v>241</v>
      </c>
      <c r="D8" s="87" t="s">
        <v>244</v>
      </c>
      <c r="E8" s="87" t="s">
        <v>1300</v>
      </c>
      <c r="F8" s="87">
        <v>551500</v>
      </c>
      <c r="G8" s="87">
        <v>0</v>
      </c>
      <c r="H8" s="87">
        <v>59932643</v>
      </c>
      <c r="I8" s="126" t="s">
        <v>86</v>
      </c>
      <c r="J8" s="13" t="str">
        <f t="shared" si="2"/>
        <v>fact 2321118856</v>
      </c>
      <c r="K8" s="13" t="str">
        <f t="shared" si="1"/>
        <v xml:space="preserve">EXP Chile Limitada                           </v>
      </c>
      <c r="L8" s="118"/>
      <c r="M8" s="118"/>
      <c r="N8" s="118"/>
      <c r="O8" s="142" t="s">
        <v>1199</v>
      </c>
      <c r="P8" s="143" t="s">
        <v>1206</v>
      </c>
      <c r="Q8" s="143" t="s">
        <v>190</v>
      </c>
      <c r="R8" s="143" t="s">
        <v>185</v>
      </c>
      <c r="S8" s="144" t="s">
        <v>285</v>
      </c>
      <c r="T8" s="147">
        <v>-629816</v>
      </c>
      <c r="U8" s="143" t="s">
        <v>111</v>
      </c>
      <c r="V8" s="143" t="s">
        <v>286</v>
      </c>
      <c r="W8" s="145" t="s">
        <v>1201</v>
      </c>
      <c r="X8" s="209"/>
      <c r="Y8" s="209"/>
      <c r="AA8" s="4">
        <f t="shared" si="0"/>
        <v>-629816</v>
      </c>
    </row>
    <row r="9" spans="1:27" ht="18" customHeight="1" x14ac:dyDescent="0.3">
      <c r="B9" s="113" t="s">
        <v>1136</v>
      </c>
      <c r="C9" s="87" t="s">
        <v>241</v>
      </c>
      <c r="D9" s="87" t="s">
        <v>244</v>
      </c>
      <c r="E9" s="87" t="s">
        <v>1301</v>
      </c>
      <c r="F9" s="87">
        <v>700000</v>
      </c>
      <c r="G9" s="87">
        <v>0</v>
      </c>
      <c r="H9" s="87">
        <v>59232643</v>
      </c>
      <c r="I9" s="126" t="s">
        <v>134</v>
      </c>
      <c r="J9" s="13" t="str">
        <f t="shared" si="2"/>
        <v>serv contable oct-nov</v>
      </c>
      <c r="K9" s="13" t="str">
        <f t="shared" si="1"/>
        <v xml:space="preserve">Jorge Baez Rojas                             </v>
      </c>
      <c r="L9" s="118"/>
      <c r="M9" s="118"/>
      <c r="N9" s="118"/>
      <c r="O9" s="142" t="s">
        <v>1199</v>
      </c>
      <c r="P9" s="143" t="s">
        <v>1207</v>
      </c>
      <c r="Q9" s="143" t="s">
        <v>230</v>
      </c>
      <c r="R9" s="143" t="s">
        <v>113</v>
      </c>
      <c r="S9" s="144" t="s">
        <v>231</v>
      </c>
      <c r="T9" s="147">
        <v>-602399</v>
      </c>
      <c r="U9" s="143" t="s">
        <v>111</v>
      </c>
      <c r="V9" s="143" t="s">
        <v>232</v>
      </c>
      <c r="W9" s="145" t="s">
        <v>1201</v>
      </c>
      <c r="X9" s="209"/>
      <c r="Y9" s="209"/>
      <c r="AA9" s="4">
        <f t="shared" si="0"/>
        <v>-602399</v>
      </c>
    </row>
    <row r="10" spans="1:27" ht="18" customHeight="1" x14ac:dyDescent="0.3">
      <c r="B10" s="113" t="s">
        <v>1136</v>
      </c>
      <c r="C10" s="87" t="s">
        <v>241</v>
      </c>
      <c r="D10" s="87" t="s">
        <v>244</v>
      </c>
      <c r="E10" s="87" t="s">
        <v>1302</v>
      </c>
      <c r="F10" s="87">
        <v>1365840</v>
      </c>
      <c r="G10" s="87">
        <v>0</v>
      </c>
      <c r="H10" s="87">
        <v>57866803</v>
      </c>
      <c r="I10" s="126" t="s">
        <v>134</v>
      </c>
      <c r="J10" s="13" t="str">
        <f t="shared" si="2"/>
        <v>Fact 7986 Soc Hotelera Zamora</v>
      </c>
      <c r="K10" s="13" t="str">
        <f t="shared" si="1"/>
        <v xml:space="preserve">SOLUCIONES KAME SPA                          </v>
      </c>
      <c r="L10" s="118"/>
      <c r="M10" s="118"/>
      <c r="N10" s="118"/>
      <c r="O10" s="142" t="s">
        <v>1199</v>
      </c>
      <c r="P10" s="143" t="s">
        <v>1208</v>
      </c>
      <c r="Q10" s="143" t="s">
        <v>152</v>
      </c>
      <c r="R10" s="143" t="s">
        <v>113</v>
      </c>
      <c r="S10" s="144" t="s">
        <v>159</v>
      </c>
      <c r="T10" s="147">
        <v>-382818</v>
      </c>
      <c r="U10" s="143" t="s">
        <v>111</v>
      </c>
      <c r="V10" s="143" t="s">
        <v>161</v>
      </c>
      <c r="W10" s="145" t="s">
        <v>1201</v>
      </c>
      <c r="X10" s="209"/>
      <c r="Y10" s="209"/>
      <c r="AA10" s="4">
        <f t="shared" si="0"/>
        <v>-382818</v>
      </c>
    </row>
    <row r="11" spans="1:27" ht="18" customHeight="1" x14ac:dyDescent="0.3">
      <c r="B11" s="113" t="s">
        <v>1137</v>
      </c>
      <c r="C11" s="87" t="s">
        <v>241</v>
      </c>
      <c r="D11" s="87" t="s">
        <v>244</v>
      </c>
      <c r="E11" s="87" t="s">
        <v>1303</v>
      </c>
      <c r="F11" s="87">
        <v>75000</v>
      </c>
      <c r="G11" s="87">
        <v>0</v>
      </c>
      <c r="H11" s="87">
        <v>57791803</v>
      </c>
      <c r="I11" s="126" t="s">
        <v>134</v>
      </c>
      <c r="J11" s="13" t="str">
        <f t="shared" si="2"/>
        <v>cuota sep a nov 2023</v>
      </c>
      <c r="K11" s="13" t="str">
        <f t="shared" si="1"/>
        <v xml:space="preserve">Jose Hernandez Calderon                      </v>
      </c>
      <c r="L11" s="118"/>
      <c r="M11" s="118"/>
      <c r="N11" s="118"/>
      <c r="O11" s="142" t="s">
        <v>1199</v>
      </c>
      <c r="P11" s="143" t="s">
        <v>1209</v>
      </c>
      <c r="Q11" s="143" t="s">
        <v>302</v>
      </c>
      <c r="R11" s="143" t="s">
        <v>113</v>
      </c>
      <c r="S11" s="144" t="s">
        <v>303</v>
      </c>
      <c r="T11" s="147">
        <v>-577885</v>
      </c>
      <c r="U11" s="143" t="s">
        <v>111</v>
      </c>
      <c r="V11" s="143" t="s">
        <v>304</v>
      </c>
      <c r="W11" s="145" t="s">
        <v>1201</v>
      </c>
      <c r="X11" s="209"/>
      <c r="Y11" s="209"/>
      <c r="AA11" s="4">
        <f t="shared" si="0"/>
        <v>-577885</v>
      </c>
    </row>
    <row r="12" spans="1:27" ht="18" customHeight="1" x14ac:dyDescent="0.3">
      <c r="B12" s="235" t="s">
        <v>1138</v>
      </c>
      <c r="C12" s="236" t="s">
        <v>241</v>
      </c>
      <c r="D12" s="236" t="s">
        <v>1304</v>
      </c>
      <c r="E12" s="236" t="s">
        <v>1305</v>
      </c>
      <c r="F12" s="236">
        <v>1000000</v>
      </c>
      <c r="G12" s="87">
        <v>0</v>
      </c>
      <c r="H12" s="87">
        <v>56791803</v>
      </c>
      <c r="I12" s="126"/>
      <c r="J12" s="13" t="e">
        <f t="shared" si="2"/>
        <v>#N/A</v>
      </c>
      <c r="K12" s="13" t="str">
        <f t="shared" si="1"/>
        <v/>
      </c>
      <c r="L12" s="118"/>
      <c r="M12" s="118"/>
      <c r="N12" s="118"/>
      <c r="O12" s="142" t="s">
        <v>1199</v>
      </c>
      <c r="P12" s="143" t="s">
        <v>1210</v>
      </c>
      <c r="Q12" s="143" t="s">
        <v>191</v>
      </c>
      <c r="R12" s="143" t="s">
        <v>112</v>
      </c>
      <c r="S12" s="144" t="s">
        <v>233</v>
      </c>
      <c r="T12" s="147">
        <v>-468682</v>
      </c>
      <c r="U12" s="143" t="s">
        <v>111</v>
      </c>
      <c r="V12" s="143" t="s">
        <v>192</v>
      </c>
      <c r="W12" s="145" t="s">
        <v>1201</v>
      </c>
      <c r="X12" s="209"/>
      <c r="Y12" s="209"/>
      <c r="AA12" s="4">
        <f>VALUE(T12)</f>
        <v>-468682</v>
      </c>
    </row>
    <row r="13" spans="1:27" ht="18" customHeight="1" x14ac:dyDescent="0.3">
      <c r="B13" s="113" t="s">
        <v>1138</v>
      </c>
      <c r="C13" s="87" t="s">
        <v>101</v>
      </c>
      <c r="D13" s="87" t="s">
        <v>1306</v>
      </c>
      <c r="E13" s="87" t="s">
        <v>1307</v>
      </c>
      <c r="F13" s="87">
        <v>15324</v>
      </c>
      <c r="G13" s="87">
        <v>0</v>
      </c>
      <c r="H13" s="87">
        <v>56776479</v>
      </c>
      <c r="I13" s="126" t="s">
        <v>131</v>
      </c>
      <c r="J13" s="13" t="e">
        <f t="shared" si="2"/>
        <v>#N/A</v>
      </c>
      <c r="K13" s="13" t="str">
        <f t="shared" si="1"/>
        <v/>
      </c>
      <c r="L13" s="118"/>
      <c r="M13" s="118"/>
      <c r="N13" s="118"/>
      <c r="O13" s="142" t="s">
        <v>1199</v>
      </c>
      <c r="P13" s="143" t="s">
        <v>1211</v>
      </c>
      <c r="Q13" s="143" t="s">
        <v>260</v>
      </c>
      <c r="R13" s="143" t="s">
        <v>113</v>
      </c>
      <c r="S13" s="144" t="s">
        <v>261</v>
      </c>
      <c r="T13" s="147">
        <v>-337500</v>
      </c>
      <c r="U13" s="143" t="s">
        <v>111</v>
      </c>
      <c r="V13" s="143" t="s">
        <v>262</v>
      </c>
      <c r="W13" s="145" t="s">
        <v>1201</v>
      </c>
      <c r="X13" s="209"/>
      <c r="Y13" s="209"/>
      <c r="AA13" s="4">
        <f t="shared" si="0"/>
        <v>-337500</v>
      </c>
    </row>
    <row r="14" spans="1:27" ht="18" customHeight="1" x14ac:dyDescent="0.3">
      <c r="B14" s="235" t="s">
        <v>1264</v>
      </c>
      <c r="C14" s="236" t="s">
        <v>241</v>
      </c>
      <c r="D14" s="236" t="s">
        <v>1304</v>
      </c>
      <c r="E14" s="236" t="s">
        <v>1305</v>
      </c>
      <c r="F14" s="236">
        <v>250000</v>
      </c>
      <c r="G14" s="87">
        <v>0</v>
      </c>
      <c r="H14" s="87">
        <v>56526479</v>
      </c>
      <c r="I14" s="126"/>
      <c r="J14" s="13" t="e">
        <f t="shared" si="2"/>
        <v>#N/A</v>
      </c>
      <c r="K14" s="13" t="str">
        <f t="shared" si="1"/>
        <v/>
      </c>
      <c r="L14" s="118"/>
      <c r="M14" s="118"/>
      <c r="N14" s="118"/>
      <c r="O14" s="142" t="s">
        <v>1199</v>
      </c>
      <c r="P14" s="143" t="s">
        <v>1212</v>
      </c>
      <c r="Q14" s="143" t="s">
        <v>263</v>
      </c>
      <c r="R14" s="143" t="s">
        <v>113</v>
      </c>
      <c r="S14" s="144" t="s">
        <v>264</v>
      </c>
      <c r="T14" s="147">
        <v>-337500</v>
      </c>
      <c r="U14" s="143" t="s">
        <v>111</v>
      </c>
      <c r="V14" s="143" t="s">
        <v>265</v>
      </c>
      <c r="W14" s="145" t="s">
        <v>1201</v>
      </c>
      <c r="X14" s="209"/>
      <c r="Y14" s="209"/>
      <c r="AA14" s="4">
        <f t="shared" si="0"/>
        <v>-337500</v>
      </c>
    </row>
    <row r="15" spans="1:27" ht="18" customHeight="1" x14ac:dyDescent="0.3">
      <c r="B15" s="113" t="s">
        <v>1264</v>
      </c>
      <c r="C15" s="87" t="s">
        <v>241</v>
      </c>
      <c r="D15" s="87" t="s">
        <v>1308</v>
      </c>
      <c r="E15" s="87" t="s">
        <v>1309</v>
      </c>
      <c r="F15" s="87">
        <v>219960</v>
      </c>
      <c r="G15" s="87">
        <v>0</v>
      </c>
      <c r="H15" s="87">
        <v>56306519</v>
      </c>
      <c r="I15" s="126" t="s">
        <v>133</v>
      </c>
      <c r="J15" s="13" t="str">
        <f t="shared" si="2"/>
        <v>compra membrana asfltica</v>
      </c>
      <c r="K15" s="13" t="str">
        <f t="shared" si="1"/>
        <v xml:space="preserve">Sergio Zamora Ramirez                        </v>
      </c>
      <c r="L15" s="118"/>
      <c r="M15" s="118"/>
      <c r="N15" s="118"/>
      <c r="O15" s="142" t="s">
        <v>1199</v>
      </c>
      <c r="P15" s="143" t="s">
        <v>1213</v>
      </c>
      <c r="Q15" s="143" t="s">
        <v>223</v>
      </c>
      <c r="R15" s="143" t="s">
        <v>113</v>
      </c>
      <c r="S15" s="144" t="s">
        <v>224</v>
      </c>
      <c r="T15" s="147">
        <v>-187500</v>
      </c>
      <c r="U15" s="143" t="s">
        <v>111</v>
      </c>
      <c r="V15" s="143" t="s">
        <v>225</v>
      </c>
      <c r="W15" s="145" t="s">
        <v>1201</v>
      </c>
      <c r="X15" s="209"/>
      <c r="Y15" s="209"/>
      <c r="AA15" s="4">
        <f t="shared" si="0"/>
        <v>-187500</v>
      </c>
    </row>
    <row r="16" spans="1:27" ht="18" customHeight="1" x14ac:dyDescent="0.3">
      <c r="B16" s="113" t="s">
        <v>1139</v>
      </c>
      <c r="C16" s="87" t="s">
        <v>255</v>
      </c>
      <c r="D16" s="87" t="s">
        <v>256</v>
      </c>
      <c r="E16" s="87"/>
      <c r="F16" s="87">
        <v>0</v>
      </c>
      <c r="G16" s="87">
        <v>8000</v>
      </c>
      <c r="H16" s="87">
        <v>56314519</v>
      </c>
      <c r="I16" s="126" t="s">
        <v>136</v>
      </c>
      <c r="J16" s="13" t="e">
        <f t="shared" si="2"/>
        <v>#N/A</v>
      </c>
      <c r="K16" s="13" t="str">
        <f t="shared" si="1"/>
        <v/>
      </c>
      <c r="L16" s="118"/>
      <c r="M16" s="118"/>
      <c r="N16" s="118"/>
      <c r="O16" s="142" t="s">
        <v>1199</v>
      </c>
      <c r="P16" s="143" t="s">
        <v>1214</v>
      </c>
      <c r="Q16" s="143" t="s">
        <v>266</v>
      </c>
      <c r="R16" s="143" t="s">
        <v>185</v>
      </c>
      <c r="S16" s="144" t="s">
        <v>267</v>
      </c>
      <c r="T16" s="147">
        <v>-212500</v>
      </c>
      <c r="U16" s="143" t="s">
        <v>111</v>
      </c>
      <c r="V16" s="143" t="s">
        <v>268</v>
      </c>
      <c r="W16" s="145" t="s">
        <v>1201</v>
      </c>
      <c r="X16" s="209"/>
      <c r="Y16" s="209"/>
      <c r="AA16" s="4">
        <f t="shared" si="0"/>
        <v>-212500</v>
      </c>
    </row>
    <row r="17" spans="2:27" ht="18" customHeight="1" x14ac:dyDescent="0.3">
      <c r="B17" s="113" t="s">
        <v>1140</v>
      </c>
      <c r="C17" s="87" t="s">
        <v>241</v>
      </c>
      <c r="D17" s="87" t="s">
        <v>1310</v>
      </c>
      <c r="E17" s="87" t="s">
        <v>1311</v>
      </c>
      <c r="F17" s="87">
        <v>1325749</v>
      </c>
      <c r="G17" s="87">
        <v>0</v>
      </c>
      <c r="H17" s="87">
        <v>54988770</v>
      </c>
      <c r="I17" s="126" t="s">
        <v>135</v>
      </c>
      <c r="J17" s="13" t="str">
        <f t="shared" si="2"/>
        <v>fact 40495</v>
      </c>
      <c r="K17" s="13" t="str">
        <f t="shared" si="1"/>
        <v xml:space="preserve">CESPA Ltda                                   </v>
      </c>
      <c r="L17" s="118"/>
      <c r="M17" s="118"/>
      <c r="N17" s="118"/>
      <c r="O17" s="142" t="s">
        <v>1199</v>
      </c>
      <c r="P17" s="143" t="s">
        <v>1215</v>
      </c>
      <c r="Q17" s="143" t="s">
        <v>1216</v>
      </c>
      <c r="R17" s="143" t="s">
        <v>250</v>
      </c>
      <c r="S17" s="144" t="s">
        <v>1217</v>
      </c>
      <c r="T17" s="147">
        <v>-175000</v>
      </c>
      <c r="U17" s="143" t="s">
        <v>111</v>
      </c>
      <c r="V17" s="143" t="s">
        <v>1218</v>
      </c>
      <c r="W17" s="145" t="s">
        <v>1201</v>
      </c>
      <c r="X17" s="209"/>
      <c r="Y17" s="209"/>
      <c r="AA17" s="4">
        <f t="shared" si="0"/>
        <v>-175000</v>
      </c>
    </row>
    <row r="18" spans="2:27" ht="18" customHeight="1" x14ac:dyDescent="0.3">
      <c r="B18" s="113" t="s">
        <v>1140</v>
      </c>
      <c r="C18" s="87" t="s">
        <v>241</v>
      </c>
      <c r="D18" s="87" t="s">
        <v>1310</v>
      </c>
      <c r="E18" s="87" t="s">
        <v>1311</v>
      </c>
      <c r="F18" s="87">
        <v>1784280</v>
      </c>
      <c r="G18" s="87">
        <v>0</v>
      </c>
      <c r="H18" s="87">
        <v>53204490</v>
      </c>
      <c r="I18" s="126" t="s">
        <v>135</v>
      </c>
      <c r="J18" s="13" t="str">
        <f t="shared" ref="J18:J37" si="3">VLOOKUP(-F18,$T$3:$W$55,4,FALSE)</f>
        <v>fact 40496</v>
      </c>
      <c r="K18" s="13" t="str">
        <f t="shared" ref="K18:K37" si="4">IFERROR(VLOOKUP(-F18,$T$3:$W$55,3,FALSE),"")</f>
        <v xml:space="preserve">CESPA Ltda                                   </v>
      </c>
      <c r="L18" s="118"/>
      <c r="M18" s="118"/>
      <c r="N18" s="118"/>
      <c r="O18" s="142" t="s">
        <v>1148</v>
      </c>
      <c r="P18" s="143" t="s">
        <v>1219</v>
      </c>
      <c r="Q18" s="143" t="s">
        <v>1220</v>
      </c>
      <c r="R18" s="143" t="s">
        <v>113</v>
      </c>
      <c r="S18" s="144" t="s">
        <v>1221</v>
      </c>
      <c r="T18" s="147">
        <v>-270000</v>
      </c>
      <c r="U18" s="143" t="s">
        <v>111</v>
      </c>
      <c r="V18" s="143" t="s">
        <v>1222</v>
      </c>
      <c r="W18" s="145" t="s">
        <v>1223</v>
      </c>
      <c r="X18" s="209"/>
      <c r="Y18" s="209"/>
      <c r="AA18" s="4">
        <f t="shared" si="0"/>
        <v>-270000</v>
      </c>
    </row>
    <row r="19" spans="2:27" ht="18" customHeight="1" x14ac:dyDescent="0.3">
      <c r="B19" s="113" t="s">
        <v>1140</v>
      </c>
      <c r="C19" s="87" t="s">
        <v>241</v>
      </c>
      <c r="D19" s="87" t="s">
        <v>244</v>
      </c>
      <c r="E19" s="87" t="s">
        <v>1312</v>
      </c>
      <c r="F19" s="87">
        <v>345439</v>
      </c>
      <c r="G19" s="87">
        <v>0</v>
      </c>
      <c r="H19" s="87">
        <v>52859051</v>
      </c>
      <c r="I19" s="126" t="s">
        <v>135</v>
      </c>
      <c r="J19" s="13" t="str">
        <f t="shared" si="3"/>
        <v>Factura 10717908</v>
      </c>
      <c r="K19" s="13" t="str">
        <f t="shared" si="4"/>
        <v xml:space="preserve">GASCO GLP S.A                                </v>
      </c>
      <c r="L19" s="118"/>
      <c r="M19" s="118"/>
      <c r="N19" s="118"/>
      <c r="O19" s="142" t="s">
        <v>1148</v>
      </c>
      <c r="P19" s="143" t="s">
        <v>1224</v>
      </c>
      <c r="Q19" s="143" t="s">
        <v>1225</v>
      </c>
      <c r="R19" s="143" t="s">
        <v>112</v>
      </c>
      <c r="S19" s="144" t="s">
        <v>1226</v>
      </c>
      <c r="T19" s="147">
        <v>-304528</v>
      </c>
      <c r="U19" s="143" t="s">
        <v>111</v>
      </c>
      <c r="V19" s="143" t="s">
        <v>1227</v>
      </c>
      <c r="W19" s="145" t="s">
        <v>1228</v>
      </c>
      <c r="X19" s="209"/>
      <c r="Y19" s="209"/>
      <c r="AA19" s="4">
        <f t="shared" si="0"/>
        <v>-304528</v>
      </c>
    </row>
    <row r="20" spans="2:27" ht="18" customHeight="1" x14ac:dyDescent="0.3">
      <c r="B20" s="113" t="s">
        <v>1140</v>
      </c>
      <c r="C20" s="87" t="s">
        <v>241</v>
      </c>
      <c r="D20" s="87" t="s">
        <v>1310</v>
      </c>
      <c r="E20" s="87" t="s">
        <v>1311</v>
      </c>
      <c r="F20" s="87">
        <v>1282338</v>
      </c>
      <c r="G20" s="87">
        <v>0</v>
      </c>
      <c r="H20" s="87">
        <v>51576713</v>
      </c>
      <c r="I20" s="126" t="s">
        <v>135</v>
      </c>
      <c r="J20" s="13" t="str">
        <f t="shared" si="3"/>
        <v>fact 40494</v>
      </c>
      <c r="K20" s="13" t="str">
        <f t="shared" si="4"/>
        <v xml:space="preserve">CESPA Ltda                                   </v>
      </c>
      <c r="L20" s="118"/>
      <c r="M20" s="118"/>
      <c r="N20" s="118"/>
      <c r="O20" s="142" t="s">
        <v>1148</v>
      </c>
      <c r="P20" s="143" t="s">
        <v>1229</v>
      </c>
      <c r="Q20" s="143" t="s">
        <v>126</v>
      </c>
      <c r="R20" s="143" t="s">
        <v>114</v>
      </c>
      <c r="S20" s="144" t="s">
        <v>158</v>
      </c>
      <c r="T20" s="147">
        <v>-900000</v>
      </c>
      <c r="U20" s="143" t="s">
        <v>111</v>
      </c>
      <c r="V20" s="143" t="s">
        <v>127</v>
      </c>
      <c r="W20" s="145" t="s">
        <v>693</v>
      </c>
      <c r="X20" s="209"/>
      <c r="Y20" s="209"/>
      <c r="AA20" s="4">
        <f t="shared" si="0"/>
        <v>-900000</v>
      </c>
    </row>
    <row r="21" spans="2:27" ht="18" customHeight="1" x14ac:dyDescent="0.3">
      <c r="B21" s="113" t="s">
        <v>1140</v>
      </c>
      <c r="C21" s="87" t="s">
        <v>241</v>
      </c>
      <c r="D21" s="87" t="s">
        <v>244</v>
      </c>
      <c r="E21" s="87" t="s">
        <v>1313</v>
      </c>
      <c r="F21" s="87">
        <v>100000</v>
      </c>
      <c r="G21" s="87">
        <v>0</v>
      </c>
      <c r="H21" s="87">
        <v>51476713</v>
      </c>
      <c r="I21" s="126" t="s">
        <v>29</v>
      </c>
      <c r="J21" s="13" t="str">
        <f t="shared" si="3"/>
        <v>Sueldo nov 2023</v>
      </c>
      <c r="K21" s="13" t="str">
        <f t="shared" si="4"/>
        <v xml:space="preserve">Luis Arias                                   </v>
      </c>
      <c r="L21" s="118"/>
      <c r="M21" s="118"/>
      <c r="N21" s="118"/>
      <c r="O21" s="142" t="s">
        <v>1157</v>
      </c>
      <c r="P21" s="143" t="s">
        <v>1230</v>
      </c>
      <c r="Q21" s="143" t="s">
        <v>269</v>
      </c>
      <c r="R21" s="143" t="s">
        <v>250</v>
      </c>
      <c r="S21" s="144" t="s">
        <v>270</v>
      </c>
      <c r="T21" s="147">
        <v>-463530</v>
      </c>
      <c r="U21" s="143" t="s">
        <v>111</v>
      </c>
      <c r="V21" s="143" t="s">
        <v>271</v>
      </c>
      <c r="W21" s="145" t="s">
        <v>1231</v>
      </c>
      <c r="X21" s="209"/>
      <c r="Y21" s="209"/>
    </row>
    <row r="22" spans="2:27" ht="18" customHeight="1" x14ac:dyDescent="0.3">
      <c r="B22" s="113" t="s">
        <v>1314</v>
      </c>
      <c r="C22" s="87" t="s">
        <v>241</v>
      </c>
      <c r="D22" s="87" t="s">
        <v>244</v>
      </c>
      <c r="E22" s="87" t="s">
        <v>1315</v>
      </c>
      <c r="F22" s="87">
        <v>500000</v>
      </c>
      <c r="G22" s="87">
        <v>0</v>
      </c>
      <c r="H22" s="87">
        <v>50976713</v>
      </c>
      <c r="I22" s="126" t="s">
        <v>134</v>
      </c>
      <c r="J22" s="13" t="str">
        <f t="shared" si="3"/>
        <v>Pago1 Hotel Pascual Andino</v>
      </c>
      <c r="K22" s="13" t="str">
        <f t="shared" si="4"/>
        <v xml:space="preserve">Allison Villarroel                           </v>
      </c>
      <c r="L22" s="118" t="s">
        <v>1382</v>
      </c>
      <c r="M22" s="118"/>
      <c r="N22" s="118"/>
      <c r="O22" s="142" t="s">
        <v>1143</v>
      </c>
      <c r="P22" s="143" t="s">
        <v>1232</v>
      </c>
      <c r="Q22" s="143" t="s">
        <v>1233</v>
      </c>
      <c r="R22" s="143" t="s">
        <v>114</v>
      </c>
      <c r="S22" s="144" t="s">
        <v>1234</v>
      </c>
      <c r="T22" s="147">
        <v>-259182</v>
      </c>
      <c r="U22" s="143" t="s">
        <v>111</v>
      </c>
      <c r="V22" s="143" t="s">
        <v>1235</v>
      </c>
      <c r="W22" s="145" t="s">
        <v>1236</v>
      </c>
      <c r="X22" s="209"/>
      <c r="Y22" s="209"/>
    </row>
    <row r="23" spans="2:27" ht="18" customHeight="1" x14ac:dyDescent="0.3">
      <c r="B23" s="113" t="s">
        <v>1314</v>
      </c>
      <c r="C23" s="87" t="s">
        <v>255</v>
      </c>
      <c r="D23" s="87" t="s">
        <v>256</v>
      </c>
      <c r="E23" s="87"/>
      <c r="F23" s="87">
        <v>0</v>
      </c>
      <c r="G23" s="87">
        <v>16000</v>
      </c>
      <c r="H23" s="87">
        <v>50992713</v>
      </c>
      <c r="I23" s="126" t="s">
        <v>136</v>
      </c>
      <c r="J23" s="13" t="e">
        <f t="shared" si="3"/>
        <v>#N/A</v>
      </c>
      <c r="K23" s="13" t="str">
        <f t="shared" si="4"/>
        <v/>
      </c>
      <c r="L23" s="118"/>
      <c r="M23" s="118"/>
      <c r="N23" s="118"/>
      <c r="O23" s="142" t="s">
        <v>1237</v>
      </c>
      <c r="P23" s="143" t="s">
        <v>1238</v>
      </c>
      <c r="Q23" s="143" t="s">
        <v>1239</v>
      </c>
      <c r="R23" s="143" t="s">
        <v>112</v>
      </c>
      <c r="S23" s="144" t="s">
        <v>1240</v>
      </c>
      <c r="T23" s="147">
        <v>-172074</v>
      </c>
      <c r="U23" s="143" t="s">
        <v>111</v>
      </c>
      <c r="V23" s="143" t="s">
        <v>1241</v>
      </c>
      <c r="W23" s="145" t="s">
        <v>1242</v>
      </c>
      <c r="X23" s="209"/>
      <c r="Y23" s="209"/>
    </row>
    <row r="24" spans="2:27" ht="18" customHeight="1" x14ac:dyDescent="0.3">
      <c r="B24" s="113" t="s">
        <v>1237</v>
      </c>
      <c r="C24" s="87" t="s">
        <v>241</v>
      </c>
      <c r="D24" s="87" t="s">
        <v>244</v>
      </c>
      <c r="E24" s="87" t="s">
        <v>1316</v>
      </c>
      <c r="F24" s="87">
        <v>172074</v>
      </c>
      <c r="G24" s="87">
        <v>0</v>
      </c>
      <c r="H24" s="87">
        <v>50820639</v>
      </c>
      <c r="I24" s="126" t="s">
        <v>8</v>
      </c>
      <c r="J24" s="13" t="str">
        <f t="shared" si="3"/>
        <v>Nota venta 25937</v>
      </c>
      <c r="K24" s="13" t="str">
        <f t="shared" si="4"/>
        <v xml:space="preserve">Horus Promotion &amp; Marketing Ltda             </v>
      </c>
      <c r="L24" s="118" t="s">
        <v>1383</v>
      </c>
      <c r="M24" s="118"/>
      <c r="N24" s="118"/>
      <c r="O24" s="142" t="s">
        <v>1141</v>
      </c>
      <c r="P24" s="143" t="s">
        <v>1243</v>
      </c>
      <c r="Q24" s="143" t="s">
        <v>1244</v>
      </c>
      <c r="R24" s="143" t="s">
        <v>113</v>
      </c>
      <c r="S24" s="144" t="s">
        <v>1245</v>
      </c>
      <c r="T24" s="147">
        <v>-500000</v>
      </c>
      <c r="U24" s="143" t="s">
        <v>111</v>
      </c>
      <c r="V24" s="143" t="s">
        <v>1246</v>
      </c>
      <c r="W24" s="145" t="s">
        <v>1247</v>
      </c>
      <c r="X24" s="209"/>
      <c r="Y24" s="209"/>
    </row>
    <row r="25" spans="2:27" ht="18" customHeight="1" x14ac:dyDescent="0.3">
      <c r="B25" s="235" t="s">
        <v>1237</v>
      </c>
      <c r="C25" s="236" t="s">
        <v>241</v>
      </c>
      <c r="D25" s="236" t="s">
        <v>1304</v>
      </c>
      <c r="E25" s="236" t="s">
        <v>1305</v>
      </c>
      <c r="F25" s="236">
        <v>1000000</v>
      </c>
      <c r="G25" s="87">
        <v>0</v>
      </c>
      <c r="H25" s="87">
        <v>49820639</v>
      </c>
      <c r="I25" s="126"/>
      <c r="J25" s="13" t="e">
        <f t="shared" si="3"/>
        <v>#N/A</v>
      </c>
      <c r="K25" s="13" t="str">
        <f t="shared" si="4"/>
        <v/>
      </c>
      <c r="L25" s="118"/>
      <c r="M25" s="118"/>
      <c r="N25" s="118"/>
      <c r="O25" s="142" t="s">
        <v>1140</v>
      </c>
      <c r="P25" s="143" t="s">
        <v>1248</v>
      </c>
      <c r="Q25" s="143" t="s">
        <v>152</v>
      </c>
      <c r="R25" s="143" t="s">
        <v>113</v>
      </c>
      <c r="S25" s="144" t="s">
        <v>159</v>
      </c>
      <c r="T25" s="147">
        <v>-100000</v>
      </c>
      <c r="U25" s="143" t="s">
        <v>111</v>
      </c>
      <c r="V25" s="143" t="s">
        <v>161</v>
      </c>
      <c r="W25" s="145" t="s">
        <v>1249</v>
      </c>
      <c r="X25" s="209"/>
      <c r="Y25" s="209"/>
    </row>
    <row r="26" spans="2:27" ht="18" customHeight="1" x14ac:dyDescent="0.3">
      <c r="B26" s="235" t="s">
        <v>1142</v>
      </c>
      <c r="C26" s="236" t="s">
        <v>241</v>
      </c>
      <c r="D26" s="236" t="s">
        <v>274</v>
      </c>
      <c r="E26" s="236" t="s">
        <v>275</v>
      </c>
      <c r="F26" s="236">
        <v>551202</v>
      </c>
      <c r="G26" s="87">
        <v>0</v>
      </c>
      <c r="H26" s="87">
        <v>49269437</v>
      </c>
      <c r="I26" s="126"/>
      <c r="J26" s="13" t="e">
        <f t="shared" si="3"/>
        <v>#N/A</v>
      </c>
      <c r="K26" s="13" t="str">
        <f t="shared" si="4"/>
        <v/>
      </c>
      <c r="L26" s="118"/>
      <c r="M26" s="118"/>
      <c r="N26" s="118"/>
      <c r="O26" s="142" t="s">
        <v>1139</v>
      </c>
      <c r="P26" s="143" t="s">
        <v>1250</v>
      </c>
      <c r="Q26" s="143" t="s">
        <v>1251</v>
      </c>
      <c r="R26" s="143" t="s">
        <v>250</v>
      </c>
      <c r="S26" s="144" t="s">
        <v>1252</v>
      </c>
      <c r="T26" s="147">
        <v>-345439</v>
      </c>
      <c r="U26" s="143" t="s">
        <v>111</v>
      </c>
      <c r="V26" s="143" t="s">
        <v>1253</v>
      </c>
      <c r="W26" s="145" t="s">
        <v>1254</v>
      </c>
      <c r="X26" s="209"/>
      <c r="Y26" s="209"/>
    </row>
    <row r="27" spans="2:27" ht="18" customHeight="1" x14ac:dyDescent="0.3">
      <c r="B27" s="113" t="s">
        <v>1144</v>
      </c>
      <c r="C27" s="87" t="s">
        <v>241</v>
      </c>
      <c r="D27" s="87" t="s">
        <v>1317</v>
      </c>
      <c r="E27" s="87" t="s">
        <v>1318</v>
      </c>
      <c r="F27" s="87">
        <v>259182</v>
      </c>
      <c r="G27" s="87">
        <v>0</v>
      </c>
      <c r="H27" s="87">
        <v>49010255</v>
      </c>
      <c r="I27" s="126" t="s">
        <v>134</v>
      </c>
      <c r="J27" s="13" t="str">
        <f t="shared" si="3"/>
        <v>cot 10522</v>
      </c>
      <c r="K27" s="13" t="str">
        <f t="shared" si="4"/>
        <v xml:space="preserve">Sociedad comercial Araya y torres limita     </v>
      </c>
      <c r="L27" s="118" t="s">
        <v>1384</v>
      </c>
      <c r="M27" s="118"/>
      <c r="N27" s="118"/>
      <c r="O27" s="142" t="s">
        <v>1139</v>
      </c>
      <c r="P27" s="143" t="s">
        <v>1255</v>
      </c>
      <c r="Q27" s="143" t="s">
        <v>1256</v>
      </c>
      <c r="R27" s="143" t="s">
        <v>114</v>
      </c>
      <c r="S27" s="144" t="s">
        <v>1257</v>
      </c>
      <c r="T27" s="147">
        <v>-1282338</v>
      </c>
      <c r="U27" s="143" t="s">
        <v>111</v>
      </c>
      <c r="V27" s="143" t="s">
        <v>1258</v>
      </c>
      <c r="W27" s="145" t="s">
        <v>1259</v>
      </c>
      <c r="X27" s="209"/>
      <c r="Y27" s="209"/>
    </row>
    <row r="28" spans="2:27" ht="18" customHeight="1" x14ac:dyDescent="0.3">
      <c r="B28" s="113" t="s">
        <v>1148</v>
      </c>
      <c r="C28" s="87" t="s">
        <v>241</v>
      </c>
      <c r="D28" s="87" t="s">
        <v>244</v>
      </c>
      <c r="E28" s="87" t="s">
        <v>1319</v>
      </c>
      <c r="F28" s="87">
        <v>463530</v>
      </c>
      <c r="G28" s="87">
        <v>0</v>
      </c>
      <c r="H28" s="87">
        <v>48546725</v>
      </c>
      <c r="I28" s="126" t="s">
        <v>8</v>
      </c>
      <c r="J28" s="13" t="str">
        <f t="shared" si="3"/>
        <v>factura 1388628</v>
      </c>
      <c r="K28" s="13" t="str">
        <f t="shared" si="4"/>
        <v xml:space="preserve">Soc Comercial Conaripe Ltda                  </v>
      </c>
      <c r="L28" s="118"/>
      <c r="M28" s="118"/>
      <c r="N28" s="118"/>
      <c r="O28" s="142" t="s">
        <v>1139</v>
      </c>
      <c r="P28" s="143" t="s">
        <v>1260</v>
      </c>
      <c r="Q28" s="143" t="s">
        <v>1256</v>
      </c>
      <c r="R28" s="143" t="s">
        <v>114</v>
      </c>
      <c r="S28" s="144" t="s">
        <v>1257</v>
      </c>
      <c r="T28" s="147">
        <v>-1325749</v>
      </c>
      <c r="U28" s="143" t="s">
        <v>111</v>
      </c>
      <c r="V28" s="143" t="s">
        <v>1258</v>
      </c>
      <c r="W28" s="145" t="s">
        <v>1261</v>
      </c>
      <c r="X28" s="209"/>
      <c r="Y28" s="209"/>
    </row>
    <row r="29" spans="2:27" ht="18" customHeight="1" x14ac:dyDescent="0.3">
      <c r="B29" s="113" t="s">
        <v>1148</v>
      </c>
      <c r="C29" s="87" t="s">
        <v>241</v>
      </c>
      <c r="D29" s="87" t="s">
        <v>243</v>
      </c>
      <c r="E29" s="87" t="s">
        <v>245</v>
      </c>
      <c r="F29" s="87">
        <v>900000</v>
      </c>
      <c r="G29" s="87">
        <v>0</v>
      </c>
      <c r="H29" s="87">
        <v>47646725</v>
      </c>
      <c r="I29" s="126" t="s">
        <v>132</v>
      </c>
      <c r="J29" s="13" t="str">
        <f t="shared" si="3"/>
        <v>FR</v>
      </c>
      <c r="K29" s="13" t="str">
        <f t="shared" si="4"/>
        <v>SOCIEDAD HOTELERA ZAMORA RAMIREZ HERMANOS LIM</v>
      </c>
      <c r="L29" s="118"/>
      <c r="M29" s="118"/>
      <c r="N29" s="118"/>
      <c r="O29" s="142" t="s">
        <v>1139</v>
      </c>
      <c r="P29" s="143" t="s">
        <v>1262</v>
      </c>
      <c r="Q29" s="143" t="s">
        <v>1256</v>
      </c>
      <c r="R29" s="143" t="s">
        <v>114</v>
      </c>
      <c r="S29" s="144" t="s">
        <v>1257</v>
      </c>
      <c r="T29" s="147">
        <v>-1784280</v>
      </c>
      <c r="U29" s="143" t="s">
        <v>111</v>
      </c>
      <c r="V29" s="143" t="s">
        <v>1258</v>
      </c>
      <c r="W29" s="145" t="s">
        <v>1263</v>
      </c>
      <c r="X29" s="209"/>
      <c r="Y29" s="209"/>
    </row>
    <row r="30" spans="2:27" ht="18" customHeight="1" x14ac:dyDescent="0.3">
      <c r="B30" s="235" t="s">
        <v>1148</v>
      </c>
      <c r="C30" s="236" t="s">
        <v>241</v>
      </c>
      <c r="D30" s="236" t="s">
        <v>1304</v>
      </c>
      <c r="E30" s="236" t="s">
        <v>1305</v>
      </c>
      <c r="F30" s="236">
        <v>1000000</v>
      </c>
      <c r="G30" s="87">
        <v>0</v>
      </c>
      <c r="H30" s="87">
        <v>46646725</v>
      </c>
      <c r="I30" s="126"/>
      <c r="J30" s="13" t="e">
        <f t="shared" si="3"/>
        <v>#N/A</v>
      </c>
      <c r="K30" s="13" t="str">
        <f t="shared" si="4"/>
        <v/>
      </c>
      <c r="L30" s="118"/>
      <c r="M30" s="118"/>
      <c r="N30" s="118"/>
      <c r="O30" s="142" t="s">
        <v>1264</v>
      </c>
      <c r="P30" s="143" t="s">
        <v>1265</v>
      </c>
      <c r="Q30" s="143" t="s">
        <v>694</v>
      </c>
      <c r="R30" s="143" t="s">
        <v>114</v>
      </c>
      <c r="S30" s="144" t="s">
        <v>1266</v>
      </c>
      <c r="T30" s="147">
        <v>-219960</v>
      </c>
      <c r="U30" s="143" t="s">
        <v>111</v>
      </c>
      <c r="V30" s="143" t="s">
        <v>1267</v>
      </c>
      <c r="W30" s="145" t="s">
        <v>1268</v>
      </c>
      <c r="X30" s="209"/>
      <c r="Y30" s="209"/>
    </row>
    <row r="31" spans="2:27" ht="18" customHeight="1" x14ac:dyDescent="0.3">
      <c r="B31" s="113" t="s">
        <v>1148</v>
      </c>
      <c r="C31" s="87" t="s">
        <v>255</v>
      </c>
      <c r="D31" s="87" t="s">
        <v>256</v>
      </c>
      <c r="E31" s="87"/>
      <c r="F31" s="87">
        <v>0</v>
      </c>
      <c r="G31" s="87">
        <v>19000</v>
      </c>
      <c r="H31" s="87">
        <v>46665725</v>
      </c>
      <c r="I31" s="126" t="s">
        <v>136</v>
      </c>
      <c r="J31" s="13" t="e">
        <f t="shared" si="3"/>
        <v>#N/A</v>
      </c>
      <c r="K31" s="13" t="str">
        <f t="shared" si="4"/>
        <v/>
      </c>
      <c r="L31" s="118"/>
      <c r="M31" s="118"/>
      <c r="N31" s="118"/>
      <c r="O31" s="142" t="s">
        <v>1137</v>
      </c>
      <c r="P31" s="143" t="s">
        <v>1269</v>
      </c>
      <c r="Q31" s="143" t="s">
        <v>1270</v>
      </c>
      <c r="R31" s="143" t="s">
        <v>112</v>
      </c>
      <c r="S31" s="144" t="s">
        <v>1271</v>
      </c>
      <c r="T31" s="147">
        <v>-75000</v>
      </c>
      <c r="U31" s="143" t="s">
        <v>111</v>
      </c>
      <c r="V31" s="143" t="s">
        <v>1272</v>
      </c>
      <c r="W31" s="145" t="s">
        <v>1273</v>
      </c>
      <c r="X31" s="209"/>
      <c r="Y31" s="209"/>
    </row>
    <row r="32" spans="2:27" ht="18" customHeight="1" x14ac:dyDescent="0.3">
      <c r="B32" s="113" t="s">
        <v>1148</v>
      </c>
      <c r="C32" s="87" t="s">
        <v>241</v>
      </c>
      <c r="D32" s="87" t="s">
        <v>244</v>
      </c>
      <c r="E32" s="87" t="s">
        <v>1320</v>
      </c>
      <c r="F32" s="87">
        <v>304528</v>
      </c>
      <c r="G32" s="87">
        <v>0</v>
      </c>
      <c r="H32" s="87">
        <v>46361197</v>
      </c>
      <c r="I32" s="126" t="s">
        <v>135</v>
      </c>
      <c r="J32" s="13" t="str">
        <f t="shared" si="3"/>
        <v>Cobranza 761915614</v>
      </c>
      <c r="K32" s="13" t="str">
        <f t="shared" si="4"/>
        <v xml:space="preserve">Caja Los Andes                               </v>
      </c>
      <c r="L32" s="118"/>
      <c r="M32" s="118"/>
      <c r="N32" s="118"/>
      <c r="O32" s="142" t="s">
        <v>1274</v>
      </c>
      <c r="P32" s="143" t="s">
        <v>1275</v>
      </c>
      <c r="Q32" s="143" t="s">
        <v>305</v>
      </c>
      <c r="R32" s="143" t="s">
        <v>181</v>
      </c>
      <c r="S32" s="144" t="s">
        <v>306</v>
      </c>
      <c r="T32" s="147">
        <v>-6089235</v>
      </c>
      <c r="U32" s="143" t="s">
        <v>111</v>
      </c>
      <c r="V32" s="143" t="s">
        <v>307</v>
      </c>
      <c r="W32" s="145" t="s">
        <v>1276</v>
      </c>
      <c r="X32" s="209"/>
      <c r="Y32" s="209"/>
    </row>
    <row r="33" spans="2:25" ht="18" customHeight="1" x14ac:dyDescent="0.3">
      <c r="B33" s="113" t="s">
        <v>1145</v>
      </c>
      <c r="C33" s="87" t="s">
        <v>241</v>
      </c>
      <c r="D33" s="87" t="s">
        <v>244</v>
      </c>
      <c r="E33" s="87" t="s">
        <v>1321</v>
      </c>
      <c r="F33" s="87">
        <v>270000</v>
      </c>
      <c r="G33" s="87">
        <v>0</v>
      </c>
      <c r="H33" s="87">
        <v>46091197</v>
      </c>
      <c r="I33" s="126" t="s">
        <v>11</v>
      </c>
      <c r="J33" s="13" t="str">
        <f t="shared" si="3"/>
        <v>envio fedex</v>
      </c>
      <c r="K33" s="13" t="str">
        <f t="shared" si="4"/>
        <v xml:space="preserve">Paulina Saez Palma                           </v>
      </c>
      <c r="L33" s="118" t="s">
        <v>1385</v>
      </c>
      <c r="M33" s="118"/>
      <c r="N33" s="118"/>
      <c r="O33" s="142" t="s">
        <v>1274</v>
      </c>
      <c r="P33" s="143" t="s">
        <v>1277</v>
      </c>
      <c r="Q33" s="143" t="s">
        <v>1278</v>
      </c>
      <c r="R33" s="143" t="s">
        <v>502</v>
      </c>
      <c r="S33" s="144" t="s">
        <v>1279</v>
      </c>
      <c r="T33" s="147">
        <v>-700000</v>
      </c>
      <c r="U33" s="143" t="s">
        <v>111</v>
      </c>
      <c r="V33" s="143" t="s">
        <v>1280</v>
      </c>
      <c r="W33" s="145" t="s">
        <v>1281</v>
      </c>
      <c r="X33" s="209"/>
      <c r="Y33" s="209"/>
    </row>
    <row r="34" spans="2:25" ht="18" customHeight="1" x14ac:dyDescent="0.3">
      <c r="B34" s="113" t="s">
        <v>1160</v>
      </c>
      <c r="C34" s="87" t="s">
        <v>241</v>
      </c>
      <c r="D34" s="87" t="s">
        <v>244</v>
      </c>
      <c r="E34" s="87" t="s">
        <v>1322</v>
      </c>
      <c r="F34" s="87">
        <v>760398</v>
      </c>
      <c r="G34" s="87">
        <v>0</v>
      </c>
      <c r="H34" s="87">
        <v>45330799</v>
      </c>
      <c r="I34" s="126" t="s">
        <v>29</v>
      </c>
      <c r="J34" s="13" t="str">
        <f t="shared" si="3"/>
        <v>Sueldo Nov23</v>
      </c>
      <c r="K34" s="13" t="str">
        <f t="shared" si="4"/>
        <v xml:space="preserve">Brandon Arostegui                            </v>
      </c>
      <c r="L34" s="118"/>
      <c r="M34" s="118"/>
      <c r="N34" s="118"/>
      <c r="O34" s="142" t="s">
        <v>1274</v>
      </c>
      <c r="P34" s="143" t="s">
        <v>1282</v>
      </c>
      <c r="Q34" s="143" t="s">
        <v>1283</v>
      </c>
      <c r="R34" s="143" t="s">
        <v>250</v>
      </c>
      <c r="S34" s="144" t="s">
        <v>1284</v>
      </c>
      <c r="T34" s="147">
        <v>-1365840</v>
      </c>
      <c r="U34" s="143" t="s">
        <v>111</v>
      </c>
      <c r="V34" s="143" t="s">
        <v>1285</v>
      </c>
      <c r="W34" s="145" t="s">
        <v>1286</v>
      </c>
      <c r="X34" s="209"/>
      <c r="Y34" s="209"/>
    </row>
    <row r="35" spans="2:25" ht="18" customHeight="1" x14ac:dyDescent="0.3">
      <c r="B35" s="113" t="s">
        <v>1160</v>
      </c>
      <c r="C35" s="87" t="s">
        <v>241</v>
      </c>
      <c r="D35" s="87" t="s">
        <v>244</v>
      </c>
      <c r="E35" s="87" t="s">
        <v>1323</v>
      </c>
      <c r="F35" s="87">
        <v>719106</v>
      </c>
      <c r="G35" s="87">
        <v>0</v>
      </c>
      <c r="H35" s="87">
        <v>44611693</v>
      </c>
      <c r="I35" s="126" t="s">
        <v>29</v>
      </c>
      <c r="J35" s="13" t="str">
        <f t="shared" si="3"/>
        <v>Sueldo Nov23</v>
      </c>
      <c r="K35" s="13" t="str">
        <f t="shared" si="4"/>
        <v xml:space="preserve">Eduadro Hevia                                </v>
      </c>
      <c r="L35" s="118"/>
      <c r="M35" s="118"/>
      <c r="N35" s="84"/>
      <c r="O35" s="142" t="s">
        <v>1274</v>
      </c>
      <c r="P35" s="143" t="s">
        <v>1287</v>
      </c>
      <c r="Q35" s="143" t="s">
        <v>216</v>
      </c>
      <c r="R35" s="143" t="s">
        <v>217</v>
      </c>
      <c r="S35" s="144" t="s">
        <v>218</v>
      </c>
      <c r="T35" s="147">
        <v>-551500</v>
      </c>
      <c r="U35" s="143" t="s">
        <v>111</v>
      </c>
      <c r="V35" s="143" t="s">
        <v>219</v>
      </c>
      <c r="W35" s="145" t="s">
        <v>1288</v>
      </c>
      <c r="X35" s="209"/>
      <c r="Y35" s="209"/>
    </row>
    <row r="36" spans="2:25" ht="18" customHeight="1" x14ac:dyDescent="0.3">
      <c r="B36" s="113" t="s">
        <v>1160</v>
      </c>
      <c r="C36" s="87" t="s">
        <v>241</v>
      </c>
      <c r="D36" s="87" t="s">
        <v>244</v>
      </c>
      <c r="E36" s="87" t="s">
        <v>1324</v>
      </c>
      <c r="F36" s="87">
        <v>788170</v>
      </c>
      <c r="G36" s="87">
        <v>0</v>
      </c>
      <c r="H36" s="87">
        <v>43823523</v>
      </c>
      <c r="I36" s="126" t="s">
        <v>29</v>
      </c>
      <c r="J36" s="13" t="str">
        <f t="shared" si="3"/>
        <v>Sueldo Nov23</v>
      </c>
      <c r="K36" s="13" t="str">
        <f t="shared" si="4"/>
        <v xml:space="preserve">Camila Marrazzo                              </v>
      </c>
      <c r="L36" s="118"/>
      <c r="M36" s="118"/>
      <c r="N36" s="84"/>
      <c r="O36" s="142" t="s">
        <v>1274</v>
      </c>
      <c r="P36" s="143" t="s">
        <v>1289</v>
      </c>
      <c r="Q36" s="143" t="s">
        <v>1290</v>
      </c>
      <c r="R36" s="143" t="s">
        <v>114</v>
      </c>
      <c r="S36" s="144" t="s">
        <v>1291</v>
      </c>
      <c r="T36" s="147">
        <v>-538150</v>
      </c>
      <c r="U36" s="143" t="s">
        <v>111</v>
      </c>
      <c r="V36" s="143" t="s">
        <v>1292</v>
      </c>
      <c r="W36" s="145" t="s">
        <v>1293</v>
      </c>
      <c r="X36" s="209"/>
      <c r="Y36" s="209"/>
    </row>
    <row r="37" spans="2:25" ht="18" customHeight="1" x14ac:dyDescent="0.3">
      <c r="B37" s="113" t="s">
        <v>1160</v>
      </c>
      <c r="C37" s="87" t="s">
        <v>241</v>
      </c>
      <c r="D37" s="87" t="s">
        <v>244</v>
      </c>
      <c r="E37" s="87" t="s">
        <v>1325</v>
      </c>
      <c r="F37" s="87">
        <v>1520717</v>
      </c>
      <c r="G37" s="87">
        <v>0</v>
      </c>
      <c r="H37" s="87">
        <v>42302806</v>
      </c>
      <c r="I37" s="126" t="s">
        <v>29</v>
      </c>
      <c r="J37" s="13" t="str">
        <f t="shared" si="3"/>
        <v>Sueldo Nov23</v>
      </c>
      <c r="K37" s="13" t="str">
        <f t="shared" si="4"/>
        <v xml:space="preserve">Leticia Alessi                               </v>
      </c>
      <c r="L37" s="118"/>
      <c r="M37" s="118"/>
      <c r="N37" s="84"/>
      <c r="O37" s="142" t="s">
        <v>1294</v>
      </c>
      <c r="P37" s="143" t="s">
        <v>1295</v>
      </c>
      <c r="Q37" s="143" t="s">
        <v>126</v>
      </c>
      <c r="R37" s="143" t="s">
        <v>114</v>
      </c>
      <c r="S37" s="144" t="s">
        <v>158</v>
      </c>
      <c r="T37" s="147">
        <v>-4000000</v>
      </c>
      <c r="U37" s="143" t="s">
        <v>111</v>
      </c>
      <c r="V37" s="143" t="s">
        <v>127</v>
      </c>
      <c r="W37" s="145" t="s">
        <v>693</v>
      </c>
      <c r="X37" s="209"/>
      <c r="Y37" s="209"/>
    </row>
    <row r="38" spans="2:25" ht="18" customHeight="1" x14ac:dyDescent="0.3">
      <c r="B38" s="113" t="s">
        <v>1160</v>
      </c>
      <c r="C38" s="87" t="s">
        <v>241</v>
      </c>
      <c r="D38" s="87" t="s">
        <v>244</v>
      </c>
      <c r="E38" s="87" t="s">
        <v>1326</v>
      </c>
      <c r="F38" s="87">
        <v>1492346</v>
      </c>
      <c r="G38" s="87">
        <v>0</v>
      </c>
      <c r="H38" s="87">
        <v>40810460</v>
      </c>
      <c r="I38" s="126" t="s">
        <v>29</v>
      </c>
      <c r="J38" s="13" t="str">
        <f t="shared" ref="J38:J48" si="5">VLOOKUP(-F38,$T$3:$W$55,4,FALSE)</f>
        <v>Sueldo Nov23</v>
      </c>
      <c r="K38" s="13" t="str">
        <f t="shared" ref="K38:K48" si="6">IFERROR(VLOOKUP(-F38,$T$3:$W$55,3,FALSE),"")</f>
        <v xml:space="preserve">Angelica Ramirez Muñoz                       </v>
      </c>
      <c r="L38" s="118"/>
      <c r="M38" s="118"/>
      <c r="N38" s="84"/>
      <c r="O38" s="142"/>
      <c r="P38" s="143"/>
      <c r="Q38" s="143"/>
      <c r="R38" s="143"/>
      <c r="S38" s="144"/>
      <c r="T38" s="147"/>
      <c r="U38" s="143"/>
      <c r="V38" s="143"/>
      <c r="W38" s="145"/>
      <c r="X38" s="209"/>
    </row>
    <row r="39" spans="2:25" ht="18" customHeight="1" x14ac:dyDescent="0.3">
      <c r="B39" s="113" t="s">
        <v>1160</v>
      </c>
      <c r="C39" s="87" t="s">
        <v>241</v>
      </c>
      <c r="D39" s="87" t="s">
        <v>244</v>
      </c>
      <c r="E39" s="87" t="s">
        <v>1327</v>
      </c>
      <c r="F39" s="87">
        <v>629816</v>
      </c>
      <c r="G39" s="87">
        <v>0</v>
      </c>
      <c r="H39" s="87">
        <v>40180644</v>
      </c>
      <c r="I39" s="126" t="s">
        <v>29</v>
      </c>
      <c r="J39" s="13" t="str">
        <f t="shared" si="5"/>
        <v>Sueldo Nov23</v>
      </c>
      <c r="K39" s="13" t="str">
        <f t="shared" si="6"/>
        <v xml:space="preserve">NILDA CCAMA AYMA                             </v>
      </c>
      <c r="L39" s="118"/>
      <c r="M39" s="118"/>
      <c r="N39" s="84"/>
      <c r="O39" s="142"/>
      <c r="P39" s="143"/>
      <c r="Q39" s="143"/>
      <c r="R39" s="143"/>
      <c r="S39" s="144"/>
      <c r="T39" s="147"/>
      <c r="U39" s="143"/>
      <c r="V39" s="143"/>
      <c r="W39" s="145"/>
      <c r="X39" s="209"/>
    </row>
    <row r="40" spans="2:25" ht="18" customHeight="1" x14ac:dyDescent="0.3">
      <c r="B40" s="113" t="s">
        <v>1160</v>
      </c>
      <c r="C40" s="87" t="s">
        <v>241</v>
      </c>
      <c r="D40" s="87" t="s">
        <v>244</v>
      </c>
      <c r="E40" s="87" t="s">
        <v>1328</v>
      </c>
      <c r="F40" s="87">
        <v>212500</v>
      </c>
      <c r="G40" s="87">
        <v>0</v>
      </c>
      <c r="H40" s="87">
        <v>39968144</v>
      </c>
      <c r="I40" s="126" t="s">
        <v>29</v>
      </c>
      <c r="J40" s="13" t="str">
        <f t="shared" si="5"/>
        <v>Sueldo Nov23</v>
      </c>
      <c r="K40" s="13" t="str">
        <f t="shared" si="6"/>
        <v xml:space="preserve">Julio Conde                                  </v>
      </c>
      <c r="L40" s="118"/>
      <c r="M40" s="118"/>
      <c r="N40" s="84"/>
      <c r="O40" s="142"/>
      <c r="P40" s="143"/>
      <c r="Q40" s="143"/>
      <c r="R40" s="143"/>
      <c r="S40" s="144"/>
      <c r="T40" s="147"/>
      <c r="U40" s="143"/>
      <c r="V40" s="143"/>
      <c r="W40" s="145"/>
    </row>
    <row r="41" spans="2:25" ht="18" customHeight="1" x14ac:dyDescent="0.3">
      <c r="B41" s="113" t="s">
        <v>1160</v>
      </c>
      <c r="C41" s="87" t="s">
        <v>241</v>
      </c>
      <c r="D41" s="87" t="s">
        <v>244</v>
      </c>
      <c r="E41" s="87" t="s">
        <v>1329</v>
      </c>
      <c r="F41" s="87">
        <v>337500</v>
      </c>
      <c r="G41" s="87">
        <v>0</v>
      </c>
      <c r="H41" s="87">
        <v>39630644</v>
      </c>
      <c r="I41" s="126" t="s">
        <v>29</v>
      </c>
      <c r="J41" s="13" t="str">
        <f t="shared" si="5"/>
        <v>Sueldo Nov23</v>
      </c>
      <c r="K41" s="13" t="str">
        <f t="shared" si="6"/>
        <v xml:space="preserve">NATALIA CASTAÑO                              </v>
      </c>
      <c r="L41" s="118"/>
      <c r="M41" s="118"/>
      <c r="N41" s="84"/>
      <c r="O41" s="142"/>
      <c r="P41" s="143"/>
      <c r="Q41" s="143"/>
      <c r="R41" s="143"/>
      <c r="S41" s="144"/>
      <c r="T41" s="147"/>
      <c r="U41" s="143"/>
      <c r="V41" s="143"/>
      <c r="W41" s="145"/>
    </row>
    <row r="42" spans="2:25" ht="18" customHeight="1" x14ac:dyDescent="0.3">
      <c r="B42" s="113" t="s">
        <v>1160</v>
      </c>
      <c r="C42" s="87" t="s">
        <v>241</v>
      </c>
      <c r="D42" s="87" t="s">
        <v>244</v>
      </c>
      <c r="E42" s="87" t="s">
        <v>1330</v>
      </c>
      <c r="F42" s="87">
        <v>175000</v>
      </c>
      <c r="G42" s="87">
        <v>0</v>
      </c>
      <c r="H42" s="87">
        <v>39455644</v>
      </c>
      <c r="I42" s="126" t="s">
        <v>29</v>
      </c>
      <c r="J42" s="13" t="str">
        <f t="shared" si="5"/>
        <v>Sueldo Nov23</v>
      </c>
      <c r="K42" s="13" t="str">
        <f t="shared" si="6"/>
        <v xml:space="preserve">Catalina Panades                             </v>
      </c>
      <c r="L42" s="118"/>
      <c r="M42" s="118"/>
      <c r="N42" s="84"/>
      <c r="O42" s="224"/>
      <c r="P42" s="220"/>
      <c r="Q42" s="220"/>
      <c r="R42" s="220"/>
      <c r="S42" s="221"/>
      <c r="T42" s="222"/>
      <c r="U42" s="220"/>
      <c r="V42" s="220"/>
      <c r="W42" s="223"/>
    </row>
    <row r="43" spans="2:25" ht="18" customHeight="1" x14ac:dyDescent="0.3">
      <c r="B43" s="113" t="s">
        <v>1160</v>
      </c>
      <c r="C43" s="87" t="s">
        <v>241</v>
      </c>
      <c r="D43" s="87" t="s">
        <v>244</v>
      </c>
      <c r="E43" s="87" t="s">
        <v>1331</v>
      </c>
      <c r="F43" s="87">
        <v>187500</v>
      </c>
      <c r="G43" s="87">
        <v>0</v>
      </c>
      <c r="H43" s="87">
        <v>39268144</v>
      </c>
      <c r="I43" s="126" t="s">
        <v>29</v>
      </c>
      <c r="J43" s="13" t="str">
        <f t="shared" si="5"/>
        <v>Sueldo Nov23</v>
      </c>
      <c r="K43" s="13" t="str">
        <f t="shared" si="6"/>
        <v xml:space="preserve">Isabel Quispe Machaca                        </v>
      </c>
      <c r="L43" s="118"/>
      <c r="M43" s="118"/>
      <c r="N43" s="84"/>
      <c r="O43" s="224"/>
      <c r="P43" s="220"/>
      <c r="Q43" s="220"/>
      <c r="R43" s="220"/>
      <c r="S43" s="221"/>
      <c r="T43" s="222"/>
      <c r="U43" s="220"/>
      <c r="V43" s="220"/>
      <c r="W43" s="223"/>
    </row>
    <row r="44" spans="2:25" ht="18" customHeight="1" x14ac:dyDescent="0.3">
      <c r="B44" s="113" t="s">
        <v>1160</v>
      </c>
      <c r="C44" s="87" t="s">
        <v>241</v>
      </c>
      <c r="D44" s="87" t="s">
        <v>244</v>
      </c>
      <c r="E44" s="87" t="s">
        <v>1332</v>
      </c>
      <c r="F44" s="87">
        <v>337500</v>
      </c>
      <c r="G44" s="87">
        <v>0</v>
      </c>
      <c r="H44" s="87">
        <v>38930644</v>
      </c>
      <c r="I44" s="126" t="s">
        <v>29</v>
      </c>
      <c r="J44" s="13" t="str">
        <f t="shared" si="5"/>
        <v>Sueldo Nov23</v>
      </c>
      <c r="K44" s="13" t="str">
        <f t="shared" si="6"/>
        <v xml:space="preserve">NATALIA CASTAÑO                              </v>
      </c>
      <c r="L44" s="118"/>
      <c r="M44" s="118"/>
      <c r="N44" s="84"/>
      <c r="O44" s="224"/>
      <c r="P44" s="220"/>
      <c r="Q44" s="220"/>
      <c r="R44" s="220"/>
      <c r="S44" s="221"/>
      <c r="T44" s="222"/>
      <c r="U44" s="220"/>
      <c r="V44" s="220"/>
      <c r="W44" s="223"/>
    </row>
    <row r="45" spans="2:25" ht="18" customHeight="1" x14ac:dyDescent="0.3">
      <c r="B45" s="113" t="s">
        <v>1160</v>
      </c>
      <c r="C45" s="87" t="s">
        <v>241</v>
      </c>
      <c r="D45" s="87" t="s">
        <v>244</v>
      </c>
      <c r="E45" s="87" t="s">
        <v>1333</v>
      </c>
      <c r="F45" s="87">
        <v>577885</v>
      </c>
      <c r="G45" s="87">
        <v>0</v>
      </c>
      <c r="H45" s="87">
        <v>38352759</v>
      </c>
      <c r="I45" s="126" t="s">
        <v>29</v>
      </c>
      <c r="J45" s="13" t="str">
        <f t="shared" si="5"/>
        <v>Sueldo Nov23</v>
      </c>
      <c r="K45" s="13" t="str">
        <f t="shared" si="6"/>
        <v xml:space="preserve">Silvia Perez Ibarra                          </v>
      </c>
      <c r="L45" s="118"/>
      <c r="M45" s="118"/>
      <c r="N45" s="84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 t="s">
        <v>1160</v>
      </c>
      <c r="C46" s="87" t="s">
        <v>241</v>
      </c>
      <c r="D46" s="87" t="s">
        <v>244</v>
      </c>
      <c r="E46" s="87" t="s">
        <v>1334</v>
      </c>
      <c r="F46" s="87">
        <v>602399</v>
      </c>
      <c r="G46" s="87">
        <v>0</v>
      </c>
      <c r="H46" s="87">
        <v>37750360</v>
      </c>
      <c r="I46" s="126" t="s">
        <v>29</v>
      </c>
      <c r="J46" s="13" t="str">
        <f t="shared" si="5"/>
        <v>Sueldo Nov23</v>
      </c>
      <c r="K46" s="13" t="str">
        <f t="shared" si="6"/>
        <v xml:space="preserve">Paula Machaca Yanamo                         </v>
      </c>
      <c r="L46" s="118"/>
      <c r="M46" s="84"/>
      <c r="N46" s="84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 t="s">
        <v>1160</v>
      </c>
      <c r="C47" s="87" t="s">
        <v>241</v>
      </c>
      <c r="D47" s="87" t="s">
        <v>244</v>
      </c>
      <c r="E47" s="87" t="s">
        <v>1335</v>
      </c>
      <c r="F47" s="87">
        <v>382818</v>
      </c>
      <c r="G47" s="87">
        <v>0</v>
      </c>
      <c r="H47" s="87">
        <v>37367542</v>
      </c>
      <c r="I47" s="126" t="s">
        <v>29</v>
      </c>
      <c r="J47" s="13" t="str">
        <f t="shared" si="5"/>
        <v>Sueldo Nov23</v>
      </c>
      <c r="K47" s="13" t="str">
        <f t="shared" si="6"/>
        <v xml:space="preserve">Luis Arias                                   </v>
      </c>
      <c r="L47" s="118"/>
      <c r="M47" s="118"/>
      <c r="N47" s="84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 t="s">
        <v>1160</v>
      </c>
      <c r="C48" s="87" t="s">
        <v>241</v>
      </c>
      <c r="D48" s="87" t="s">
        <v>244</v>
      </c>
      <c r="E48" s="87" t="s">
        <v>1336</v>
      </c>
      <c r="F48" s="87">
        <v>468682</v>
      </c>
      <c r="G48" s="87">
        <v>0</v>
      </c>
      <c r="H48" s="87">
        <v>36898860</v>
      </c>
      <c r="I48" s="126" t="s">
        <v>29</v>
      </c>
      <c r="J48" s="13" t="str">
        <f t="shared" si="5"/>
        <v>Sueldo Nov23</v>
      </c>
      <c r="K48" s="13" t="str">
        <f t="shared" si="6"/>
        <v xml:space="preserve">Ximena Loza                                  </v>
      </c>
      <c r="L48" s="118"/>
      <c r="M48" s="118"/>
      <c r="N48" s="84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7"/>
      <c r="D49" s="87"/>
      <c r="E49" s="87"/>
      <c r="F49" s="87"/>
      <c r="G49" s="87"/>
      <c r="H49" s="87"/>
      <c r="I49" s="126"/>
      <c r="J49" s="13"/>
      <c r="K49" s="13"/>
      <c r="L49" s="118"/>
      <c r="M49" s="118"/>
      <c r="N49" s="84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7"/>
      <c r="D50" s="87"/>
      <c r="E50" s="87"/>
      <c r="F50" s="87"/>
      <c r="G50" s="87"/>
      <c r="H50" s="87"/>
      <c r="I50" s="126"/>
      <c r="J50" s="13"/>
      <c r="K50" s="13"/>
      <c r="L50" s="118"/>
      <c r="M50" s="118"/>
      <c r="N50" s="84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7"/>
      <c r="D51" s="87"/>
      <c r="E51" s="87"/>
      <c r="F51" s="87"/>
      <c r="G51" s="87"/>
      <c r="H51" s="87"/>
      <c r="I51" s="126"/>
      <c r="J51" s="13"/>
      <c r="K51" s="13"/>
      <c r="L51" s="118"/>
      <c r="M51" s="118"/>
      <c r="N51" s="84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7"/>
      <c r="D52" s="87"/>
      <c r="E52" s="87"/>
      <c r="F52" s="87"/>
      <c r="G52" s="87"/>
      <c r="H52" s="87"/>
      <c r="I52" s="126"/>
      <c r="J52" s="13"/>
      <c r="K52" s="13" t="str">
        <f t="shared" ref="K52:K56" si="7">IFERROR(VLOOKUP(-F52,$T$3:$W$55,3,FALSE),"")</f>
        <v/>
      </c>
      <c r="L52" s="118"/>
      <c r="M52" s="118"/>
      <c r="N52" s="84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7"/>
      <c r="D53" s="87"/>
      <c r="E53" s="87"/>
      <c r="F53" s="87"/>
      <c r="G53" s="87"/>
      <c r="H53" s="87"/>
      <c r="I53" s="126"/>
      <c r="J53" s="13"/>
      <c r="K53" s="13" t="str">
        <f t="shared" si="7"/>
        <v/>
      </c>
      <c r="L53" s="118"/>
      <c r="M53" s="118"/>
      <c r="N53" s="84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7"/>
      <c r="D54" s="87"/>
      <c r="E54" s="87"/>
      <c r="F54" s="87"/>
      <c r="G54" s="87"/>
      <c r="H54" s="87"/>
      <c r="I54" s="126"/>
      <c r="J54" s="13"/>
      <c r="K54" s="13" t="str">
        <f t="shared" si="7"/>
        <v/>
      </c>
      <c r="L54" s="118"/>
      <c r="M54" s="118"/>
      <c r="N54" s="84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7"/>
      <c r="D55" s="87"/>
      <c r="E55" s="87"/>
      <c r="F55" s="87"/>
      <c r="G55" s="87"/>
      <c r="H55" s="87"/>
      <c r="I55" s="126"/>
      <c r="J55" s="13"/>
      <c r="K55" s="13" t="str">
        <f t="shared" si="7"/>
        <v/>
      </c>
      <c r="L55" s="118"/>
      <c r="M55" s="118"/>
      <c r="N55" s="84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7"/>
      <c r="D56" s="87"/>
      <c r="E56" s="87"/>
      <c r="F56" s="87"/>
      <c r="G56" s="87"/>
      <c r="H56" s="87"/>
      <c r="I56" s="126"/>
      <c r="J56" s="13"/>
      <c r="K56" s="13" t="str">
        <f t="shared" si="7"/>
        <v/>
      </c>
      <c r="L56" s="118"/>
      <c r="M56" s="118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7"/>
      <c r="D57" s="87"/>
      <c r="E57" s="87"/>
      <c r="F57" s="87"/>
      <c r="G57" s="87"/>
      <c r="H57" s="87"/>
      <c r="I57" s="126"/>
      <c r="J57" s="13"/>
      <c r="K57" s="13" t="str">
        <f t="shared" ref="K57:K62" si="8">IFERROR(VLOOKUP(-F57,$T$3:$W$55,3,FALSE),"")</f>
        <v/>
      </c>
      <c r="L57" s="118"/>
      <c r="M57" s="118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7"/>
      <c r="D58" s="87"/>
      <c r="E58" s="87"/>
      <c r="F58" s="87"/>
      <c r="G58" s="87"/>
      <c r="H58" s="87"/>
      <c r="I58" s="126"/>
      <c r="J58" s="13"/>
      <c r="K58" s="13" t="str">
        <f t="shared" si="8"/>
        <v/>
      </c>
      <c r="L58" s="118"/>
      <c r="M58" s="118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7"/>
      <c r="D59" s="87"/>
      <c r="E59" s="87"/>
      <c r="F59" s="87"/>
      <c r="G59" s="87"/>
      <c r="H59" s="87"/>
      <c r="I59" s="126"/>
      <c r="J59" s="13"/>
      <c r="K59" s="13" t="str">
        <f t="shared" si="8"/>
        <v/>
      </c>
      <c r="L59" s="118"/>
      <c r="M59" s="118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7"/>
      <c r="D60" s="87"/>
      <c r="E60" s="87"/>
      <c r="F60" s="87"/>
      <c r="G60" s="87"/>
      <c r="H60" s="87"/>
      <c r="I60" s="126"/>
      <c r="J60" s="13"/>
      <c r="K60" s="13" t="str">
        <f t="shared" si="8"/>
        <v/>
      </c>
      <c r="L60" s="118"/>
      <c r="M60" s="118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7"/>
      <c r="D61" s="87"/>
      <c r="E61" s="87"/>
      <c r="F61" s="87"/>
      <c r="G61" s="87"/>
      <c r="H61" s="87"/>
      <c r="I61" s="126"/>
      <c r="J61" s="13" t="str">
        <f t="shared" ref="J61:J62" si="9">IFERROR(VLOOKUP(-F61,$T$3:$W$55,4,FALSE),"")</f>
        <v/>
      </c>
      <c r="K61" s="13" t="str">
        <f t="shared" si="8"/>
        <v/>
      </c>
      <c r="L61" s="118"/>
      <c r="M61" s="118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7"/>
      <c r="D62" s="87"/>
      <c r="E62" s="87"/>
      <c r="F62" s="87"/>
      <c r="G62" s="87"/>
      <c r="H62" s="87"/>
      <c r="I62" s="126"/>
      <c r="J62" s="13" t="str">
        <f t="shared" si="9"/>
        <v/>
      </c>
      <c r="K62" s="13" t="str">
        <f t="shared" si="8"/>
        <v/>
      </c>
      <c r="L62" s="118"/>
      <c r="M62" s="118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7"/>
      <c r="D63" s="87"/>
      <c r="E63" s="87"/>
      <c r="F63" s="87"/>
      <c r="G63" s="87"/>
      <c r="H63" s="87"/>
      <c r="I63" s="126"/>
      <c r="J63" s="13" t="str">
        <f t="shared" ref="J63" si="10">IFERROR(VLOOKUP(-F63,$T$3:$W$50,4,FALSE),"")</f>
        <v/>
      </c>
      <c r="K63" s="13" t="str">
        <f t="shared" ref="K63" si="11">IFERROR(VLOOKUP(-F63,$T$3:$W$50,3,FALSE),"")</f>
        <v/>
      </c>
      <c r="L63" s="118"/>
      <c r="M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24</v>
      </c>
      <c r="D64" s="45" t="s">
        <v>105</v>
      </c>
      <c r="E64" s="45" t="s">
        <v>26</v>
      </c>
      <c r="F64" s="45" t="s">
        <v>27</v>
      </c>
      <c r="G64" s="45" t="s">
        <v>28</v>
      </c>
      <c r="H64" s="45" t="s">
        <v>45</v>
      </c>
      <c r="I64" s="46"/>
      <c r="J64" s="129"/>
      <c r="K64" s="46"/>
      <c r="L64" s="118"/>
      <c r="M64" s="84"/>
      <c r="O64" s="4"/>
      <c r="P64" s="4"/>
      <c r="Q64" s="4"/>
      <c r="R64" s="4"/>
      <c r="S64" s="4"/>
      <c r="T64" s="4"/>
      <c r="U64" s="4"/>
      <c r="V64" s="4"/>
      <c r="W64" s="4"/>
    </row>
    <row r="65" spans="2:21" s="4" customFormat="1" ht="18" customHeight="1" x14ac:dyDescent="0.3">
      <c r="B65" s="113">
        <v>45233</v>
      </c>
      <c r="C65" s="135" t="s">
        <v>241</v>
      </c>
      <c r="D65" s="87" t="s">
        <v>1376</v>
      </c>
      <c r="E65" s="87">
        <v>62300600267</v>
      </c>
      <c r="F65" s="87"/>
      <c r="G65" s="87">
        <v>6254.79</v>
      </c>
      <c r="H65" s="87">
        <v>16333.09</v>
      </c>
      <c r="I65" s="126" t="s">
        <v>103</v>
      </c>
      <c r="J65" s="128"/>
      <c r="K65" s="13"/>
      <c r="L65" s="118"/>
      <c r="M65" s="84"/>
      <c r="O65" s="41">
        <v>45233</v>
      </c>
      <c r="P65" s="4" t="s">
        <v>241</v>
      </c>
      <c r="Q65" s="4" t="s">
        <v>1376</v>
      </c>
      <c r="R65" s="4">
        <v>62300600267</v>
      </c>
      <c r="T65" s="299">
        <v>6254.79</v>
      </c>
      <c r="U65" s="299">
        <v>16333.09</v>
      </c>
    </row>
    <row r="66" spans="2:21" s="4" customFormat="1" ht="18" customHeight="1" x14ac:dyDescent="0.3">
      <c r="B66" s="113">
        <v>45236</v>
      </c>
      <c r="C66" s="135" t="s">
        <v>255</v>
      </c>
      <c r="D66" s="87" t="s">
        <v>256</v>
      </c>
      <c r="E66" s="87"/>
      <c r="F66" s="87"/>
      <c r="G66" s="87">
        <v>370</v>
      </c>
      <c r="H66" s="87">
        <v>16703.09</v>
      </c>
      <c r="I66" s="126" t="s">
        <v>137</v>
      </c>
      <c r="J66" s="128"/>
      <c r="K66" s="115"/>
      <c r="L66" s="118"/>
      <c r="M66" s="84"/>
      <c r="O66" s="41">
        <v>45236</v>
      </c>
      <c r="P66" s="4" t="s">
        <v>255</v>
      </c>
      <c r="Q66" s="4" t="s">
        <v>256</v>
      </c>
      <c r="T66" s="4">
        <v>370</v>
      </c>
      <c r="U66" s="299">
        <v>16703.09</v>
      </c>
    </row>
    <row r="67" spans="2:21" s="4" customFormat="1" ht="18" customHeight="1" x14ac:dyDescent="0.3">
      <c r="B67" s="113">
        <v>45237</v>
      </c>
      <c r="C67" s="135" t="s">
        <v>255</v>
      </c>
      <c r="D67" s="87" t="s">
        <v>256</v>
      </c>
      <c r="E67" s="87"/>
      <c r="F67" s="87"/>
      <c r="G67" s="87">
        <v>1097</v>
      </c>
      <c r="H67" s="87">
        <v>17800.09</v>
      </c>
      <c r="I67" s="126" t="s">
        <v>137</v>
      </c>
      <c r="J67" s="128"/>
      <c r="K67" s="13"/>
      <c r="L67" s="118"/>
      <c r="M67" s="84"/>
      <c r="O67" s="41">
        <v>45237</v>
      </c>
      <c r="P67" s="4" t="s">
        <v>255</v>
      </c>
      <c r="Q67" s="4" t="s">
        <v>256</v>
      </c>
      <c r="T67" s="299">
        <v>1097</v>
      </c>
      <c r="U67" s="299">
        <v>17800.09</v>
      </c>
    </row>
    <row r="68" spans="2:21" s="4" customFormat="1" ht="18" customHeight="1" x14ac:dyDescent="0.3">
      <c r="B68" s="113">
        <v>45238</v>
      </c>
      <c r="C68" s="135" t="s">
        <v>241</v>
      </c>
      <c r="D68" s="87" t="s">
        <v>1377</v>
      </c>
      <c r="E68" s="87">
        <v>62300609415</v>
      </c>
      <c r="F68" s="87"/>
      <c r="G68" s="87">
        <v>3830.62</v>
      </c>
      <c r="H68" s="87">
        <v>21630.71</v>
      </c>
      <c r="I68" s="126" t="s">
        <v>103</v>
      </c>
      <c r="J68" s="128"/>
      <c r="K68" s="13"/>
      <c r="L68" s="118"/>
      <c r="M68" s="84"/>
      <c r="O68" s="41">
        <v>45238</v>
      </c>
      <c r="P68" s="4" t="s">
        <v>241</v>
      </c>
      <c r="Q68" s="4" t="s">
        <v>1377</v>
      </c>
      <c r="R68" s="4">
        <v>62300609415</v>
      </c>
      <c r="T68" s="299">
        <v>3830.62</v>
      </c>
      <c r="U68" s="299">
        <v>21630.71</v>
      </c>
    </row>
    <row r="69" spans="2:21" s="4" customFormat="1" ht="18" customHeight="1" x14ac:dyDescent="0.3">
      <c r="B69" s="113">
        <v>45243</v>
      </c>
      <c r="C69" s="87" t="s">
        <v>255</v>
      </c>
      <c r="D69" s="87" t="s">
        <v>256</v>
      </c>
      <c r="E69" s="153"/>
      <c r="F69" s="153"/>
      <c r="G69" s="153">
        <v>1640</v>
      </c>
      <c r="H69" s="153">
        <v>23270.71</v>
      </c>
      <c r="I69" s="126" t="s">
        <v>137</v>
      </c>
      <c r="J69" s="130"/>
      <c r="K69" s="13"/>
      <c r="L69" s="118"/>
      <c r="M69" s="84"/>
      <c r="O69" s="41">
        <v>45243</v>
      </c>
      <c r="P69" s="4" t="s">
        <v>255</v>
      </c>
      <c r="Q69" s="4" t="s">
        <v>256</v>
      </c>
      <c r="T69" s="299">
        <v>1640</v>
      </c>
      <c r="U69" s="299">
        <v>23270.71</v>
      </c>
    </row>
    <row r="70" spans="2:21" s="4" customFormat="1" ht="18" customHeight="1" x14ac:dyDescent="0.3">
      <c r="B70" s="113">
        <v>45244</v>
      </c>
      <c r="C70" s="87" t="s">
        <v>241</v>
      </c>
      <c r="D70" s="87" t="s">
        <v>1378</v>
      </c>
      <c r="E70" s="87">
        <v>62300620594</v>
      </c>
      <c r="F70" s="153"/>
      <c r="G70" s="153">
        <v>6664.35</v>
      </c>
      <c r="H70" s="153">
        <v>29935.06</v>
      </c>
      <c r="I70" s="126" t="s">
        <v>103</v>
      </c>
      <c r="J70" s="130"/>
      <c r="K70" s="13"/>
      <c r="L70" s="118"/>
      <c r="M70" s="84"/>
      <c r="O70" s="41">
        <v>45244</v>
      </c>
      <c r="P70" s="4" t="s">
        <v>241</v>
      </c>
      <c r="Q70" s="4" t="s">
        <v>1378</v>
      </c>
      <c r="R70" s="4">
        <v>62300620594</v>
      </c>
      <c r="T70" s="299">
        <v>6664.35</v>
      </c>
      <c r="U70" s="299">
        <v>29935.06</v>
      </c>
    </row>
    <row r="71" spans="2:21" s="4" customFormat="1" ht="18" customHeight="1" x14ac:dyDescent="0.3">
      <c r="B71" s="113">
        <v>45246</v>
      </c>
      <c r="C71" s="87" t="s">
        <v>255</v>
      </c>
      <c r="D71" s="87" t="s">
        <v>256</v>
      </c>
      <c r="E71" s="87"/>
      <c r="F71" s="153"/>
      <c r="G71" s="153">
        <v>1132</v>
      </c>
      <c r="H71" s="153">
        <v>31067.06</v>
      </c>
      <c r="I71" s="126" t="s">
        <v>137</v>
      </c>
      <c r="J71" s="130"/>
      <c r="K71" s="13"/>
      <c r="L71" s="118"/>
      <c r="M71" s="84"/>
      <c r="O71" s="41">
        <v>45246</v>
      </c>
      <c r="P71" s="4" t="s">
        <v>255</v>
      </c>
      <c r="Q71" s="4" t="s">
        <v>256</v>
      </c>
      <c r="T71" s="299">
        <v>1132</v>
      </c>
      <c r="U71" s="299">
        <v>31067.06</v>
      </c>
    </row>
    <row r="72" spans="2:21" s="4" customFormat="1" ht="18" customHeight="1" x14ac:dyDescent="0.3">
      <c r="B72" s="113">
        <v>45247</v>
      </c>
      <c r="C72" s="87" t="s">
        <v>241</v>
      </c>
      <c r="D72" s="87" t="s">
        <v>1379</v>
      </c>
      <c r="E72" s="87">
        <v>62300629581</v>
      </c>
      <c r="F72" s="87"/>
      <c r="G72" s="87">
        <v>8676.7199999999993</v>
      </c>
      <c r="H72" s="87">
        <v>39743.78</v>
      </c>
      <c r="I72" s="126" t="s">
        <v>103</v>
      </c>
      <c r="J72" s="130"/>
      <c r="K72" s="13"/>
      <c r="L72" s="118"/>
      <c r="M72" s="84"/>
      <c r="O72" s="41">
        <v>45247</v>
      </c>
      <c r="P72" s="4" t="s">
        <v>241</v>
      </c>
      <c r="Q72" s="4" t="s">
        <v>1379</v>
      </c>
      <c r="R72" s="4">
        <v>62300629581</v>
      </c>
      <c r="T72" s="299">
        <v>8676.7199999999993</v>
      </c>
      <c r="U72" s="299">
        <v>39743.78</v>
      </c>
    </row>
    <row r="73" spans="2:21" s="4" customFormat="1" ht="18" customHeight="1" x14ac:dyDescent="0.3">
      <c r="B73" s="113">
        <v>45250</v>
      </c>
      <c r="C73" s="87" t="s">
        <v>255</v>
      </c>
      <c r="D73" s="87" t="s">
        <v>256</v>
      </c>
      <c r="E73" s="87"/>
      <c r="F73" s="87"/>
      <c r="G73" s="87">
        <v>1265</v>
      </c>
      <c r="H73" s="87">
        <v>41008.78</v>
      </c>
      <c r="I73" s="126" t="s">
        <v>137</v>
      </c>
      <c r="J73" s="130"/>
      <c r="K73" s="13"/>
      <c r="L73" s="118"/>
      <c r="M73" s="84"/>
      <c r="O73" s="41">
        <v>45250</v>
      </c>
      <c r="P73" s="4" t="s">
        <v>255</v>
      </c>
      <c r="Q73" s="4" t="s">
        <v>256</v>
      </c>
      <c r="T73" s="299">
        <v>1265</v>
      </c>
      <c r="U73" s="299">
        <v>41008.78</v>
      </c>
    </row>
    <row r="74" spans="2:21" s="4" customFormat="1" ht="18" customHeight="1" x14ac:dyDescent="0.3">
      <c r="B74" s="113">
        <v>45252</v>
      </c>
      <c r="C74" s="87" t="s">
        <v>241</v>
      </c>
      <c r="D74" s="87" t="s">
        <v>1380</v>
      </c>
      <c r="E74" s="87">
        <v>62300637759</v>
      </c>
      <c r="F74" s="87"/>
      <c r="G74" s="87">
        <v>7870.22</v>
      </c>
      <c r="H74" s="87">
        <v>48879</v>
      </c>
      <c r="I74" s="126" t="s">
        <v>103</v>
      </c>
      <c r="J74" s="130"/>
      <c r="K74" s="13"/>
      <c r="L74" s="118"/>
      <c r="M74" s="84"/>
      <c r="O74" s="41">
        <v>45252</v>
      </c>
      <c r="P74" s="4" t="s">
        <v>241</v>
      </c>
      <c r="Q74" s="4" t="s">
        <v>1380</v>
      </c>
      <c r="R74" s="4">
        <v>62300637759</v>
      </c>
      <c r="T74" s="299">
        <v>7870.22</v>
      </c>
      <c r="U74" s="299">
        <v>48879</v>
      </c>
    </row>
    <row r="75" spans="2:21" s="4" customFormat="1" ht="18" customHeight="1" x14ac:dyDescent="0.3">
      <c r="B75" s="113">
        <v>45253</v>
      </c>
      <c r="C75" s="87" t="s">
        <v>255</v>
      </c>
      <c r="D75" s="87" t="s">
        <v>256</v>
      </c>
      <c r="E75" s="87"/>
      <c r="F75" s="87"/>
      <c r="G75" s="87">
        <v>791</v>
      </c>
      <c r="H75" s="87">
        <v>49670</v>
      </c>
      <c r="I75" s="126" t="s">
        <v>137</v>
      </c>
      <c r="J75" s="130"/>
      <c r="K75" s="13"/>
      <c r="L75" s="118"/>
      <c r="M75" s="84"/>
      <c r="O75" s="41">
        <v>45253</v>
      </c>
      <c r="P75" s="4" t="s">
        <v>255</v>
      </c>
      <c r="Q75" s="4" t="s">
        <v>256</v>
      </c>
      <c r="T75" s="4">
        <v>791</v>
      </c>
      <c r="U75" s="299">
        <v>49670</v>
      </c>
    </row>
    <row r="76" spans="2:21" s="4" customFormat="1" ht="18" customHeight="1" x14ac:dyDescent="0.3">
      <c r="B76" s="113">
        <v>45254</v>
      </c>
      <c r="C76" s="87" t="s">
        <v>255</v>
      </c>
      <c r="D76" s="87" t="s">
        <v>256</v>
      </c>
      <c r="E76" s="87"/>
      <c r="F76" s="87"/>
      <c r="G76" s="87">
        <v>2195</v>
      </c>
      <c r="H76" s="87">
        <v>51865</v>
      </c>
      <c r="I76" s="126" t="s">
        <v>137</v>
      </c>
      <c r="J76" s="130"/>
      <c r="K76" s="13"/>
      <c r="L76" s="118"/>
      <c r="M76" s="84"/>
      <c r="O76" s="41">
        <v>45254</v>
      </c>
      <c r="P76" s="4" t="s">
        <v>255</v>
      </c>
      <c r="Q76" s="4" t="s">
        <v>256</v>
      </c>
      <c r="T76" s="299">
        <v>2195</v>
      </c>
      <c r="U76" s="299">
        <v>51865</v>
      </c>
    </row>
    <row r="77" spans="2:21" s="4" customFormat="1" ht="18" customHeight="1" x14ac:dyDescent="0.3">
      <c r="B77" s="113">
        <v>45259</v>
      </c>
      <c r="C77" s="87" t="s">
        <v>241</v>
      </c>
      <c r="D77" s="87" t="s">
        <v>1381</v>
      </c>
      <c r="E77" s="87">
        <v>62300652093</v>
      </c>
      <c r="F77" s="87"/>
      <c r="G77" s="87">
        <v>7731.06</v>
      </c>
      <c r="H77" s="87">
        <v>59596.06</v>
      </c>
      <c r="I77" s="126" t="s">
        <v>103</v>
      </c>
      <c r="J77" s="130"/>
      <c r="K77" s="13"/>
      <c r="L77" s="118"/>
      <c r="M77" s="84"/>
      <c r="O77" s="41">
        <v>45259</v>
      </c>
      <c r="P77" s="4" t="s">
        <v>241</v>
      </c>
      <c r="Q77" s="4" t="s">
        <v>1381</v>
      </c>
      <c r="R77" s="4">
        <v>62300652093</v>
      </c>
      <c r="T77" s="299">
        <v>7731.06</v>
      </c>
      <c r="U77" s="299">
        <v>59596.06</v>
      </c>
    </row>
    <row r="78" spans="2:21" s="4" customFormat="1" ht="18" customHeight="1" x14ac:dyDescent="0.3">
      <c r="B78" s="113">
        <v>45260</v>
      </c>
      <c r="C78" s="87" t="s">
        <v>255</v>
      </c>
      <c r="D78" s="87" t="s">
        <v>256</v>
      </c>
      <c r="E78" s="87"/>
      <c r="F78" s="87"/>
      <c r="G78" s="87">
        <v>205</v>
      </c>
      <c r="H78" s="87">
        <v>59801.06</v>
      </c>
      <c r="I78" s="126" t="s">
        <v>137</v>
      </c>
      <c r="J78" s="130"/>
      <c r="K78" s="13"/>
      <c r="L78" s="118"/>
      <c r="M78" s="84"/>
      <c r="O78" s="41">
        <v>45260</v>
      </c>
      <c r="P78" s="4" t="s">
        <v>255</v>
      </c>
      <c r="Q78" s="4" t="s">
        <v>256</v>
      </c>
      <c r="T78" s="4">
        <v>205</v>
      </c>
      <c r="U78" s="299">
        <v>59801.06</v>
      </c>
    </row>
    <row r="79" spans="2:21" s="4" customFormat="1" ht="18" customHeight="1" x14ac:dyDescent="0.3">
      <c r="B79" s="113"/>
      <c r="C79" s="87"/>
      <c r="D79" s="87"/>
      <c r="E79" s="87"/>
      <c r="F79" s="87"/>
      <c r="G79" s="87"/>
      <c r="H79" s="87"/>
      <c r="I79" s="126"/>
      <c r="J79" s="130"/>
      <c r="K79" s="13"/>
      <c r="L79" s="118"/>
      <c r="M79" s="84"/>
      <c r="N79" s="84"/>
      <c r="O79" s="41"/>
      <c r="T79" s="299"/>
      <c r="U79" s="299"/>
    </row>
    <row r="80" spans="2:21" s="4" customFormat="1" ht="18" customHeight="1" x14ac:dyDescent="0.3">
      <c r="B80" s="113"/>
      <c r="C80" s="87"/>
      <c r="D80" s="87"/>
      <c r="E80" s="87"/>
      <c r="F80" s="87"/>
      <c r="G80" s="87"/>
      <c r="H80" s="87"/>
      <c r="I80" s="126"/>
      <c r="J80" s="130"/>
      <c r="K80" s="13"/>
      <c r="L80" s="118"/>
      <c r="M80" s="84"/>
      <c r="N80" s="84"/>
      <c r="O80" s="41"/>
      <c r="U80" s="299"/>
    </row>
    <row r="81" spans="2:23" ht="18" customHeight="1" x14ac:dyDescent="0.3">
      <c r="B81" s="113"/>
      <c r="C81" s="87"/>
      <c r="D81" s="87"/>
      <c r="E81" s="87"/>
      <c r="F81" s="87"/>
      <c r="G81" s="87"/>
      <c r="H81" s="87"/>
      <c r="I81" s="126"/>
      <c r="J81" s="130"/>
      <c r="K81" s="13"/>
      <c r="L81" s="118"/>
      <c r="M81" s="84"/>
      <c r="N81" s="84"/>
      <c r="O81" s="41"/>
      <c r="P81" s="4"/>
      <c r="Q81" s="4"/>
      <c r="R81" s="4"/>
      <c r="S81" s="4"/>
      <c r="T81" s="299"/>
      <c r="U81" s="299"/>
      <c r="V81" s="4"/>
      <c r="W81" s="4"/>
    </row>
    <row r="82" spans="2:23" ht="18" customHeight="1" x14ac:dyDescent="0.3">
      <c r="B82" s="113"/>
      <c r="C82" s="87"/>
      <c r="D82" s="87"/>
      <c r="E82" s="87"/>
      <c r="F82" s="87"/>
      <c r="G82" s="87"/>
      <c r="H82" s="87"/>
      <c r="I82" s="126"/>
      <c r="J82" s="130"/>
      <c r="K82" s="13"/>
      <c r="L82" s="118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/>
      <c r="C83" s="87"/>
      <c r="D83" s="87"/>
      <c r="E83" s="87"/>
      <c r="F83" s="87"/>
      <c r="G83" s="87"/>
      <c r="H83" s="87"/>
      <c r="I83" s="126"/>
      <c r="J83" s="130"/>
      <c r="K83" s="13"/>
      <c r="L83" s="118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/>
      <c r="C84" s="87"/>
      <c r="D84" s="87"/>
      <c r="E84" s="87"/>
      <c r="F84" s="87"/>
      <c r="G84" s="87"/>
      <c r="H84" s="87"/>
      <c r="I84" s="126"/>
      <c r="J84" s="130"/>
      <c r="K84" s="13"/>
      <c r="L84" s="118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/>
      <c r="C85" s="87"/>
      <c r="D85" s="87"/>
      <c r="E85" s="87"/>
      <c r="F85" s="87"/>
      <c r="G85" s="87"/>
      <c r="H85" s="87"/>
      <c r="I85" s="126"/>
      <c r="J85" s="130"/>
      <c r="K85" s="13"/>
      <c r="L85" s="118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3"/>
      <c r="C86" s="87"/>
      <c r="D86" s="87"/>
      <c r="E86" s="87"/>
      <c r="F86" s="87"/>
      <c r="G86" s="87"/>
      <c r="H86" s="87"/>
      <c r="I86" s="126"/>
      <c r="J86" s="130"/>
      <c r="K86" s="13"/>
      <c r="L86" s="118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96</v>
      </c>
      <c r="C87" s="45" t="s">
        <v>5</v>
      </c>
      <c r="D87" s="45" t="s">
        <v>104</v>
      </c>
      <c r="E87" s="45"/>
      <c r="F87" s="45"/>
      <c r="G87" s="45"/>
      <c r="H87" s="45"/>
      <c r="I87" s="46"/>
      <c r="J87" s="129"/>
      <c r="K87" s="46"/>
      <c r="L87" s="118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3" t="s">
        <v>1337</v>
      </c>
      <c r="C88" s="87" t="s">
        <v>697</v>
      </c>
      <c r="D88" s="87" t="s">
        <v>1338</v>
      </c>
      <c r="E88" s="87" t="s">
        <v>251</v>
      </c>
      <c r="F88" s="87">
        <v>74746</v>
      </c>
      <c r="G88" s="87"/>
      <c r="H88" s="87"/>
      <c r="I88" s="126" t="s">
        <v>134</v>
      </c>
      <c r="J88" s="128"/>
      <c r="K88" s="13"/>
      <c r="L88" s="118"/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3" t="s">
        <v>1339</v>
      </c>
      <c r="C89" s="87" t="s">
        <v>697</v>
      </c>
      <c r="D89" s="87" t="s">
        <v>276</v>
      </c>
      <c r="E89" s="87" t="s">
        <v>251</v>
      </c>
      <c r="F89" s="87">
        <v>46342</v>
      </c>
      <c r="G89" s="87"/>
      <c r="H89" s="87"/>
      <c r="I89" s="126" t="s">
        <v>134</v>
      </c>
      <c r="J89" s="128"/>
      <c r="K89" s="13"/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3" t="s">
        <v>1340</v>
      </c>
      <c r="C90" s="87" t="s">
        <v>698</v>
      </c>
      <c r="D90" s="87" t="s">
        <v>276</v>
      </c>
      <c r="E90" s="87" t="s">
        <v>251</v>
      </c>
      <c r="F90" s="87">
        <v>7990</v>
      </c>
      <c r="G90" s="87"/>
      <c r="H90" s="87"/>
      <c r="I90" s="126" t="s">
        <v>134</v>
      </c>
      <c r="J90" s="128"/>
      <c r="K90" s="13"/>
      <c r="L90" s="118"/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3" t="s">
        <v>1341</v>
      </c>
      <c r="C91" s="87" t="s">
        <v>1342</v>
      </c>
      <c r="D91" s="87" t="s">
        <v>1343</v>
      </c>
      <c r="E91" s="87" t="s">
        <v>101</v>
      </c>
      <c r="F91" s="87">
        <v>23209</v>
      </c>
      <c r="G91" s="87"/>
      <c r="H91" s="87"/>
      <c r="I91" s="126" t="s">
        <v>134</v>
      </c>
      <c r="J91" s="128"/>
      <c r="K91" s="13"/>
      <c r="L91" s="118"/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3" t="s">
        <v>1344</v>
      </c>
      <c r="C92" s="87" t="s">
        <v>696</v>
      </c>
      <c r="D92" s="87" t="s">
        <v>124</v>
      </c>
      <c r="E92" s="87"/>
      <c r="F92" s="87">
        <v>5506</v>
      </c>
      <c r="G92" s="87"/>
      <c r="H92" s="87"/>
      <c r="I92" s="126" t="s">
        <v>131</v>
      </c>
      <c r="J92" s="128"/>
      <c r="K92" s="13"/>
      <c r="L92" s="118"/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3" t="s">
        <v>1345</v>
      </c>
      <c r="C93" s="87" t="s">
        <v>698</v>
      </c>
      <c r="D93" s="87" t="s">
        <v>237</v>
      </c>
      <c r="E93" s="87"/>
      <c r="F93" s="87">
        <v>375581</v>
      </c>
      <c r="G93" s="87"/>
      <c r="H93" s="87"/>
      <c r="I93" s="126"/>
      <c r="J93" s="128"/>
      <c r="K93" s="13"/>
      <c r="L93" s="118"/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1346</v>
      </c>
      <c r="C94" s="87" t="s">
        <v>704</v>
      </c>
      <c r="D94" s="87" t="s">
        <v>124</v>
      </c>
      <c r="E94" s="87"/>
      <c r="F94" s="87">
        <v>241</v>
      </c>
      <c r="G94" s="87"/>
      <c r="H94" s="87"/>
      <c r="I94" s="126" t="s">
        <v>131</v>
      </c>
      <c r="J94" s="128"/>
      <c r="K94" s="13"/>
      <c r="L94" s="118"/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1347</v>
      </c>
      <c r="C95" s="87" t="s">
        <v>699</v>
      </c>
      <c r="D95" s="87" t="s">
        <v>124</v>
      </c>
      <c r="E95" s="87"/>
      <c r="F95" s="87">
        <v>2131</v>
      </c>
      <c r="G95" s="87"/>
      <c r="H95" s="87"/>
      <c r="I95" s="126" t="s">
        <v>131</v>
      </c>
      <c r="J95" s="128"/>
      <c r="K95" s="13"/>
      <c r="L95" s="118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1348</v>
      </c>
      <c r="C96" s="87" t="s">
        <v>1134</v>
      </c>
      <c r="D96" s="87" t="s">
        <v>124</v>
      </c>
      <c r="E96" s="87"/>
      <c r="F96" s="87">
        <v>1563</v>
      </c>
      <c r="G96" s="87"/>
      <c r="H96" s="87"/>
      <c r="I96" s="126" t="s">
        <v>131</v>
      </c>
      <c r="J96" s="128"/>
      <c r="K96" s="13"/>
      <c r="L96" s="118"/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1349</v>
      </c>
      <c r="C97" s="87" t="s">
        <v>1136</v>
      </c>
      <c r="D97" s="87" t="s">
        <v>1350</v>
      </c>
      <c r="E97" s="87"/>
      <c r="F97" s="87">
        <v>248</v>
      </c>
      <c r="G97" s="87"/>
      <c r="H97" s="87"/>
      <c r="I97" s="126" t="s">
        <v>131</v>
      </c>
      <c r="J97" s="87"/>
      <c r="K97" s="13"/>
      <c r="L97" s="118"/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1349</v>
      </c>
      <c r="C98" s="87" t="s">
        <v>1136</v>
      </c>
      <c r="D98" s="87" t="s">
        <v>125</v>
      </c>
      <c r="E98" s="87"/>
      <c r="F98" s="87">
        <v>2187</v>
      </c>
      <c r="G98" s="87"/>
      <c r="H98" s="87"/>
      <c r="I98" s="126" t="s">
        <v>131</v>
      </c>
      <c r="J98" s="87"/>
      <c r="K98" s="13"/>
      <c r="L98" s="118"/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1349</v>
      </c>
      <c r="C99" s="87" t="s">
        <v>1136</v>
      </c>
      <c r="D99" s="87" t="s">
        <v>1351</v>
      </c>
      <c r="E99" s="87"/>
      <c r="F99" s="87">
        <v>11458</v>
      </c>
      <c r="G99" s="87"/>
      <c r="H99" s="87"/>
      <c r="I99" s="126" t="s">
        <v>131</v>
      </c>
      <c r="J99" s="87"/>
      <c r="K99" s="13"/>
      <c r="L99" s="118"/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/>
      <c r="C100" s="87"/>
      <c r="D100" s="87"/>
      <c r="E100" s="87"/>
      <c r="F100" s="87"/>
      <c r="G100" s="87"/>
      <c r="H100" s="87"/>
      <c r="I100" s="126"/>
      <c r="J100" s="87"/>
      <c r="K100" s="13"/>
      <c r="L100" s="118"/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/>
      <c r="C101" s="87"/>
      <c r="D101" s="87"/>
      <c r="E101" s="87"/>
      <c r="F101" s="87"/>
      <c r="G101" s="87"/>
      <c r="H101" s="87"/>
      <c r="I101" s="126"/>
      <c r="J101" s="87"/>
      <c r="K101" s="13"/>
      <c r="L101" s="118"/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/>
      <c r="C102" s="87"/>
      <c r="D102" s="87"/>
      <c r="E102" s="87"/>
      <c r="F102" s="87"/>
      <c r="G102" s="87"/>
      <c r="H102" s="87"/>
      <c r="I102" s="126"/>
      <c r="J102" s="87"/>
      <c r="K102" s="13"/>
      <c r="L102" s="118"/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/>
      <c r="C103" s="87"/>
      <c r="D103" s="87"/>
      <c r="E103" s="87"/>
      <c r="F103" s="87"/>
      <c r="G103" s="87"/>
      <c r="H103" s="87"/>
      <c r="I103" s="126"/>
      <c r="J103" s="87"/>
      <c r="K103" s="13"/>
      <c r="L103" s="118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5"/>
      <c r="C104" s="87"/>
      <c r="D104" s="87"/>
      <c r="E104" s="87"/>
      <c r="F104" s="87"/>
      <c r="G104" s="87"/>
      <c r="H104" s="87"/>
      <c r="I104" s="126"/>
      <c r="J104" s="87"/>
      <c r="K104" s="13"/>
      <c r="L104" s="118"/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5"/>
      <c r="C105" s="87"/>
      <c r="D105" s="87"/>
      <c r="E105" s="87"/>
      <c r="F105" s="87"/>
      <c r="G105" s="87"/>
      <c r="H105" s="87"/>
      <c r="I105" s="126"/>
      <c r="J105" s="87"/>
      <c r="K105" s="13"/>
      <c r="L105" s="118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5"/>
      <c r="C106" s="87"/>
      <c r="D106" s="87"/>
      <c r="E106" s="87"/>
      <c r="F106" s="87"/>
      <c r="G106" s="87"/>
      <c r="H106" s="87"/>
      <c r="I106" s="126"/>
      <c r="J106" s="87"/>
      <c r="K106" s="13"/>
      <c r="L106" s="118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5"/>
      <c r="C107" s="87"/>
      <c r="D107" s="87"/>
      <c r="E107" s="87"/>
      <c r="F107" s="87"/>
      <c r="G107" s="87"/>
      <c r="H107" s="87"/>
      <c r="I107" s="126"/>
      <c r="J107" s="87"/>
      <c r="K107" s="13"/>
      <c r="L107" s="118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5"/>
      <c r="C108" s="87"/>
      <c r="D108" s="87"/>
      <c r="E108" s="87"/>
      <c r="F108" s="87"/>
      <c r="G108" s="87"/>
      <c r="H108" s="87"/>
      <c r="I108" s="126"/>
      <c r="J108" s="87"/>
      <c r="K108" s="13"/>
      <c r="L108" s="118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5"/>
      <c r="C109" s="87"/>
      <c r="D109" s="87"/>
      <c r="E109" s="87"/>
      <c r="F109" s="87"/>
      <c r="G109" s="87"/>
      <c r="H109" s="87"/>
      <c r="I109" s="126"/>
      <c r="J109" s="87"/>
      <c r="K109" s="13"/>
      <c r="L109" s="118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5"/>
      <c r="C110" s="87"/>
      <c r="D110" s="87"/>
      <c r="E110" s="87"/>
      <c r="F110" s="87"/>
      <c r="G110" s="87"/>
      <c r="H110" s="87"/>
      <c r="I110" s="126"/>
      <c r="J110" s="87"/>
      <c r="K110" s="13"/>
      <c r="L110" s="118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5"/>
      <c r="C111" s="119"/>
      <c r="D111" s="120"/>
      <c r="E111" s="120"/>
      <c r="F111" s="120"/>
      <c r="G111" s="120"/>
      <c r="H111" s="119"/>
      <c r="I111" s="126"/>
      <c r="J111" s="87"/>
      <c r="K111" s="13"/>
      <c r="L111" s="118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5"/>
      <c r="C112" s="119"/>
      <c r="D112" s="119"/>
      <c r="E112" s="119"/>
      <c r="F112" s="120"/>
      <c r="G112" s="120"/>
      <c r="H112" s="119"/>
      <c r="I112" s="126"/>
      <c r="J112" s="87"/>
      <c r="K112" s="13"/>
      <c r="L112" s="118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/>
      <c r="C113" s="119"/>
      <c r="D113" s="119"/>
      <c r="E113" s="119"/>
      <c r="F113" s="120"/>
      <c r="G113" s="120"/>
      <c r="H113" s="119"/>
      <c r="I113" s="126"/>
      <c r="J113" s="128"/>
      <c r="K113" s="13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9"/>
      <c r="C114" s="119"/>
      <c r="D114" s="119"/>
      <c r="E114" s="119"/>
      <c r="F114" s="119"/>
      <c r="G114" s="119"/>
      <c r="H114" s="119"/>
      <c r="I114" s="126"/>
      <c r="J114" s="128"/>
      <c r="K114" s="13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3"/>
      <c r="C115" s="87"/>
      <c r="D115" s="87"/>
      <c r="E115" s="87"/>
      <c r="F115" s="87"/>
      <c r="G115" s="87"/>
      <c r="H115" s="87"/>
      <c r="I115" s="126"/>
      <c r="J115" s="130"/>
      <c r="K115" s="13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x14ac:dyDescent="0.25">
      <c r="B116" s="106" t="s">
        <v>96</v>
      </c>
      <c r="C116" s="106" t="s">
        <v>5</v>
      </c>
      <c r="D116" s="106" t="s">
        <v>107</v>
      </c>
      <c r="E116" s="106" t="s">
        <v>106</v>
      </c>
      <c r="F116" s="106" t="s">
        <v>85</v>
      </c>
      <c r="G116" s="106" t="s">
        <v>108</v>
      </c>
      <c r="H116" s="106"/>
      <c r="I116" s="105"/>
      <c r="J116" s="131"/>
      <c r="K116" s="105"/>
      <c r="O116" s="4" t="s">
        <v>1352</v>
      </c>
      <c r="P116" s="41">
        <v>45237</v>
      </c>
      <c r="Q116" s="4" t="s">
        <v>234</v>
      </c>
      <c r="R116" s="4" t="s">
        <v>1353</v>
      </c>
      <c r="S116" s="4" t="s">
        <v>1354</v>
      </c>
      <c r="T116" s="4">
        <v>234.98</v>
      </c>
      <c r="U116" s="4" t="s">
        <v>1355</v>
      </c>
      <c r="V116" s="4"/>
      <c r="W116" s="4"/>
    </row>
    <row r="117" spans="2:24" ht="18" customHeight="1" x14ac:dyDescent="0.3">
      <c r="B117" s="119" t="s">
        <v>1352</v>
      </c>
      <c r="C117" s="113">
        <v>45237</v>
      </c>
      <c r="D117" s="119" t="s">
        <v>234</v>
      </c>
      <c r="E117" s="275">
        <v>234.98</v>
      </c>
      <c r="F117" s="237">
        <f>E117*EERR!$D$2</f>
        <v>208192.28</v>
      </c>
      <c r="G117" s="153"/>
      <c r="H117" s="153"/>
      <c r="I117" s="126" t="s">
        <v>130</v>
      </c>
      <c r="J117" s="132"/>
      <c r="K117" s="13"/>
      <c r="O117" s="4" t="s">
        <v>1356</v>
      </c>
      <c r="P117" s="41">
        <v>45248</v>
      </c>
      <c r="Q117" s="4" t="s">
        <v>1357</v>
      </c>
      <c r="R117" s="4" t="s">
        <v>1358</v>
      </c>
      <c r="S117" s="4" t="s">
        <v>1359</v>
      </c>
      <c r="T117" s="4">
        <v>7</v>
      </c>
      <c r="U117" s="4" t="s">
        <v>1360</v>
      </c>
      <c r="V117" s="4"/>
      <c r="W117" s="4"/>
    </row>
    <row r="118" spans="2:24" ht="18" customHeight="1" x14ac:dyDescent="0.3">
      <c r="B118" s="119" t="s">
        <v>1356</v>
      </c>
      <c r="C118" s="113">
        <v>45248</v>
      </c>
      <c r="D118" s="119" t="s">
        <v>1357</v>
      </c>
      <c r="E118" s="275">
        <v>7</v>
      </c>
      <c r="F118" s="237">
        <f>E118*EERR!$D$2</f>
        <v>6202</v>
      </c>
      <c r="G118" s="153"/>
      <c r="H118" s="153"/>
      <c r="I118" s="126" t="s">
        <v>130</v>
      </c>
      <c r="J118" s="132"/>
      <c r="K118" s="13"/>
      <c r="O118" s="4" t="s">
        <v>1361</v>
      </c>
      <c r="P118" s="41">
        <v>45250</v>
      </c>
      <c r="Q118" s="4" t="s">
        <v>1362</v>
      </c>
      <c r="R118" s="4" t="s">
        <v>1363</v>
      </c>
      <c r="S118" s="4" t="s">
        <v>1354</v>
      </c>
      <c r="T118" s="4">
        <v>9.82</v>
      </c>
      <c r="U118" s="4" t="s">
        <v>1364</v>
      </c>
      <c r="V118" s="4"/>
      <c r="W118" s="4"/>
    </row>
    <row r="119" spans="2:24" ht="18" customHeight="1" x14ac:dyDescent="0.3">
      <c r="B119" s="119" t="s">
        <v>1361</v>
      </c>
      <c r="C119" s="113">
        <v>45250</v>
      </c>
      <c r="D119" s="119" t="s">
        <v>1362</v>
      </c>
      <c r="E119" s="275">
        <v>9.82</v>
      </c>
      <c r="F119" s="237">
        <f>E119*EERR!$D$2</f>
        <v>8700.52</v>
      </c>
      <c r="G119" s="153"/>
      <c r="H119" s="153"/>
      <c r="I119" s="126" t="s">
        <v>130</v>
      </c>
      <c r="J119" s="132"/>
      <c r="K119" s="13"/>
      <c r="O119" s="4" t="s">
        <v>1365</v>
      </c>
      <c r="P119" s="41">
        <v>45256</v>
      </c>
      <c r="Q119" s="4" t="s">
        <v>1366</v>
      </c>
      <c r="R119" s="4" t="s">
        <v>1367</v>
      </c>
      <c r="S119" s="4" t="s">
        <v>1368</v>
      </c>
      <c r="T119" s="331">
        <v>49.84</v>
      </c>
      <c r="U119" s="4" t="s">
        <v>1369</v>
      </c>
      <c r="V119" s="4"/>
      <c r="W119" s="4"/>
    </row>
    <row r="120" spans="2:24" ht="18" customHeight="1" x14ac:dyDescent="0.3">
      <c r="B120" s="119" t="s">
        <v>1365</v>
      </c>
      <c r="C120" s="113">
        <v>45256</v>
      </c>
      <c r="D120" s="119" t="s">
        <v>1366</v>
      </c>
      <c r="E120" s="276">
        <v>49.84</v>
      </c>
      <c r="F120" s="237">
        <f>E120*EERR!$D$2</f>
        <v>44158.240000000005</v>
      </c>
      <c r="G120" s="153"/>
      <c r="H120" s="153"/>
      <c r="I120" s="126" t="s">
        <v>133</v>
      </c>
      <c r="J120" s="132"/>
      <c r="K120" s="88"/>
      <c r="L120" s="4" t="s">
        <v>1386</v>
      </c>
      <c r="O120" s="4" t="s">
        <v>1370</v>
      </c>
      <c r="P120" s="41">
        <v>45258</v>
      </c>
      <c r="Q120" s="4" t="s">
        <v>172</v>
      </c>
      <c r="R120" s="4" t="s">
        <v>1371</v>
      </c>
      <c r="S120" s="4" t="s">
        <v>1354</v>
      </c>
      <c r="T120" s="4">
        <v>90</v>
      </c>
      <c r="U120" s="4" t="s">
        <v>1372</v>
      </c>
      <c r="V120" s="4"/>
      <c r="W120" s="4"/>
    </row>
    <row r="121" spans="2:24" ht="18" customHeight="1" x14ac:dyDescent="0.3">
      <c r="B121" s="119" t="s">
        <v>1370</v>
      </c>
      <c r="C121" s="113">
        <v>45258</v>
      </c>
      <c r="D121" s="119" t="s">
        <v>172</v>
      </c>
      <c r="E121" s="276">
        <v>90</v>
      </c>
      <c r="F121" s="237">
        <f>E121*EERR!$D$2</f>
        <v>79740</v>
      </c>
      <c r="G121" s="115"/>
      <c r="H121" s="114"/>
      <c r="I121" s="126" t="s">
        <v>130</v>
      </c>
      <c r="J121" s="133"/>
      <c r="K121" s="88"/>
      <c r="O121" s="4" t="s">
        <v>1373</v>
      </c>
      <c r="P121" s="41">
        <v>45261</v>
      </c>
      <c r="Q121" s="4" t="s">
        <v>700</v>
      </c>
      <c r="R121" s="4" t="s">
        <v>1374</v>
      </c>
      <c r="S121" s="4" t="s">
        <v>1354</v>
      </c>
      <c r="T121" s="4">
        <v>54</v>
      </c>
      <c r="U121" s="4" t="s">
        <v>1375</v>
      </c>
      <c r="V121" s="4"/>
      <c r="W121" s="4"/>
    </row>
    <row r="122" spans="2:24" ht="18" customHeight="1" x14ac:dyDescent="0.3">
      <c r="B122" s="119" t="s">
        <v>1373</v>
      </c>
      <c r="C122" s="113">
        <v>45261</v>
      </c>
      <c r="D122" s="119" t="s">
        <v>700</v>
      </c>
      <c r="E122" s="276">
        <v>54</v>
      </c>
      <c r="F122" s="237">
        <f>E122*EERR!$D$2</f>
        <v>47844</v>
      </c>
      <c r="G122" s="115"/>
      <c r="H122" s="114"/>
      <c r="I122" s="126" t="s">
        <v>130</v>
      </c>
      <c r="J122" s="133"/>
      <c r="K122" s="88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3"/>
      <c r="C123" s="113"/>
      <c r="D123" s="87"/>
      <c r="E123" s="107"/>
      <c r="F123" s="237">
        <f>E123*EERR!$D$2</f>
        <v>0</v>
      </c>
      <c r="G123" s="87"/>
      <c r="H123" s="114"/>
      <c r="I123" s="126"/>
      <c r="J123" s="128"/>
      <c r="K123" s="88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">
      <c r="B124" s="92"/>
      <c r="C124" s="93"/>
      <c r="D124" s="93"/>
      <c r="E124" s="93"/>
      <c r="G124" s="90"/>
      <c r="H124" s="90"/>
      <c r="I124" s="90"/>
      <c r="J124" s="90"/>
      <c r="K124" s="90"/>
      <c r="O124" s="4"/>
      <c r="P124" s="4"/>
      <c r="Q124" s="4"/>
      <c r="R124" s="4"/>
      <c r="S124" s="4"/>
      <c r="T124" s="4"/>
      <c r="U124" s="4"/>
      <c r="V124" s="4"/>
      <c r="W124" s="4"/>
    </row>
    <row r="125" spans="2:24" ht="18" customHeight="1" x14ac:dyDescent="0.2">
      <c r="B125" s="92"/>
      <c r="C125" s="93"/>
      <c r="D125" s="93"/>
      <c r="E125" s="93"/>
      <c r="G125" s="90"/>
      <c r="H125" s="90"/>
      <c r="I125" s="90"/>
      <c r="J125" s="90"/>
      <c r="K125" s="90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">
      <c r="B126" s="92"/>
      <c r="C126" s="93"/>
      <c r="D126" s="93"/>
      <c r="E126" s="93"/>
      <c r="F126" s="117">
        <f>SUBTOTAL(9,F3:F123)</f>
        <v>35768656.040000007</v>
      </c>
      <c r="G126" s="117">
        <f>SUBTOTAL(9,G3:G123)</f>
        <v>118722.76</v>
      </c>
      <c r="H126" s="117"/>
      <c r="I126" s="90"/>
      <c r="J126" s="4"/>
      <c r="K126" s="90"/>
      <c r="O126" s="4"/>
      <c r="P126" s="4"/>
      <c r="Q126" s="4"/>
      <c r="R126" s="4"/>
      <c r="S126" s="4"/>
      <c r="T126" s="4"/>
      <c r="U126" s="4"/>
      <c r="V126" s="4"/>
      <c r="W126" s="4"/>
      <c r="X126" s="299"/>
    </row>
    <row r="127" spans="2:24" ht="18" customHeight="1" x14ac:dyDescent="0.2">
      <c r="B127" s="23"/>
      <c r="E127" s="22"/>
      <c r="F127" s="23"/>
      <c r="G127" s="35"/>
      <c r="H127" s="47"/>
      <c r="I127" s="47" t="s">
        <v>4</v>
      </c>
      <c r="J127" s="4"/>
      <c r="O127" s="4"/>
      <c r="P127" s="4"/>
      <c r="Q127" s="4"/>
      <c r="R127" s="4"/>
      <c r="S127" s="4"/>
      <c r="T127" s="4"/>
      <c r="U127" s="4"/>
      <c r="V127" s="4"/>
      <c r="W127" s="4"/>
      <c r="X127" s="299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38658</v>
      </c>
      <c r="I128" s="126" t="s">
        <v>131</v>
      </c>
      <c r="J128" s="4"/>
      <c r="O128" s="4"/>
      <c r="P128" s="4"/>
      <c r="Q128" s="4"/>
      <c r="R128" s="4"/>
      <c r="S128" s="4"/>
      <c r="T128" s="4"/>
      <c r="U128" s="4"/>
      <c r="V128" s="4"/>
      <c r="W128" s="4"/>
      <c r="X128" s="299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6089235</v>
      </c>
      <c r="I129" s="126" t="s">
        <v>30</v>
      </c>
      <c r="J129" s="4"/>
      <c r="O129" s="4"/>
      <c r="P129" s="4"/>
      <c r="Q129" s="4"/>
      <c r="R129" s="4"/>
      <c r="S129" s="4"/>
      <c r="T129" s="4"/>
      <c r="U129" s="4"/>
      <c r="V129" s="4"/>
      <c r="W129" s="4"/>
      <c r="X129" s="299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551500</v>
      </c>
      <c r="I130" s="126" t="s">
        <v>86</v>
      </c>
      <c r="J130" s="4"/>
      <c r="O130" s="4"/>
      <c r="P130" s="4"/>
      <c r="Q130" s="4"/>
      <c r="R130" s="4"/>
      <c r="S130" s="4"/>
      <c r="T130" s="4"/>
      <c r="U130" s="4"/>
      <c r="V130" s="4"/>
      <c r="W130" s="4"/>
      <c r="X130" s="299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350678.8</v>
      </c>
      <c r="I131" s="126" t="s">
        <v>130</v>
      </c>
      <c r="J131" s="4"/>
      <c r="O131" s="4"/>
      <c r="P131" s="4"/>
      <c r="Q131" s="4"/>
      <c r="R131" s="4"/>
      <c r="S131" s="4"/>
      <c r="T131" s="4"/>
      <c r="U131" s="4"/>
      <c r="V131" s="4"/>
      <c r="W131" s="4"/>
      <c r="X131" s="299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635604</v>
      </c>
      <c r="I132" s="126" t="s">
        <v>8</v>
      </c>
      <c r="J132" s="4"/>
      <c r="O132" s="4"/>
      <c r="P132" s="4"/>
      <c r="Q132" s="4"/>
      <c r="R132" s="4"/>
      <c r="S132" s="4"/>
      <c r="T132" s="4"/>
      <c r="U132" s="4"/>
      <c r="V132" s="4"/>
      <c r="W132" s="4"/>
      <c r="X132" s="299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4900000</v>
      </c>
      <c r="I133" s="127" t="s">
        <v>132</v>
      </c>
      <c r="J133" s="4"/>
      <c r="O133" s="4"/>
      <c r="P133" s="4"/>
      <c r="Q133" s="4"/>
      <c r="R133" s="4"/>
      <c r="S133" s="4"/>
      <c r="T133" s="4"/>
      <c r="U133" s="4"/>
      <c r="V133" s="4"/>
      <c r="W133" s="4"/>
      <c r="X133" s="299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3052309</v>
      </c>
      <c r="I134" s="126" t="s">
        <v>134</v>
      </c>
      <c r="J134" s="4"/>
      <c r="O134" s="4"/>
      <c r="P134" s="4"/>
      <c r="Q134" s="4"/>
      <c r="R134" s="4"/>
      <c r="S134" s="4"/>
      <c r="T134" s="4"/>
      <c r="U134" s="4"/>
      <c r="V134" s="4"/>
      <c r="W134" s="4"/>
      <c r="X134" s="300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264118.24</v>
      </c>
      <c r="I135" s="126" t="s">
        <v>133</v>
      </c>
      <c r="J135" s="4"/>
      <c r="O135" s="4"/>
      <c r="P135" s="4"/>
      <c r="Q135" s="4"/>
      <c r="R135" s="4"/>
      <c r="S135" s="4"/>
      <c r="T135" s="4"/>
      <c r="U135" s="4"/>
      <c r="V135" s="4"/>
      <c r="W135" s="4"/>
      <c r="X135" s="300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7" t="s">
        <v>23</v>
      </c>
      <c r="J136" s="4"/>
      <c r="O136" s="4"/>
      <c r="P136" s="4"/>
      <c r="Q136" s="4"/>
      <c r="R136" s="4"/>
      <c r="S136" s="4"/>
      <c r="T136" s="4"/>
      <c r="U136" s="4"/>
      <c r="V136" s="4"/>
      <c r="W136" s="4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270000</v>
      </c>
      <c r="I137" s="126" t="s">
        <v>11</v>
      </c>
      <c r="J137" s="4"/>
      <c r="L137"/>
      <c r="N137" s="85"/>
      <c r="O137" s="85"/>
      <c r="P137" s="85"/>
      <c r="Q137" s="85"/>
      <c r="R137" s="85"/>
      <c r="S137" s="117"/>
      <c r="T137" s="117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566949</v>
      </c>
      <c r="I138" s="126" t="s">
        <v>19</v>
      </c>
      <c r="J138" s="4"/>
      <c r="L138"/>
      <c r="N138" s="85"/>
      <c r="O138" s="85"/>
      <c r="P138" s="85"/>
      <c r="Q138" s="85"/>
      <c r="R138" s="85"/>
      <c r="S138" s="117"/>
      <c r="T138" s="117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5580484</v>
      </c>
      <c r="I139" s="126" t="s">
        <v>135</v>
      </c>
      <c r="J139" s="4"/>
      <c r="L139"/>
      <c r="N139" s="85"/>
      <c r="O139" s="85"/>
      <c r="P139" s="85"/>
      <c r="Q139" s="85"/>
      <c r="R139" s="85"/>
      <c r="S139" s="117"/>
      <c r="T139" s="117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9292337</v>
      </c>
      <c r="I140" s="126" t="s">
        <v>29</v>
      </c>
      <c r="J140" s="4"/>
      <c r="L140"/>
      <c r="N140" s="85"/>
      <c r="O140" s="85"/>
      <c r="P140" s="85"/>
      <c r="Q140" s="85"/>
      <c r="R140" s="85"/>
      <c r="S140" s="117"/>
      <c r="T140" s="117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0</v>
      </c>
      <c r="I141" s="126" t="s">
        <v>102</v>
      </c>
      <c r="J141" s="4"/>
      <c r="L141"/>
      <c r="N141" s="85"/>
      <c r="O141" s="85"/>
      <c r="P141" s="85"/>
      <c r="Q141" s="85"/>
      <c r="R141" s="85"/>
      <c r="S141" s="117"/>
      <c r="T141" s="117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-36350595.359999999</v>
      </c>
      <c r="I142" s="126" t="s">
        <v>103</v>
      </c>
      <c r="J142" s="4"/>
      <c r="L142"/>
      <c r="M142" s="84"/>
      <c r="N142" s="85"/>
      <c r="O142" s="85"/>
      <c r="P142" s="85"/>
      <c r="Q142" s="85"/>
      <c r="R142" s="85"/>
      <c r="S142" s="117"/>
      <c r="T142" s="117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-69000</v>
      </c>
      <c r="I143" s="126" t="s">
        <v>136</v>
      </c>
      <c r="J143" s="4"/>
      <c r="L143"/>
      <c r="N143" s="85"/>
      <c r="O143" s="85"/>
      <c r="P143" s="85"/>
      <c r="Q143" s="85"/>
      <c r="R143" s="85"/>
      <c r="S143" s="117"/>
      <c r="T143" s="117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-7703770</v>
      </c>
      <c r="I144" s="126" t="s">
        <v>137</v>
      </c>
      <c r="J144" s="4"/>
      <c r="L144"/>
      <c r="N144" s="85"/>
      <c r="O144" s="85"/>
      <c r="P144" s="85"/>
      <c r="Q144" s="85"/>
      <c r="R144" s="85"/>
      <c r="S144" s="117"/>
      <c r="T144" s="117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G145" s="36"/>
      <c r="H145" s="49">
        <f>SUM(H128:H143)</f>
        <v>-4827722.32</v>
      </c>
      <c r="I145" s="47" t="s">
        <v>21</v>
      </c>
      <c r="J145" s="4"/>
      <c r="L145"/>
      <c r="N145" s="85"/>
      <c r="O145" s="85"/>
      <c r="P145" s="85"/>
      <c r="Q145" s="85"/>
      <c r="R145" s="85"/>
      <c r="S145" s="117"/>
      <c r="T145" s="117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J146" s="4"/>
      <c r="L146"/>
      <c r="N146" s="85"/>
      <c r="O146" s="85"/>
      <c r="P146" s="85"/>
      <c r="Q146" s="85"/>
      <c r="R146" s="85"/>
      <c r="S146" s="117"/>
      <c r="T146" s="117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117"/>
      <c r="T147" s="117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7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x14ac:dyDescent="0.25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7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B150" s="41"/>
      <c r="F150" s="60"/>
      <c r="G150" s="60"/>
      <c r="H150" s="60"/>
      <c r="L150"/>
      <c r="N150" s="85"/>
      <c r="O150" s="85"/>
      <c r="P150" s="85"/>
      <c r="Q150" s="85"/>
      <c r="R150" s="85"/>
      <c r="S150" s="85"/>
      <c r="T150" s="117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L151"/>
      <c r="N151" s="85"/>
      <c r="O151" s="85"/>
      <c r="P151" s="245"/>
      <c r="Q151" s="246"/>
      <c r="R151" s="247"/>
      <c r="S151" s="247"/>
      <c r="T151" s="247"/>
      <c r="U151" s="248"/>
      <c r="V151" s="258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81"/>
      <c r="J152" s="81"/>
      <c r="K152" s="81"/>
      <c r="L152"/>
      <c r="N152" s="85"/>
      <c r="O152" s="85"/>
      <c r="P152" s="249"/>
      <c r="Q152" s="250"/>
      <c r="R152" s="251"/>
      <c r="S152" s="251"/>
      <c r="T152" s="247"/>
      <c r="U152" s="252"/>
      <c r="V152" s="259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49"/>
      <c r="Q153" s="250"/>
      <c r="R153" s="251"/>
      <c r="S153" s="251"/>
      <c r="T153" s="247"/>
      <c r="U153" s="253"/>
      <c r="V153" s="259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49"/>
      <c r="Q154" s="250"/>
      <c r="R154" s="251"/>
      <c r="S154" s="251"/>
      <c r="T154" s="247"/>
      <c r="U154" s="252"/>
      <c r="V154" s="259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N155" s="85"/>
      <c r="O155" s="85"/>
      <c r="P155" s="249"/>
      <c r="Q155" s="250"/>
      <c r="R155" s="251"/>
      <c r="S155" s="251"/>
      <c r="T155" s="247"/>
      <c r="U155" s="253"/>
      <c r="V155" s="259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ht="18" customHeight="1" thickBot="1" x14ac:dyDescent="0.3">
      <c r="I156" s="4"/>
      <c r="J156" s="4"/>
      <c r="L156"/>
      <c r="M156" s="85"/>
      <c r="N156" s="85"/>
      <c r="O156" s="85"/>
      <c r="P156" s="254"/>
      <c r="Q156" s="255"/>
      <c r="R156" s="256"/>
      <c r="S156" s="256"/>
      <c r="T156" s="247"/>
      <c r="U156" s="257"/>
      <c r="V156" s="260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</row>
    <row r="157" spans="2:35" x14ac:dyDescent="0.2">
      <c r="I157" s="4"/>
      <c r="J157" s="4"/>
      <c r="M157" s="85"/>
      <c r="N157" s="85"/>
      <c r="O157" s="85"/>
      <c r="P157" s="85"/>
      <c r="Q157" s="85"/>
      <c r="R157" s="85"/>
      <c r="S157" s="4"/>
      <c r="T157" s="117"/>
      <c r="U157" s="4"/>
    </row>
    <row r="158" spans="2:35" ht="15" thickBot="1" x14ac:dyDescent="0.25">
      <c r="I158" s="4"/>
      <c r="J158" s="4"/>
      <c r="L158" s="90"/>
      <c r="M158" s="85"/>
      <c r="N158" s="85"/>
      <c r="O158" s="85"/>
      <c r="P158" s="85"/>
      <c r="Q158" s="85"/>
      <c r="R158" s="85"/>
      <c r="S158" s="4"/>
      <c r="T158" s="117"/>
      <c r="U158" s="4"/>
    </row>
    <row r="159" spans="2:35" ht="15" thickBot="1" x14ac:dyDescent="0.25">
      <c r="I159" s="4"/>
      <c r="J159" s="4"/>
      <c r="L159" s="202"/>
      <c r="M159" s="267"/>
      <c r="N159" s="268"/>
      <c r="O159" s="269"/>
      <c r="P159" s="274"/>
      <c r="Q159" s="269"/>
      <c r="R159" s="270"/>
      <c r="S159" s="272"/>
      <c r="T159" s="117"/>
    </row>
    <row r="160" spans="2:35" ht="15" thickBot="1" x14ac:dyDescent="0.25">
      <c r="I160" s="4"/>
      <c r="J160" s="4"/>
      <c r="L160" s="203"/>
      <c r="M160" s="271"/>
      <c r="N160" s="264"/>
      <c r="O160" s="263"/>
      <c r="P160" s="298"/>
      <c r="Q160" s="263"/>
      <c r="R160" s="265"/>
      <c r="S160" s="273"/>
      <c r="T160" s="117"/>
    </row>
    <row r="161" spans="9:20" ht="15" thickBot="1" x14ac:dyDescent="0.25">
      <c r="I161" s="4"/>
      <c r="J161" s="4"/>
      <c r="L161" s="90"/>
      <c r="M161" s="271"/>
      <c r="N161" s="264"/>
      <c r="O161" s="263"/>
      <c r="P161" s="298"/>
      <c r="Q161" s="263"/>
      <c r="R161" s="266"/>
      <c r="S161" s="273"/>
      <c r="T161" s="117"/>
    </row>
    <row r="162" spans="9:20" ht="15" thickBot="1" x14ac:dyDescent="0.25">
      <c r="I162" s="4"/>
      <c r="J162" s="4"/>
      <c r="L162" s="90"/>
      <c r="M162" s="271"/>
      <c r="N162" s="264"/>
      <c r="O162" s="263"/>
      <c r="P162" s="298"/>
      <c r="Q162" s="263"/>
      <c r="R162" s="266"/>
      <c r="S162" s="273"/>
      <c r="T162" s="117"/>
    </row>
    <row r="163" spans="9:20" ht="15" thickBot="1" x14ac:dyDescent="0.25">
      <c r="I163" s="4"/>
      <c r="J163" s="4"/>
      <c r="L163" s="90"/>
      <c r="M163" s="271"/>
      <c r="N163" s="264"/>
      <c r="O163" s="263"/>
      <c r="P163" s="298"/>
      <c r="Q163" s="263"/>
      <c r="R163" s="266"/>
      <c r="S163" s="273"/>
      <c r="T163" s="117"/>
    </row>
    <row r="164" spans="9:20" ht="15" thickBot="1" x14ac:dyDescent="0.25">
      <c r="I164" s="81"/>
      <c r="J164" s="81"/>
      <c r="K164" s="81"/>
      <c r="L164" s="90"/>
      <c r="M164" s="205"/>
      <c r="N164" s="206"/>
      <c r="O164" s="207"/>
      <c r="P164" s="274"/>
      <c r="Q164" s="207"/>
      <c r="R164" s="208"/>
      <c r="S164" s="226"/>
      <c r="T164" s="117"/>
    </row>
    <row r="165" spans="9:20" x14ac:dyDescent="0.2">
      <c r="N165" s="85"/>
      <c r="O165" s="90"/>
      <c r="P165" s="85"/>
      <c r="Q165" s="85"/>
      <c r="R165" s="86"/>
      <c r="S165" s="86"/>
      <c r="T165" s="117"/>
    </row>
    <row r="166" spans="9:20" x14ac:dyDescent="0.2">
      <c r="N166" s="85"/>
      <c r="O166" s="90"/>
      <c r="P166" s="85"/>
      <c r="Q166" s="85"/>
      <c r="R166" s="86"/>
      <c r="S166" s="86"/>
      <c r="T166" s="117"/>
    </row>
    <row r="167" spans="9:20" x14ac:dyDescent="0.2">
      <c r="N167" s="85"/>
      <c r="O167" s="90"/>
      <c r="P167" s="85"/>
      <c r="Q167" s="85"/>
      <c r="R167" s="86"/>
      <c r="S167" s="86"/>
      <c r="T167" s="117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7"/>
    </row>
    <row r="169" spans="9:20" x14ac:dyDescent="0.2">
      <c r="L169" s="34"/>
      <c r="M169" s="34"/>
      <c r="N169" s="34"/>
      <c r="O169" s="34"/>
      <c r="P169" s="85"/>
      <c r="Q169" s="85"/>
      <c r="R169" s="86"/>
      <c r="S169" s="86"/>
      <c r="T169" s="117"/>
    </row>
    <row r="170" spans="9:20" x14ac:dyDescent="0.2">
      <c r="L170" s="34"/>
      <c r="M170" s="34"/>
      <c r="N170" s="34"/>
      <c r="O170" s="34"/>
      <c r="P170" s="82"/>
      <c r="T170" s="117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7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7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7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7"/>
    </row>
    <row r="175" spans="9:20" x14ac:dyDescent="0.2">
      <c r="L175" s="34"/>
      <c r="M175" s="34"/>
      <c r="N175" s="34"/>
      <c r="O175" s="34"/>
      <c r="P175" s="86"/>
      <c r="Q175" s="85"/>
      <c r="R175" s="86"/>
      <c r="S175" s="86"/>
      <c r="T175" s="117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7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7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7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7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7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7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7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7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1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1"/>
    </row>
    <row r="192" spans="12:20" x14ac:dyDescent="0.2">
      <c r="O192" s="91"/>
    </row>
    <row r="194" spans="12:16" x14ac:dyDescent="0.2">
      <c r="L194" s="81"/>
      <c r="M194" s="81"/>
      <c r="P194" s="81"/>
    </row>
    <row r="196" spans="12:16" x14ac:dyDescent="0.2">
      <c r="O196" s="91"/>
    </row>
    <row r="198" spans="12:16" x14ac:dyDescent="0.2">
      <c r="P198" s="81"/>
    </row>
    <row r="200" spans="12:16" x14ac:dyDescent="0.2">
      <c r="O200" s="91"/>
    </row>
    <row r="202" spans="12:16" x14ac:dyDescent="0.2">
      <c r="P202" s="81"/>
    </row>
    <row r="204" spans="12:16" x14ac:dyDescent="0.2">
      <c r="O204" s="91"/>
    </row>
    <row r="206" spans="12:16" x14ac:dyDescent="0.2">
      <c r="L206" s="81"/>
      <c r="M206" s="81"/>
      <c r="P206" s="81"/>
    </row>
    <row r="208" spans="12:16" x14ac:dyDescent="0.2">
      <c r="O208" s="91"/>
    </row>
    <row r="210" spans="15:16" x14ac:dyDescent="0.2">
      <c r="P210" s="81"/>
    </row>
    <row r="212" spans="15:16" x14ac:dyDescent="0.2">
      <c r="O212" s="91"/>
    </row>
    <row r="214" spans="15:16" x14ac:dyDescent="0.2">
      <c r="P214" s="81"/>
    </row>
    <row r="216" spans="15:16" x14ac:dyDescent="0.2">
      <c r="O216" s="91"/>
    </row>
    <row r="219" spans="15:16" x14ac:dyDescent="0.2">
      <c r="O219" s="91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I49:I63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I3:I48 I65:I86 I117:I123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F4" sqref="F4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61</v>
      </c>
      <c r="B1" s="54" t="s">
        <v>62</v>
      </c>
      <c r="C1" s="54" t="s">
        <v>63</v>
      </c>
      <c r="D1" s="55" t="s">
        <v>64</v>
      </c>
      <c r="E1" s="54" t="s">
        <v>65</v>
      </c>
      <c r="F1" s="54" t="s">
        <v>73</v>
      </c>
      <c r="G1" s="56" t="s">
        <v>36</v>
      </c>
      <c r="H1" s="57">
        <f>F2</f>
        <v>19250493</v>
      </c>
      <c r="J1" t="s">
        <v>37</v>
      </c>
    </row>
    <row r="2" spans="1:17" ht="18.75" x14ac:dyDescent="0.3">
      <c r="A2" s="51">
        <v>45233</v>
      </c>
      <c r="B2" s="50" t="s">
        <v>193</v>
      </c>
      <c r="C2" s="140">
        <v>0</v>
      </c>
      <c r="D2" s="52">
        <v>0</v>
      </c>
      <c r="E2" s="52">
        <v>1182871</v>
      </c>
      <c r="F2" s="141">
        <v>19250493</v>
      </c>
      <c r="G2" s="126" t="s">
        <v>103</v>
      </c>
      <c r="J2" s="2" t="s">
        <v>5</v>
      </c>
      <c r="K2" s="2" t="s">
        <v>89</v>
      </c>
      <c r="L2" s="2" t="s">
        <v>90</v>
      </c>
      <c r="M2" s="2" t="s">
        <v>91</v>
      </c>
      <c r="N2" s="2" t="s">
        <v>92</v>
      </c>
      <c r="O2" s="2" t="s">
        <v>93</v>
      </c>
      <c r="P2" s="2" t="s">
        <v>94</v>
      </c>
    </row>
    <row r="3" spans="1:17" ht="18.75" x14ac:dyDescent="0.3">
      <c r="A3" s="51">
        <v>45237</v>
      </c>
      <c r="B3" s="50" t="s">
        <v>116</v>
      </c>
      <c r="C3" s="140">
        <v>450620737</v>
      </c>
      <c r="D3" s="52">
        <v>2387200</v>
      </c>
      <c r="E3" s="52">
        <v>0</v>
      </c>
      <c r="F3" s="141">
        <v>16863293</v>
      </c>
      <c r="G3" s="126" t="s">
        <v>29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1">
        <v>45244</v>
      </c>
      <c r="B4" s="50" t="s">
        <v>154</v>
      </c>
      <c r="C4" s="140">
        <v>453423900</v>
      </c>
      <c r="D4" s="52">
        <v>2650202</v>
      </c>
      <c r="E4" s="52">
        <v>0</v>
      </c>
      <c r="F4" s="141">
        <v>14213091</v>
      </c>
      <c r="G4" s="126" t="s">
        <v>23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1">
        <v>45244</v>
      </c>
      <c r="B5" s="50" t="s">
        <v>193</v>
      </c>
      <c r="C5" s="140">
        <v>0</v>
      </c>
      <c r="D5" s="52">
        <v>0</v>
      </c>
      <c r="E5" s="52">
        <v>4851</v>
      </c>
      <c r="F5" s="141">
        <v>14217942</v>
      </c>
      <c r="G5" s="126" t="s">
        <v>103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1">
        <v>45245</v>
      </c>
      <c r="B6" s="50" t="s">
        <v>193</v>
      </c>
      <c r="C6" s="140">
        <v>0</v>
      </c>
      <c r="D6" s="52">
        <v>0</v>
      </c>
      <c r="E6" s="52">
        <v>432449</v>
      </c>
      <c r="F6" s="141">
        <v>14650391</v>
      </c>
      <c r="G6" s="126" t="s">
        <v>103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1">
        <v>45246</v>
      </c>
      <c r="B7" s="50" t="s">
        <v>193</v>
      </c>
      <c r="C7" s="140">
        <v>0</v>
      </c>
      <c r="D7" s="52">
        <v>0</v>
      </c>
      <c r="E7" s="52">
        <v>57626</v>
      </c>
      <c r="F7" s="141">
        <v>14708017</v>
      </c>
      <c r="G7" s="126" t="s">
        <v>103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1">
        <v>45251</v>
      </c>
      <c r="B8" s="50" t="s">
        <v>701</v>
      </c>
      <c r="C8" s="140">
        <v>0</v>
      </c>
      <c r="D8" s="52">
        <v>0</v>
      </c>
      <c r="E8" s="52">
        <v>7361145</v>
      </c>
      <c r="F8" s="141">
        <v>22069162</v>
      </c>
      <c r="G8" s="126" t="s">
        <v>23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1">
        <v>45252</v>
      </c>
      <c r="B9" s="50" t="s">
        <v>193</v>
      </c>
      <c r="C9" s="140">
        <v>0</v>
      </c>
      <c r="D9" s="52">
        <v>0</v>
      </c>
      <c r="E9" s="52">
        <v>276429</v>
      </c>
      <c r="F9" s="141">
        <v>22345591</v>
      </c>
      <c r="G9" s="126" t="s">
        <v>103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1"/>
      <c r="B10" s="50"/>
      <c r="C10" s="140"/>
      <c r="D10" s="52"/>
      <c r="E10" s="52"/>
      <c r="F10" s="141"/>
      <c r="G10" s="126"/>
      <c r="J10" s="98"/>
      <c r="K10" s="13"/>
      <c r="L10" s="13"/>
      <c r="M10" s="13"/>
      <c r="N10" s="13"/>
      <c r="O10" s="13"/>
      <c r="P10" s="97"/>
    </row>
    <row r="11" spans="1:17" ht="18.75" x14ac:dyDescent="0.3">
      <c r="A11" s="51"/>
      <c r="B11" s="50"/>
      <c r="C11" s="140"/>
      <c r="D11" s="52"/>
      <c r="E11" s="52"/>
      <c r="F11" s="141"/>
      <c r="G11" s="126"/>
      <c r="J11" s="98"/>
      <c r="K11" s="13"/>
      <c r="L11" s="13"/>
      <c r="M11" s="13"/>
      <c r="N11" s="13"/>
      <c r="O11" s="13"/>
      <c r="P11" s="97"/>
    </row>
    <row r="12" spans="1:17" ht="18.75" x14ac:dyDescent="0.3">
      <c r="A12" s="51"/>
      <c r="B12" s="50"/>
      <c r="C12" s="140"/>
      <c r="D12" s="52"/>
      <c r="E12" s="52"/>
      <c r="F12" s="141"/>
      <c r="G12" s="126"/>
      <c r="J12" s="98"/>
      <c r="K12" s="13"/>
      <c r="L12" s="13"/>
      <c r="M12" s="13"/>
      <c r="N12" s="13"/>
      <c r="O12" s="13"/>
      <c r="P12" s="97"/>
    </row>
    <row r="13" spans="1:17" ht="18.75" x14ac:dyDescent="0.3">
      <c r="A13" s="51"/>
      <c r="B13" s="50"/>
      <c r="C13" s="140"/>
      <c r="D13" s="52"/>
      <c r="E13" s="52"/>
      <c r="F13" s="141"/>
      <c r="G13" s="126"/>
      <c r="J13" s="98"/>
      <c r="K13" s="13"/>
      <c r="L13" s="13"/>
      <c r="M13" s="13"/>
      <c r="N13" s="13"/>
      <c r="O13" s="13"/>
      <c r="P13" s="97"/>
    </row>
    <row r="14" spans="1:17" ht="18.75" x14ac:dyDescent="0.3">
      <c r="A14" s="51"/>
      <c r="B14" s="50"/>
      <c r="C14" s="140"/>
      <c r="D14" s="52"/>
      <c r="E14" s="52"/>
      <c r="F14" s="141"/>
      <c r="G14" s="126"/>
      <c r="J14" s="98"/>
      <c r="K14" s="13"/>
      <c r="L14" s="13"/>
      <c r="M14" s="13"/>
      <c r="N14" s="13"/>
      <c r="O14" s="13"/>
      <c r="P14" s="97"/>
    </row>
    <row r="15" spans="1:17" ht="18.75" x14ac:dyDescent="0.3">
      <c r="A15" s="51"/>
      <c r="B15" s="50"/>
      <c r="C15" s="140"/>
      <c r="D15" s="52"/>
      <c r="E15" s="52"/>
      <c r="F15" s="141"/>
      <c r="G15" s="126"/>
      <c r="J15" s="98"/>
      <c r="K15" s="13"/>
      <c r="L15" s="13"/>
      <c r="M15" s="13"/>
      <c r="N15" s="13"/>
      <c r="O15" s="13"/>
      <c r="P15" s="97"/>
    </row>
    <row r="16" spans="1:17" ht="18.75" x14ac:dyDescent="0.3">
      <c r="A16" s="51"/>
      <c r="B16" s="50"/>
      <c r="C16" s="140"/>
      <c r="D16" s="52"/>
      <c r="E16" s="52"/>
      <c r="F16" s="141"/>
      <c r="G16" s="126"/>
      <c r="J16" s="98"/>
      <c r="K16" s="13"/>
      <c r="L16" s="13"/>
      <c r="M16" s="13"/>
      <c r="N16" s="13"/>
      <c r="O16" s="13"/>
      <c r="P16" s="97"/>
    </row>
    <row r="17" spans="1:16" ht="18.75" x14ac:dyDescent="0.3">
      <c r="A17" s="51"/>
      <c r="B17" s="50"/>
      <c r="C17" s="140"/>
      <c r="D17" s="52"/>
      <c r="E17" s="52"/>
      <c r="F17" s="141"/>
      <c r="G17" s="126"/>
      <c r="J17" s="98"/>
      <c r="K17" s="13"/>
      <c r="L17" s="13"/>
      <c r="M17" s="13"/>
      <c r="N17" s="13"/>
      <c r="O17" s="13"/>
      <c r="P17" s="97"/>
    </row>
    <row r="18" spans="1:16" ht="18.75" x14ac:dyDescent="0.3">
      <c r="A18" s="51"/>
      <c r="B18" s="50"/>
      <c r="C18" s="140"/>
      <c r="D18" s="52"/>
      <c r="E18" s="52"/>
      <c r="F18" s="141"/>
      <c r="G18" s="126"/>
      <c r="J18" s="98"/>
      <c r="K18" s="13"/>
      <c r="L18" s="13"/>
      <c r="M18" s="13"/>
      <c r="N18" s="13"/>
      <c r="O18" s="13"/>
      <c r="P18" s="97"/>
    </row>
    <row r="19" spans="1:16" ht="18.75" x14ac:dyDescent="0.3">
      <c r="A19" s="51"/>
      <c r="B19" s="50"/>
      <c r="C19" s="140"/>
      <c r="D19" s="52"/>
      <c r="E19" s="52"/>
      <c r="F19" s="141"/>
      <c r="G19" s="126"/>
      <c r="J19" s="98"/>
      <c r="K19" s="13"/>
      <c r="L19" s="13"/>
      <c r="M19" s="13"/>
      <c r="N19" s="13"/>
      <c r="O19" s="13"/>
      <c r="P19" s="97"/>
    </row>
    <row r="20" spans="1:16" ht="18.75" x14ac:dyDescent="0.3">
      <c r="A20" s="51"/>
      <c r="B20" s="50"/>
      <c r="C20" s="140"/>
      <c r="D20" s="52"/>
      <c r="E20" s="52"/>
      <c r="F20" s="141"/>
      <c r="G20" s="126"/>
      <c r="J20" s="98"/>
      <c r="K20" s="13"/>
      <c r="L20" s="13"/>
      <c r="M20" s="13"/>
      <c r="N20" s="13"/>
      <c r="O20" s="13"/>
      <c r="P20" s="97"/>
    </row>
    <row r="21" spans="1:16" ht="18.75" x14ac:dyDescent="0.3">
      <c r="A21" s="51"/>
      <c r="B21" s="50"/>
      <c r="C21" s="140"/>
      <c r="D21" s="52"/>
      <c r="E21" s="52"/>
      <c r="F21" s="141"/>
      <c r="G21" s="126"/>
      <c r="J21" s="98"/>
      <c r="K21" s="13"/>
      <c r="L21" s="13"/>
      <c r="M21" s="13"/>
      <c r="N21" s="13"/>
      <c r="O21" s="13"/>
      <c r="P21" s="97"/>
    </row>
    <row r="22" spans="1:16" ht="18.75" x14ac:dyDescent="0.3">
      <c r="A22" s="51"/>
      <c r="B22" s="50"/>
      <c r="C22" s="140"/>
      <c r="D22" s="52"/>
      <c r="E22" s="52"/>
      <c r="F22" s="141"/>
      <c r="G22" s="126"/>
    </row>
    <row r="23" spans="1:16" ht="18.75" x14ac:dyDescent="0.3">
      <c r="A23" s="51"/>
      <c r="B23" s="50"/>
      <c r="C23" s="140"/>
      <c r="D23" s="52"/>
      <c r="E23" s="52"/>
      <c r="F23" s="141"/>
      <c r="G23" s="126"/>
    </row>
    <row r="24" spans="1:16" ht="18.75" x14ac:dyDescent="0.3">
      <c r="A24" s="51"/>
      <c r="B24" s="50"/>
      <c r="C24" s="140"/>
      <c r="D24" s="52"/>
      <c r="E24" s="52"/>
      <c r="F24" s="141"/>
      <c r="G24" s="126"/>
      <c r="J24" s="180"/>
      <c r="K24" s="5"/>
    </row>
    <row r="25" spans="1:16" ht="18.75" x14ac:dyDescent="0.3">
      <c r="A25" s="51"/>
      <c r="B25" s="50"/>
      <c r="C25" s="140"/>
      <c r="D25" s="52"/>
      <c r="E25" s="52"/>
      <c r="F25" s="141"/>
      <c r="G25" s="126"/>
      <c r="K25" s="5"/>
    </row>
    <row r="26" spans="1:16" ht="18.75" x14ac:dyDescent="0.3">
      <c r="A26" s="51"/>
      <c r="B26" s="50"/>
      <c r="C26" s="140"/>
      <c r="D26" s="52"/>
      <c r="E26" s="52"/>
      <c r="F26" s="141"/>
      <c r="G26" s="126"/>
      <c r="K26" s="5"/>
    </row>
    <row r="27" spans="1:16" ht="18.75" x14ac:dyDescent="0.3">
      <c r="A27" s="51"/>
      <c r="B27" s="50"/>
      <c r="C27" s="140"/>
      <c r="D27" s="52"/>
      <c r="E27" s="52"/>
      <c r="F27" s="141"/>
      <c r="G27" s="126"/>
    </row>
    <row r="28" spans="1:16" ht="18.75" x14ac:dyDescent="0.3">
      <c r="A28" s="51"/>
      <c r="B28" s="50"/>
      <c r="C28" s="140"/>
      <c r="D28" s="52"/>
      <c r="E28" s="52"/>
      <c r="F28" s="141"/>
      <c r="G28" s="126"/>
    </row>
    <row r="29" spans="1:16" ht="18.75" x14ac:dyDescent="0.3">
      <c r="A29" s="51"/>
      <c r="B29" s="50"/>
      <c r="C29" s="140"/>
      <c r="D29" s="52"/>
      <c r="E29" s="52"/>
      <c r="F29" s="141"/>
      <c r="G29" s="126"/>
    </row>
    <row r="30" spans="1:16" ht="18.75" x14ac:dyDescent="0.3">
      <c r="A30" s="51"/>
      <c r="B30" s="50"/>
      <c r="C30" s="140"/>
      <c r="D30" s="52"/>
      <c r="E30" s="52"/>
      <c r="F30" s="141"/>
      <c r="G30" s="126"/>
    </row>
    <row r="31" spans="1:16" ht="18.75" x14ac:dyDescent="0.3">
      <c r="A31" s="51"/>
      <c r="B31" s="50"/>
      <c r="C31" s="140"/>
      <c r="D31" s="52"/>
      <c r="E31" s="52"/>
      <c r="F31" s="141"/>
      <c r="G31" s="126"/>
    </row>
    <row r="32" spans="1:16" ht="18.75" x14ac:dyDescent="0.3">
      <c r="A32" s="51"/>
      <c r="B32" s="50"/>
      <c r="C32" s="140"/>
      <c r="D32" s="52"/>
      <c r="E32" s="52"/>
      <c r="F32" s="141"/>
      <c r="G32" s="126"/>
    </row>
    <row r="33" spans="1:7" ht="18.75" x14ac:dyDescent="0.3">
      <c r="A33" s="51"/>
      <c r="B33" s="50"/>
      <c r="C33" s="140"/>
      <c r="D33" s="52"/>
      <c r="E33" s="52"/>
      <c r="F33" s="141"/>
      <c r="G33" s="126"/>
    </row>
    <row r="34" spans="1:7" ht="18.75" x14ac:dyDescent="0.3">
      <c r="A34" s="51"/>
      <c r="B34" s="50"/>
      <c r="C34" s="140"/>
      <c r="D34" s="52"/>
      <c r="E34" s="52"/>
      <c r="F34" s="141"/>
      <c r="G34" s="126"/>
    </row>
    <row r="35" spans="1:7" ht="18.75" x14ac:dyDescent="0.3">
      <c r="A35" s="51"/>
      <c r="B35" s="50"/>
      <c r="C35" s="140"/>
      <c r="D35" s="52"/>
      <c r="E35" s="52"/>
      <c r="F35" s="141"/>
      <c r="G35" s="126"/>
    </row>
    <row r="36" spans="1:7" ht="18.75" x14ac:dyDescent="0.3">
      <c r="A36" s="51"/>
      <c r="B36" s="50"/>
      <c r="C36" s="140"/>
      <c r="D36" s="52"/>
      <c r="E36" s="52"/>
      <c r="F36" s="141"/>
      <c r="G36" s="126"/>
    </row>
    <row r="37" spans="1:7" ht="18.75" x14ac:dyDescent="0.3">
      <c r="A37" s="51"/>
      <c r="B37" s="50"/>
      <c r="C37" s="140"/>
      <c r="D37" s="52"/>
      <c r="E37" s="52"/>
      <c r="F37" s="141"/>
      <c r="G37" s="126"/>
    </row>
    <row r="38" spans="1:7" ht="18.75" x14ac:dyDescent="0.3">
      <c r="A38" s="51"/>
      <c r="B38" s="50"/>
      <c r="C38" s="140"/>
      <c r="D38" s="52"/>
      <c r="E38" s="52"/>
      <c r="F38" s="141"/>
      <c r="G38" s="126"/>
    </row>
    <row r="39" spans="1:7" ht="18.75" x14ac:dyDescent="0.3">
      <c r="A39" s="51"/>
      <c r="B39" s="50"/>
      <c r="C39" s="140"/>
      <c r="D39" s="52"/>
      <c r="E39" s="52"/>
      <c r="F39" s="141"/>
      <c r="G39" s="126"/>
    </row>
    <row r="40" spans="1:7" ht="18.75" x14ac:dyDescent="0.3">
      <c r="A40" s="51"/>
      <c r="B40" s="50"/>
      <c r="C40" s="140"/>
      <c r="D40" s="52"/>
      <c r="E40" s="52"/>
      <c r="F40" s="141"/>
      <c r="G40" s="126"/>
    </row>
    <row r="41" spans="1:7" ht="18.75" x14ac:dyDescent="0.3">
      <c r="A41" s="51"/>
      <c r="B41" s="50"/>
      <c r="C41" s="140"/>
      <c r="D41" s="52"/>
      <c r="E41" s="52"/>
      <c r="F41" s="141"/>
      <c r="G41" s="126"/>
    </row>
    <row r="42" spans="1:7" ht="18.75" x14ac:dyDescent="0.3">
      <c r="A42" s="51"/>
      <c r="B42" s="50"/>
      <c r="C42" s="140"/>
      <c r="D42" s="52"/>
      <c r="E42" s="52"/>
      <c r="F42" s="141"/>
      <c r="G42" s="126"/>
    </row>
    <row r="43" spans="1:7" ht="18.75" x14ac:dyDescent="0.3">
      <c r="A43" s="51"/>
      <c r="B43" s="50"/>
      <c r="C43" s="140"/>
      <c r="D43" s="52"/>
      <c r="E43" s="52"/>
      <c r="F43" s="141"/>
      <c r="G43" s="126"/>
    </row>
    <row r="44" spans="1:7" ht="18.75" x14ac:dyDescent="0.3">
      <c r="A44" s="51"/>
      <c r="B44" s="50"/>
      <c r="C44" s="140"/>
      <c r="D44" s="52"/>
      <c r="E44" s="52"/>
      <c r="F44" s="141"/>
      <c r="G44" s="126"/>
    </row>
    <row r="45" spans="1:7" ht="18.75" x14ac:dyDescent="0.3">
      <c r="A45" s="51"/>
      <c r="B45" s="50"/>
      <c r="C45" s="140"/>
      <c r="D45" s="52"/>
      <c r="E45" s="52"/>
      <c r="F45" s="141"/>
      <c r="G45" s="126"/>
    </row>
    <row r="46" spans="1:7" ht="18.75" x14ac:dyDescent="0.3">
      <c r="A46" s="51"/>
      <c r="B46" s="50"/>
      <c r="C46" s="140"/>
      <c r="D46" s="52"/>
      <c r="E46" s="52"/>
      <c r="F46" s="141"/>
      <c r="G46" s="126"/>
    </row>
    <row r="47" spans="1:7" ht="18.75" x14ac:dyDescent="0.3">
      <c r="A47" s="51"/>
      <c r="B47" s="50"/>
      <c r="C47" s="140"/>
      <c r="D47" s="52"/>
      <c r="E47" s="52"/>
      <c r="F47" s="141"/>
      <c r="G47" s="126"/>
    </row>
    <row r="48" spans="1:7" ht="18.75" x14ac:dyDescent="0.3">
      <c r="A48" s="51"/>
      <c r="B48" s="50"/>
      <c r="C48" s="140"/>
      <c r="D48" s="52"/>
      <c r="E48" s="52"/>
      <c r="F48" s="141"/>
      <c r="G48" s="126"/>
    </row>
    <row r="49" spans="1:7" ht="18.75" x14ac:dyDescent="0.3">
      <c r="A49" s="51"/>
      <c r="B49" s="50"/>
      <c r="C49" s="140"/>
      <c r="D49" s="52"/>
      <c r="E49" s="52"/>
      <c r="F49" s="141"/>
      <c r="G49" s="126"/>
    </row>
    <row r="50" spans="1:7" ht="18.75" x14ac:dyDescent="0.3">
      <c r="A50" s="51"/>
      <c r="B50" s="50"/>
      <c r="C50" s="140"/>
      <c r="D50" s="52"/>
      <c r="E50" s="52"/>
      <c r="F50" s="141"/>
      <c r="G50" s="126"/>
    </row>
    <row r="51" spans="1:7" ht="18.75" x14ac:dyDescent="0.3">
      <c r="A51" s="51"/>
      <c r="B51" s="50"/>
      <c r="C51" s="140"/>
      <c r="D51" s="52"/>
      <c r="E51" s="52"/>
      <c r="F51" s="141"/>
      <c r="G51" s="126"/>
    </row>
    <row r="52" spans="1:7" ht="18.75" x14ac:dyDescent="0.3">
      <c r="A52" s="51"/>
      <c r="B52" s="50"/>
      <c r="C52" s="140"/>
      <c r="D52" s="52"/>
      <c r="E52" s="52"/>
      <c r="F52" s="141"/>
      <c r="G52" s="126"/>
    </row>
    <row r="53" spans="1:7" ht="18.75" x14ac:dyDescent="0.3">
      <c r="A53" s="51"/>
      <c r="B53" s="50"/>
      <c r="C53" s="140"/>
      <c r="D53" s="52"/>
      <c r="E53" s="52"/>
      <c r="F53" s="141"/>
      <c r="G53" s="126"/>
    </row>
    <row r="54" spans="1:7" ht="18.75" x14ac:dyDescent="0.3">
      <c r="A54" s="51"/>
      <c r="B54" s="50"/>
      <c r="C54" s="140"/>
      <c r="D54" s="52"/>
      <c r="E54" s="52"/>
      <c r="F54" s="141"/>
      <c r="G54" s="126"/>
    </row>
    <row r="55" spans="1:7" ht="18.75" x14ac:dyDescent="0.3">
      <c r="A55" s="51"/>
      <c r="B55" s="50"/>
      <c r="C55" s="140"/>
      <c r="D55" s="52"/>
      <c r="E55" s="52"/>
      <c r="F55" s="141"/>
      <c r="G55" s="126"/>
    </row>
    <row r="56" spans="1:7" ht="18.75" x14ac:dyDescent="0.3">
      <c r="A56" s="51"/>
      <c r="B56" s="50"/>
      <c r="C56" s="140"/>
      <c r="D56" s="52"/>
      <c r="E56" s="52"/>
      <c r="F56" s="141"/>
      <c r="G56" s="126"/>
    </row>
    <row r="57" spans="1:7" ht="18.75" x14ac:dyDescent="0.3">
      <c r="A57" s="51"/>
      <c r="B57" s="50"/>
      <c r="C57" s="50"/>
      <c r="D57" s="52"/>
      <c r="E57" s="52"/>
      <c r="F57" s="109"/>
      <c r="G57" s="126"/>
    </row>
    <row r="58" spans="1:7" ht="18.75" x14ac:dyDescent="0.3">
      <c r="A58" s="51"/>
      <c r="B58" s="50"/>
      <c r="C58" s="50"/>
      <c r="D58" s="52"/>
      <c r="E58" s="52"/>
      <c r="F58" s="109"/>
      <c r="G58" s="126"/>
    </row>
    <row r="59" spans="1:7" ht="18.75" x14ac:dyDescent="0.3">
      <c r="A59" s="51"/>
      <c r="B59" s="50"/>
      <c r="C59" s="50"/>
      <c r="D59" s="52"/>
      <c r="E59" s="52"/>
      <c r="F59" s="109"/>
      <c r="G59" s="126"/>
    </row>
    <row r="60" spans="1:7" ht="18.75" x14ac:dyDescent="0.3">
      <c r="A60" s="51"/>
      <c r="B60" s="50"/>
      <c r="C60" s="50"/>
      <c r="D60" s="52"/>
      <c r="E60" s="52"/>
      <c r="F60" s="109"/>
      <c r="G60" s="126"/>
    </row>
    <row r="61" spans="1:7" ht="18.75" x14ac:dyDescent="0.3">
      <c r="A61" s="51"/>
      <c r="B61" s="50"/>
      <c r="C61" s="50"/>
      <c r="D61" s="52"/>
      <c r="E61" s="52"/>
      <c r="F61" s="109"/>
      <c r="G61" s="126"/>
    </row>
    <row r="62" spans="1:7" ht="18.75" x14ac:dyDescent="0.3">
      <c r="A62" s="51"/>
      <c r="B62" s="50"/>
      <c r="C62" s="50"/>
      <c r="D62" s="52"/>
      <c r="E62" s="52"/>
      <c r="F62" s="109"/>
      <c r="G62" s="126"/>
    </row>
    <row r="63" spans="1:7" ht="18.75" x14ac:dyDescent="0.3">
      <c r="A63" s="51"/>
      <c r="B63" s="50"/>
      <c r="C63" s="50"/>
      <c r="D63" s="52"/>
      <c r="E63" s="52"/>
      <c r="F63" s="109"/>
      <c r="G63" s="126"/>
    </row>
    <row r="64" spans="1:7" ht="18.75" x14ac:dyDescent="0.3">
      <c r="A64" s="51"/>
      <c r="B64" s="50"/>
      <c r="C64" s="50"/>
      <c r="D64" s="52"/>
      <c r="E64" s="52"/>
      <c r="F64" s="109"/>
      <c r="G64" s="126"/>
    </row>
    <row r="65" spans="1:7" ht="18.75" x14ac:dyDescent="0.3">
      <c r="A65" s="51"/>
      <c r="B65" s="50"/>
      <c r="C65" s="50"/>
      <c r="D65" s="52"/>
      <c r="E65" s="52"/>
      <c r="F65" s="109"/>
      <c r="G65" s="126"/>
    </row>
    <row r="66" spans="1:7" x14ac:dyDescent="0.25">
      <c r="A66" s="51"/>
      <c r="B66" s="50"/>
      <c r="C66" s="50"/>
      <c r="D66" s="52"/>
      <c r="E66" s="52"/>
      <c r="F66" s="109"/>
      <c r="G66" s="50"/>
    </row>
    <row r="67" spans="1:7" x14ac:dyDescent="0.25">
      <c r="A67" s="51"/>
      <c r="B67" s="50"/>
      <c r="C67" s="50"/>
      <c r="D67" s="52"/>
      <c r="E67" s="52"/>
      <c r="F67" s="109"/>
      <c r="G67" s="50"/>
    </row>
    <row r="68" spans="1:7" x14ac:dyDescent="0.25">
      <c r="A68" s="51"/>
      <c r="B68" s="50"/>
      <c r="C68" s="50"/>
      <c r="D68" s="52"/>
      <c r="E68" s="52"/>
      <c r="F68" s="109"/>
      <c r="G68" s="50"/>
    </row>
    <row r="69" spans="1:7" x14ac:dyDescent="0.25">
      <c r="A69" s="51"/>
      <c r="B69" s="50"/>
      <c r="C69" s="50"/>
      <c r="D69" s="52"/>
      <c r="E69" s="52"/>
      <c r="F69" s="109"/>
      <c r="G69" s="50"/>
    </row>
    <row r="70" spans="1:7" x14ac:dyDescent="0.25">
      <c r="A70" s="51"/>
      <c r="B70" s="50"/>
      <c r="C70" s="50"/>
      <c r="D70" s="52"/>
      <c r="E70" s="52"/>
      <c r="F70" s="109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09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09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61</v>
      </c>
      <c r="B80" s="54" t="s">
        <v>62</v>
      </c>
      <c r="C80" s="54" t="s">
        <v>63</v>
      </c>
      <c r="D80" s="55" t="s">
        <v>64</v>
      </c>
      <c r="E80" s="54" t="s">
        <v>65</v>
      </c>
      <c r="F80" s="54" t="s">
        <v>73</v>
      </c>
      <c r="G80" s="56" t="s">
        <v>36</v>
      </c>
    </row>
    <row r="81" spans="1:10" ht="15" customHeight="1" x14ac:dyDescent="0.3">
      <c r="A81" s="51"/>
      <c r="B81" s="50"/>
      <c r="C81" s="50"/>
      <c r="D81" s="52"/>
      <c r="E81" s="52"/>
      <c r="F81" s="109"/>
      <c r="G81" s="126"/>
    </row>
    <row r="82" spans="1:10" ht="15" customHeight="1" x14ac:dyDescent="0.3">
      <c r="A82" s="51"/>
      <c r="B82" s="50"/>
      <c r="C82" s="50"/>
      <c r="D82" s="52"/>
      <c r="E82" s="52"/>
      <c r="F82" s="109"/>
      <c r="G82" s="126"/>
    </row>
    <row r="83" spans="1:10" ht="15" customHeight="1" x14ac:dyDescent="0.3">
      <c r="A83" s="51"/>
      <c r="B83" s="50"/>
      <c r="C83" s="50"/>
      <c r="D83" s="52"/>
      <c r="E83" s="52"/>
      <c r="F83" s="109"/>
      <c r="G83" s="126"/>
      <c r="H83" s="5"/>
    </row>
    <row r="84" spans="1:10" ht="15" customHeight="1" x14ac:dyDescent="0.3">
      <c r="A84" s="51"/>
      <c r="B84" s="50"/>
      <c r="C84" s="50"/>
      <c r="D84" s="52"/>
      <c r="E84" s="52"/>
      <c r="F84" s="109"/>
      <c r="G84" s="126"/>
    </row>
    <row r="85" spans="1:10" ht="15" customHeight="1" x14ac:dyDescent="0.3">
      <c r="A85" s="51"/>
      <c r="B85" s="50"/>
      <c r="C85" s="50"/>
      <c r="D85" s="52"/>
      <c r="E85" s="52"/>
      <c r="F85" s="109"/>
      <c r="G85" s="126"/>
    </row>
    <row r="86" spans="1:10" ht="15" customHeight="1" x14ac:dyDescent="0.3">
      <c r="A86" s="51"/>
      <c r="B86" s="50"/>
      <c r="C86" s="50"/>
      <c r="D86" s="52"/>
      <c r="E86" s="52"/>
      <c r="F86" s="109"/>
      <c r="G86" s="126"/>
    </row>
    <row r="87" spans="1:10" ht="15" customHeight="1" x14ac:dyDescent="0.3">
      <c r="A87" s="51"/>
      <c r="B87" s="50"/>
      <c r="C87" s="50"/>
      <c r="D87" s="52"/>
      <c r="E87" s="52"/>
      <c r="F87" s="109"/>
      <c r="G87" s="126"/>
    </row>
    <row r="88" spans="1:10" ht="15" customHeight="1" x14ac:dyDescent="0.3">
      <c r="A88" s="51"/>
      <c r="B88" s="50"/>
      <c r="C88" s="50"/>
      <c r="D88" s="52"/>
      <c r="E88" s="52"/>
      <c r="F88" s="48"/>
      <c r="G88" s="126"/>
    </row>
    <row r="89" spans="1:10" ht="15" customHeight="1" x14ac:dyDescent="0.3">
      <c r="A89" s="67"/>
      <c r="B89" s="68"/>
      <c r="C89" s="68"/>
      <c r="D89" s="69"/>
      <c r="E89" s="69"/>
      <c r="F89" s="69"/>
      <c r="G89" s="126"/>
      <c r="J89">
        <v>776226</v>
      </c>
    </row>
    <row r="92" spans="1:10" x14ac:dyDescent="0.25">
      <c r="D92" s="1">
        <f>SUBTOTAL(9,D2:D89)</f>
        <v>5037402</v>
      </c>
      <c r="E92" s="1">
        <f>SUBTOTAL(9,E2:E89)</f>
        <v>9315371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61</v>
      </c>
      <c r="B95" s="54" t="s">
        <v>62</v>
      </c>
      <c r="C95" s="54" t="s">
        <v>63</v>
      </c>
      <c r="D95" s="55" t="s">
        <v>64</v>
      </c>
      <c r="F95" s="48">
        <f>SUMIF($G$2:$G$79,G95,$D$2:$D$79)-SUMIF($G$2:$G$79,G95,$E$2:$E$79)+EERR!$D$2*(SUMIF($G$81:$G$89,G95,$D$81:$D$89)-SUMIF($G$81:$G$89,G95,$E$81:$E$89))</f>
        <v>0</v>
      </c>
      <c r="G95" s="126" t="s">
        <v>131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6" t="s">
        <v>30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6" t="s">
        <v>86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6" t="s">
        <v>130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7" t="s">
        <v>132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6" t="s">
        <v>134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6" t="s">
        <v>133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-4710943</v>
      </c>
      <c r="G103" s="127" t="s">
        <v>23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6" t="s">
        <v>135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2387200</v>
      </c>
      <c r="G107" s="126" t="s">
        <v>29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6" t="s">
        <v>102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-1954226</v>
      </c>
      <c r="G109" s="126" t="s">
        <v>103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6" t="s">
        <v>136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6" t="s">
        <v>137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6" t="s">
        <v>153</v>
      </c>
    </row>
    <row r="113" spans="6:7" x14ac:dyDescent="0.25">
      <c r="F113" s="49"/>
      <c r="G113" s="47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832"/>
  <sheetViews>
    <sheetView topLeftCell="A220" zoomScale="70" zoomScaleNormal="70" workbookViewId="0">
      <selection activeCell="J258" sqref="J258:J266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24</v>
      </c>
      <c r="C1" s="37" t="s">
        <v>118</v>
      </c>
      <c r="D1" s="37" t="s">
        <v>119</v>
      </c>
      <c r="E1" s="37" t="s">
        <v>120</v>
      </c>
      <c r="F1" s="37" t="s">
        <v>121</v>
      </c>
      <c r="G1" s="63" t="s">
        <v>75</v>
      </c>
      <c r="H1" s="37" t="s">
        <v>122</v>
      </c>
      <c r="I1" s="37" t="s">
        <v>123</v>
      </c>
      <c r="J1" s="64" t="s">
        <v>247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01" t="s">
        <v>1134</v>
      </c>
      <c r="B2" s="302" t="s">
        <v>242</v>
      </c>
      <c r="C2" s="302" t="s">
        <v>277</v>
      </c>
      <c r="D2" s="302" t="s">
        <v>996</v>
      </c>
      <c r="E2" s="303">
        <v>187892</v>
      </c>
      <c r="F2" s="302">
        <v>0</v>
      </c>
      <c r="G2" s="304" t="s">
        <v>273</v>
      </c>
      <c r="H2" s="137">
        <v>20019812</v>
      </c>
      <c r="I2" s="137" t="s">
        <v>146</v>
      </c>
      <c r="J2" s="39"/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01" t="s">
        <v>1134</v>
      </c>
      <c r="B3" s="302" t="s">
        <v>242</v>
      </c>
      <c r="C3" s="302" t="s">
        <v>277</v>
      </c>
      <c r="D3" s="303" t="s">
        <v>997</v>
      </c>
      <c r="E3" s="303">
        <v>77040</v>
      </c>
      <c r="F3" s="302">
        <v>0</v>
      </c>
      <c r="G3" s="304" t="s">
        <v>273</v>
      </c>
      <c r="H3" s="137">
        <v>20019813</v>
      </c>
      <c r="I3" s="137" t="s">
        <v>115</v>
      </c>
      <c r="J3" s="39"/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x14ac:dyDescent="0.25">
      <c r="A4" s="301" t="s">
        <v>1134</v>
      </c>
      <c r="B4" s="302" t="s">
        <v>242</v>
      </c>
      <c r="C4" s="302" t="s">
        <v>277</v>
      </c>
      <c r="D4" s="303" t="s">
        <v>998</v>
      </c>
      <c r="E4" s="303">
        <v>112648</v>
      </c>
      <c r="F4" s="302">
        <v>0</v>
      </c>
      <c r="G4" s="137" t="s">
        <v>272</v>
      </c>
      <c r="H4" s="137">
        <v>129107516</v>
      </c>
      <c r="I4" s="137" t="s">
        <v>55</v>
      </c>
      <c r="J4" s="39"/>
      <c r="K4" s="5"/>
      <c r="L4" s="43" t="s">
        <v>48</v>
      </c>
      <c r="M4" s="44" t="s">
        <v>49</v>
      </c>
      <c r="N4" s="44" t="s">
        <v>49</v>
      </c>
      <c r="O4" s="44" t="s">
        <v>49</v>
      </c>
      <c r="P4" s="44" t="s">
        <v>49</v>
      </c>
      <c r="Q4" s="44" t="s">
        <v>49</v>
      </c>
      <c r="R4" s="44" t="s">
        <v>49</v>
      </c>
      <c r="S4" s="44" t="s">
        <v>49</v>
      </c>
      <c r="T4" s="44" t="s">
        <v>49</v>
      </c>
      <c r="U4" s="44" t="s">
        <v>49</v>
      </c>
      <c r="V4" s="44" t="s">
        <v>49</v>
      </c>
      <c r="W4" s="44" t="s">
        <v>49</v>
      </c>
      <c r="X4" s="44"/>
      <c r="Y4" s="44" t="s">
        <v>49</v>
      </c>
      <c r="Z4" s="44" t="s">
        <v>49</v>
      </c>
      <c r="AA4" s="44" t="s">
        <v>49</v>
      </c>
      <c r="AB4" s="44" t="s">
        <v>49</v>
      </c>
      <c r="AC4" s="44" t="s">
        <v>49</v>
      </c>
      <c r="AD4" s="44" t="s">
        <v>49</v>
      </c>
      <c r="AE4" s="44" t="s">
        <v>49</v>
      </c>
      <c r="AF4" s="44" t="s">
        <v>49</v>
      </c>
      <c r="AG4" s="44" t="s">
        <v>49</v>
      </c>
      <c r="AH4" s="44" t="s">
        <v>49</v>
      </c>
      <c r="AI4" s="44" t="s">
        <v>49</v>
      </c>
      <c r="AJ4" s="44" t="s">
        <v>49</v>
      </c>
      <c r="AK4" s="44" t="s">
        <v>49</v>
      </c>
      <c r="AL4" s="44" t="s">
        <v>49</v>
      </c>
      <c r="AM4" s="44" t="s">
        <v>49</v>
      </c>
      <c r="AN4" s="44" t="s">
        <v>49</v>
      </c>
      <c r="AO4" s="44" t="s">
        <v>49</v>
      </c>
      <c r="AP4" s="44" t="s">
        <v>155</v>
      </c>
      <c r="AQ4" s="44" t="s">
        <v>155</v>
      </c>
      <c r="AR4" s="44" t="s">
        <v>155</v>
      </c>
      <c r="AS4" s="44" t="s">
        <v>155</v>
      </c>
      <c r="AT4" s="44" t="s">
        <v>155</v>
      </c>
      <c r="AU4" s="44" t="s">
        <v>49</v>
      </c>
      <c r="AV4" s="44" t="s">
        <v>49</v>
      </c>
      <c r="AW4" s="44"/>
      <c r="AX4" s="44" t="s">
        <v>49</v>
      </c>
      <c r="AY4" s="44" t="s">
        <v>49</v>
      </c>
      <c r="AZ4" s="44" t="s">
        <v>49</v>
      </c>
      <c r="BA4" s="44" t="s">
        <v>49</v>
      </c>
    </row>
    <row r="5" spans="1:53" x14ac:dyDescent="0.25">
      <c r="A5" s="301" t="s">
        <v>1134</v>
      </c>
      <c r="B5" s="302" t="s">
        <v>242</v>
      </c>
      <c r="C5" s="302" t="s">
        <v>277</v>
      </c>
      <c r="D5" s="303" t="s">
        <v>999</v>
      </c>
      <c r="E5" s="303">
        <v>102574</v>
      </c>
      <c r="F5" s="302">
        <v>0</v>
      </c>
      <c r="G5" s="304" t="s">
        <v>703</v>
      </c>
      <c r="H5" s="137">
        <v>75359552</v>
      </c>
      <c r="I5" s="137" t="s">
        <v>147</v>
      </c>
      <c r="J5" s="39"/>
      <c r="K5" s="5"/>
      <c r="L5" s="42" t="s">
        <v>50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x14ac:dyDescent="0.25">
      <c r="A6" s="301" t="s">
        <v>1134</v>
      </c>
      <c r="B6" s="302" t="s">
        <v>242</v>
      </c>
      <c r="C6" s="302" t="s">
        <v>277</v>
      </c>
      <c r="D6" s="302" t="s">
        <v>1000</v>
      </c>
      <c r="E6" s="303">
        <v>36540</v>
      </c>
      <c r="F6" s="302">
        <v>0</v>
      </c>
      <c r="G6" s="304" t="s">
        <v>703</v>
      </c>
      <c r="H6" s="137">
        <v>75359553</v>
      </c>
      <c r="I6" s="137" t="s">
        <v>115</v>
      </c>
      <c r="J6" s="39"/>
      <c r="K6" s="5"/>
      <c r="L6" s="42" t="s">
        <v>51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x14ac:dyDescent="0.25">
      <c r="A7" s="301" t="s">
        <v>1134</v>
      </c>
      <c r="B7" s="302" t="s">
        <v>242</v>
      </c>
      <c r="C7" s="302" t="s">
        <v>277</v>
      </c>
      <c r="D7" s="302" t="s">
        <v>1001</v>
      </c>
      <c r="E7" s="303">
        <v>40680</v>
      </c>
      <c r="F7" s="302">
        <v>0</v>
      </c>
      <c r="G7" s="137" t="s">
        <v>703</v>
      </c>
      <c r="H7" s="137">
        <v>75359554</v>
      </c>
      <c r="I7" s="137" t="s">
        <v>145</v>
      </c>
      <c r="J7" s="39"/>
      <c r="K7" s="5"/>
      <c r="L7" s="42" t="s">
        <v>52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156</v>
      </c>
      <c r="AQ7" s="19" t="s">
        <v>156</v>
      </c>
      <c r="AR7" s="19" t="s">
        <v>156</v>
      </c>
      <c r="AS7" s="19" t="s">
        <v>156</v>
      </c>
      <c r="AT7" s="19" t="s">
        <v>156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x14ac:dyDescent="0.25">
      <c r="A8" s="301" t="s">
        <v>1134</v>
      </c>
      <c r="B8" s="302" t="s">
        <v>242</v>
      </c>
      <c r="C8" s="302" t="s">
        <v>277</v>
      </c>
      <c r="D8" s="303" t="s">
        <v>1002</v>
      </c>
      <c r="E8" s="303">
        <v>11180</v>
      </c>
      <c r="F8" s="302">
        <v>0</v>
      </c>
      <c r="G8" s="304" t="s">
        <v>703</v>
      </c>
      <c r="H8" s="137">
        <v>75359555</v>
      </c>
      <c r="I8" s="137" t="s">
        <v>148</v>
      </c>
      <c r="J8" s="39"/>
      <c r="K8" s="5"/>
      <c r="L8" s="42" t="s">
        <v>53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x14ac:dyDescent="0.25">
      <c r="A9" s="301" t="s">
        <v>1134</v>
      </c>
      <c r="B9" s="302" t="s">
        <v>242</v>
      </c>
      <c r="C9" s="302" t="s">
        <v>277</v>
      </c>
      <c r="D9" s="303" t="s">
        <v>1003</v>
      </c>
      <c r="E9" s="303">
        <v>130020</v>
      </c>
      <c r="F9" s="302">
        <v>0</v>
      </c>
      <c r="G9" s="304" t="s">
        <v>703</v>
      </c>
      <c r="H9" s="137">
        <v>75359556</v>
      </c>
      <c r="I9" s="137" t="s">
        <v>146</v>
      </c>
      <c r="J9" s="39"/>
      <c r="K9" s="5"/>
      <c r="L9" s="42" t="s">
        <v>54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x14ac:dyDescent="0.25">
      <c r="A10" s="305" t="s">
        <v>1134</v>
      </c>
      <c r="B10" s="306" t="s">
        <v>242</v>
      </c>
      <c r="C10" s="306" t="s">
        <v>1004</v>
      </c>
      <c r="D10" s="307" t="s">
        <v>1005</v>
      </c>
      <c r="E10" s="307">
        <v>3800</v>
      </c>
      <c r="F10" s="306">
        <v>0</v>
      </c>
      <c r="G10" s="137" t="s">
        <v>503</v>
      </c>
      <c r="H10" s="137">
        <v>86548735</v>
      </c>
      <c r="I10" s="137" t="s">
        <v>146</v>
      </c>
      <c r="J10" s="39"/>
      <c r="K10" s="5"/>
      <c r="L10" s="42" t="s">
        <v>55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x14ac:dyDescent="0.25">
      <c r="A11" s="305" t="s">
        <v>1134</v>
      </c>
      <c r="B11" s="306" t="s">
        <v>242</v>
      </c>
      <c r="C11" s="306" t="s">
        <v>1006</v>
      </c>
      <c r="D11" s="307" t="s">
        <v>1007</v>
      </c>
      <c r="E11" s="307">
        <v>51776</v>
      </c>
      <c r="F11" s="306">
        <v>0</v>
      </c>
      <c r="G11" s="308" t="s">
        <v>1008</v>
      </c>
      <c r="H11" s="137">
        <v>268793</v>
      </c>
      <c r="I11" s="137" t="s">
        <v>144</v>
      </c>
      <c r="J11" s="39"/>
      <c r="K11" s="5"/>
      <c r="L11" s="42" t="s">
        <v>56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x14ac:dyDescent="0.25">
      <c r="A12" s="305" t="s">
        <v>1134</v>
      </c>
      <c r="B12" s="306" t="s">
        <v>242</v>
      </c>
      <c r="C12" s="306" t="s">
        <v>1009</v>
      </c>
      <c r="D12" s="307" t="s">
        <v>1010</v>
      </c>
      <c r="E12" s="307">
        <v>138000</v>
      </c>
      <c r="F12" s="306">
        <v>0</v>
      </c>
      <c r="G12" s="137" t="s">
        <v>1011</v>
      </c>
      <c r="H12" s="137">
        <v>24398</v>
      </c>
      <c r="I12" s="137" t="s">
        <v>55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5">
      <c r="A13" s="305" t="s">
        <v>1134</v>
      </c>
      <c r="B13" s="306" t="s">
        <v>242</v>
      </c>
      <c r="C13" s="306" t="s">
        <v>1012</v>
      </c>
      <c r="D13" s="307" t="s">
        <v>1013</v>
      </c>
      <c r="E13" s="307">
        <v>13971</v>
      </c>
      <c r="F13" s="306">
        <v>0</v>
      </c>
      <c r="G13" s="137" t="s">
        <v>272</v>
      </c>
      <c r="H13" s="137">
        <v>129107562</v>
      </c>
      <c r="I13" s="137" t="s">
        <v>55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x14ac:dyDescent="0.25">
      <c r="A14" s="305" t="s">
        <v>1134</v>
      </c>
      <c r="B14" s="306" t="s">
        <v>242</v>
      </c>
      <c r="C14" s="306" t="s">
        <v>1014</v>
      </c>
      <c r="D14" s="307" t="s">
        <v>1015</v>
      </c>
      <c r="E14" s="307">
        <v>11250</v>
      </c>
      <c r="F14" s="306">
        <v>0</v>
      </c>
      <c r="G14" s="308" t="s">
        <v>1016</v>
      </c>
      <c r="H14" s="137">
        <v>1743</v>
      </c>
      <c r="I14" s="137" t="s">
        <v>55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5">
      <c r="A15" s="305" t="s">
        <v>1134</v>
      </c>
      <c r="B15" s="306" t="s">
        <v>242</v>
      </c>
      <c r="C15" s="306" t="s">
        <v>1017</v>
      </c>
      <c r="D15" s="307" t="s">
        <v>1018</v>
      </c>
      <c r="E15" s="307">
        <v>46150</v>
      </c>
      <c r="F15" s="306">
        <v>0</v>
      </c>
      <c r="G15" s="137" t="s">
        <v>1019</v>
      </c>
      <c r="H15" s="137">
        <v>1789</v>
      </c>
      <c r="I15" s="137" t="s">
        <v>145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5">
      <c r="A16" s="305" t="s">
        <v>1135</v>
      </c>
      <c r="B16" s="306" t="s">
        <v>242</v>
      </c>
      <c r="C16" s="306" t="s">
        <v>1020</v>
      </c>
      <c r="D16" s="307" t="s">
        <v>1021</v>
      </c>
      <c r="E16" s="307">
        <v>44050</v>
      </c>
      <c r="F16" s="306">
        <v>0</v>
      </c>
      <c r="G16" s="137" t="s">
        <v>272</v>
      </c>
      <c r="H16" s="137">
        <v>129107688</v>
      </c>
      <c r="I16" s="137" t="s">
        <v>55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5">
      <c r="A17" s="305" t="s">
        <v>1135</v>
      </c>
      <c r="B17" s="306" t="s">
        <v>242</v>
      </c>
      <c r="C17" s="306" t="s">
        <v>1022</v>
      </c>
      <c r="D17" s="307" t="s">
        <v>1023</v>
      </c>
      <c r="E17" s="307">
        <v>10000</v>
      </c>
      <c r="F17" s="306">
        <v>0</v>
      </c>
      <c r="G17" s="137" t="s">
        <v>1024</v>
      </c>
      <c r="H17" s="137">
        <v>1799</v>
      </c>
      <c r="I17" s="137" t="s">
        <v>55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5">
      <c r="A18" s="305" t="s">
        <v>1135</v>
      </c>
      <c r="B18" s="306" t="s">
        <v>242</v>
      </c>
      <c r="C18" s="306" t="s">
        <v>1025</v>
      </c>
      <c r="D18" s="307" t="s">
        <v>1026</v>
      </c>
      <c r="E18" s="307">
        <v>8000</v>
      </c>
      <c r="F18" s="306">
        <v>0</v>
      </c>
      <c r="G18" s="308" t="s">
        <v>1027</v>
      </c>
      <c r="H18" s="137">
        <v>303</v>
      </c>
      <c r="I18" s="137" t="s">
        <v>146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5">
      <c r="A19" s="305" t="s">
        <v>1136</v>
      </c>
      <c r="B19" s="306" t="s">
        <v>242</v>
      </c>
      <c r="C19" s="306" t="s">
        <v>1028</v>
      </c>
      <c r="D19" s="307" t="s">
        <v>1029</v>
      </c>
      <c r="E19" s="307">
        <v>7610</v>
      </c>
      <c r="F19" s="306">
        <v>0</v>
      </c>
      <c r="G19" s="137" t="s">
        <v>278</v>
      </c>
      <c r="H19" s="137">
        <v>19390</v>
      </c>
      <c r="I19" s="137" t="s">
        <v>146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5">
      <c r="A20" s="320" t="s">
        <v>1136</v>
      </c>
      <c r="B20" s="321" t="s">
        <v>242</v>
      </c>
      <c r="C20" s="321" t="s">
        <v>1030</v>
      </c>
      <c r="D20" s="319" t="s">
        <v>1031</v>
      </c>
      <c r="E20" s="319">
        <v>2500</v>
      </c>
      <c r="F20" s="321">
        <v>0</v>
      </c>
      <c r="G20" s="322" t="s">
        <v>1032</v>
      </c>
      <c r="H20" s="322">
        <v>12190</v>
      </c>
      <c r="I20" s="322" t="s">
        <v>146</v>
      </c>
      <c r="J20" s="39"/>
      <c r="K20" s="5"/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5">
      <c r="A21" s="301" t="s">
        <v>1137</v>
      </c>
      <c r="B21" s="302" t="s">
        <v>242</v>
      </c>
      <c r="C21" s="302" t="s">
        <v>1033</v>
      </c>
      <c r="D21" s="303" t="s">
        <v>1034</v>
      </c>
      <c r="E21" s="303">
        <v>187673</v>
      </c>
      <c r="F21" s="302">
        <v>0</v>
      </c>
      <c r="G21" s="304" t="s">
        <v>273</v>
      </c>
      <c r="H21" s="137">
        <v>20068685</v>
      </c>
      <c r="I21" s="137" t="s">
        <v>146</v>
      </c>
      <c r="J21" s="39"/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5">
      <c r="A22" s="301" t="s">
        <v>1137</v>
      </c>
      <c r="B22" s="302" t="s">
        <v>242</v>
      </c>
      <c r="C22" s="302" t="s">
        <v>1035</v>
      </c>
      <c r="D22" s="303" t="s">
        <v>1036</v>
      </c>
      <c r="E22" s="303">
        <v>31636</v>
      </c>
      <c r="F22" s="302">
        <v>0</v>
      </c>
      <c r="G22" s="304" t="s">
        <v>273</v>
      </c>
      <c r="H22" s="137">
        <v>20068686</v>
      </c>
      <c r="I22" s="137" t="s">
        <v>145</v>
      </c>
      <c r="J22" s="39"/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5">
      <c r="A23" s="301" t="s">
        <v>1137</v>
      </c>
      <c r="B23" s="302" t="s">
        <v>242</v>
      </c>
      <c r="C23" s="302" t="s">
        <v>1037</v>
      </c>
      <c r="D23" s="303" t="s">
        <v>1038</v>
      </c>
      <c r="E23" s="303">
        <v>32400</v>
      </c>
      <c r="F23" s="302">
        <v>0</v>
      </c>
      <c r="G23" s="137" t="s">
        <v>273</v>
      </c>
      <c r="H23" s="137">
        <v>20079872</v>
      </c>
      <c r="I23" s="137" t="s">
        <v>115</v>
      </c>
      <c r="J23" s="39"/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5">
      <c r="A24" s="301" t="s">
        <v>1137</v>
      </c>
      <c r="B24" s="302" t="s">
        <v>242</v>
      </c>
      <c r="C24" s="302" t="s">
        <v>1039</v>
      </c>
      <c r="D24" s="303" t="s">
        <v>1040</v>
      </c>
      <c r="E24" s="303">
        <v>14370</v>
      </c>
      <c r="F24" s="302">
        <v>0</v>
      </c>
      <c r="G24" s="304" t="s">
        <v>703</v>
      </c>
      <c r="H24" s="137">
        <v>75415148</v>
      </c>
      <c r="I24" s="137" t="s">
        <v>145</v>
      </c>
      <c r="J24" s="39"/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5">
      <c r="A25" s="301" t="s">
        <v>1137</v>
      </c>
      <c r="B25" s="302" t="s">
        <v>242</v>
      </c>
      <c r="C25" s="302" t="s">
        <v>1041</v>
      </c>
      <c r="D25" s="303" t="s">
        <v>1042</v>
      </c>
      <c r="E25" s="303">
        <v>45320</v>
      </c>
      <c r="F25" s="302">
        <v>0</v>
      </c>
      <c r="G25" s="304" t="s">
        <v>703</v>
      </c>
      <c r="H25" s="137">
        <v>75415149</v>
      </c>
      <c r="I25" s="137" t="s">
        <v>115</v>
      </c>
      <c r="J25" s="39"/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5">
      <c r="A26" s="301" t="s">
        <v>1137</v>
      </c>
      <c r="B26" s="302" t="s">
        <v>242</v>
      </c>
      <c r="C26" s="302" t="s">
        <v>1043</v>
      </c>
      <c r="D26" s="303" t="s">
        <v>1044</v>
      </c>
      <c r="E26" s="303">
        <v>79281</v>
      </c>
      <c r="F26" s="302">
        <v>0</v>
      </c>
      <c r="G26" s="137" t="s">
        <v>703</v>
      </c>
      <c r="H26" s="137">
        <v>75415150</v>
      </c>
      <c r="I26" s="137" t="s">
        <v>147</v>
      </c>
      <c r="J26" s="39"/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5">
      <c r="A27" s="301" t="s">
        <v>1137</v>
      </c>
      <c r="B27" s="302" t="s">
        <v>242</v>
      </c>
      <c r="C27" s="302" t="s">
        <v>1045</v>
      </c>
      <c r="D27" s="303" t="s">
        <v>1046</v>
      </c>
      <c r="E27" s="303">
        <v>132600</v>
      </c>
      <c r="F27" s="302">
        <v>0</v>
      </c>
      <c r="G27" s="137" t="s">
        <v>703</v>
      </c>
      <c r="H27" s="137">
        <v>75415221</v>
      </c>
      <c r="I27" s="137" t="s">
        <v>146</v>
      </c>
      <c r="J27" s="39"/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5">
      <c r="A28" s="301" t="s">
        <v>1137</v>
      </c>
      <c r="B28" s="302" t="s">
        <v>242</v>
      </c>
      <c r="C28" s="302" t="s">
        <v>1047</v>
      </c>
      <c r="D28" s="303" t="s">
        <v>1048</v>
      </c>
      <c r="E28" s="303">
        <v>62440</v>
      </c>
      <c r="F28" s="302">
        <v>0</v>
      </c>
      <c r="G28" s="137" t="s">
        <v>272</v>
      </c>
      <c r="H28" s="137">
        <v>129235639</v>
      </c>
      <c r="I28" s="137" t="s">
        <v>55</v>
      </c>
      <c r="J28" s="39"/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5">
      <c r="A29" s="301" t="s">
        <v>1138</v>
      </c>
      <c r="B29" s="302" t="s">
        <v>242</v>
      </c>
      <c r="C29" s="302" t="s">
        <v>1049</v>
      </c>
      <c r="D29" s="303" t="s">
        <v>1050</v>
      </c>
      <c r="E29" s="303">
        <v>5200</v>
      </c>
      <c r="F29" s="302">
        <v>0</v>
      </c>
      <c r="G29" s="137" t="s">
        <v>503</v>
      </c>
      <c r="H29" s="137">
        <v>90090610</v>
      </c>
      <c r="I29" s="137" t="s">
        <v>55</v>
      </c>
      <c r="J29" s="39"/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5">
      <c r="A30" s="305" t="s">
        <v>1138</v>
      </c>
      <c r="B30" s="306" t="s">
        <v>242</v>
      </c>
      <c r="C30" s="306" t="s">
        <v>1051</v>
      </c>
      <c r="D30" s="307" t="s">
        <v>1052</v>
      </c>
      <c r="E30" s="307">
        <v>18687</v>
      </c>
      <c r="F30" s="306">
        <v>0</v>
      </c>
      <c r="G30" s="308" t="s">
        <v>273</v>
      </c>
      <c r="H30" s="137">
        <v>20075605</v>
      </c>
      <c r="I30" s="137" t="s">
        <v>145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5">
      <c r="A31" s="305" t="s">
        <v>1138</v>
      </c>
      <c r="B31" s="306" t="s">
        <v>242</v>
      </c>
      <c r="C31" s="306" t="s">
        <v>1053</v>
      </c>
      <c r="D31" s="307" t="s">
        <v>1054</v>
      </c>
      <c r="E31" s="307">
        <v>79990</v>
      </c>
      <c r="F31" s="306">
        <v>0</v>
      </c>
      <c r="G31" s="308" t="s">
        <v>273</v>
      </c>
      <c r="H31" s="137">
        <v>20075606</v>
      </c>
      <c r="I31" s="137" t="s">
        <v>55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5">
      <c r="A32" s="305" t="s">
        <v>1138</v>
      </c>
      <c r="B32" s="306" t="s">
        <v>242</v>
      </c>
      <c r="C32" s="306" t="s">
        <v>1055</v>
      </c>
      <c r="D32" s="307" t="s">
        <v>1056</v>
      </c>
      <c r="E32" s="307">
        <v>44016</v>
      </c>
      <c r="F32" s="306">
        <v>0</v>
      </c>
      <c r="G32" s="308" t="s">
        <v>1057</v>
      </c>
      <c r="H32" s="137">
        <v>362903</v>
      </c>
      <c r="I32" s="137" t="s">
        <v>144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5">
      <c r="A33" s="305" t="s">
        <v>1139</v>
      </c>
      <c r="B33" s="306" t="s">
        <v>242</v>
      </c>
      <c r="C33" s="306" t="s">
        <v>277</v>
      </c>
      <c r="D33" s="307" t="s">
        <v>1058</v>
      </c>
      <c r="E33" s="307">
        <v>53300</v>
      </c>
      <c r="F33" s="306">
        <v>0</v>
      </c>
      <c r="G33" s="308" t="s">
        <v>1059</v>
      </c>
      <c r="H33" s="137">
        <v>65352</v>
      </c>
      <c r="I33" s="137" t="s">
        <v>146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5">
      <c r="A34" s="305" t="s">
        <v>1140</v>
      </c>
      <c r="B34" s="306" t="s">
        <v>242</v>
      </c>
      <c r="C34" s="306" t="s">
        <v>1060</v>
      </c>
      <c r="D34" s="307" t="s">
        <v>1061</v>
      </c>
      <c r="E34" s="307">
        <v>203585</v>
      </c>
      <c r="F34" s="306">
        <v>0</v>
      </c>
      <c r="G34" s="308" t="s">
        <v>273</v>
      </c>
      <c r="H34" s="137">
        <v>20075034</v>
      </c>
      <c r="I34" s="137" t="s">
        <v>146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5">
      <c r="A35" s="305" t="s">
        <v>1140</v>
      </c>
      <c r="B35" s="306" t="s">
        <v>242</v>
      </c>
      <c r="C35" s="306" t="s">
        <v>1062</v>
      </c>
      <c r="D35" s="307" t="s">
        <v>1063</v>
      </c>
      <c r="E35" s="307">
        <v>94800</v>
      </c>
      <c r="F35" s="306">
        <v>0</v>
      </c>
      <c r="G35" s="137" t="s">
        <v>273</v>
      </c>
      <c r="H35" s="137">
        <v>20075035</v>
      </c>
      <c r="I35" s="137" t="s">
        <v>115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5">
      <c r="A36" s="305" t="s">
        <v>1140</v>
      </c>
      <c r="B36" s="306" t="s">
        <v>242</v>
      </c>
      <c r="C36" s="306" t="s">
        <v>1064</v>
      </c>
      <c r="D36" s="307" t="s">
        <v>1065</v>
      </c>
      <c r="E36" s="307">
        <v>15580</v>
      </c>
      <c r="F36" s="306">
        <v>0</v>
      </c>
      <c r="G36" s="137" t="s">
        <v>703</v>
      </c>
      <c r="H36" s="137">
        <v>75415499</v>
      </c>
      <c r="I36" s="137" t="s">
        <v>115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5">
      <c r="A37" s="305" t="s">
        <v>1140</v>
      </c>
      <c r="B37" s="306" t="s">
        <v>242</v>
      </c>
      <c r="C37" s="306" t="s">
        <v>1066</v>
      </c>
      <c r="D37" s="307" t="s">
        <v>1067</v>
      </c>
      <c r="E37" s="307">
        <v>106976</v>
      </c>
      <c r="F37" s="306">
        <v>0</v>
      </c>
      <c r="G37" s="137" t="s">
        <v>703</v>
      </c>
      <c r="H37" s="137">
        <v>75415500</v>
      </c>
      <c r="I37" s="137" t="s">
        <v>147</v>
      </c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5">
      <c r="A38" s="305" t="s">
        <v>1140</v>
      </c>
      <c r="B38" s="306" t="s">
        <v>242</v>
      </c>
      <c r="C38" s="306" t="s">
        <v>1068</v>
      </c>
      <c r="D38" s="307" t="s">
        <v>1069</v>
      </c>
      <c r="E38" s="307">
        <v>119600</v>
      </c>
      <c r="F38" s="306">
        <v>0</v>
      </c>
      <c r="G38" s="308" t="s">
        <v>703</v>
      </c>
      <c r="H38" s="137">
        <v>75444121</v>
      </c>
      <c r="I38" s="137" t="s">
        <v>146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5">
      <c r="A39" s="305" t="s">
        <v>1140</v>
      </c>
      <c r="B39" s="306" t="s">
        <v>242</v>
      </c>
      <c r="C39" s="306" t="s">
        <v>1070</v>
      </c>
      <c r="D39" s="307" t="s">
        <v>1071</v>
      </c>
      <c r="E39" s="307">
        <v>51550</v>
      </c>
      <c r="F39" s="306">
        <v>0</v>
      </c>
      <c r="G39" s="137" t="s">
        <v>703</v>
      </c>
      <c r="H39" s="137">
        <v>75444122</v>
      </c>
      <c r="I39" s="137" t="s">
        <v>145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5">
      <c r="A40" s="305" t="s">
        <v>1140</v>
      </c>
      <c r="B40" s="306" t="s">
        <v>242</v>
      </c>
      <c r="C40" s="306" t="s">
        <v>1072</v>
      </c>
      <c r="D40" s="307" t="s">
        <v>1073</v>
      </c>
      <c r="E40" s="307">
        <v>69109</v>
      </c>
      <c r="F40" s="306">
        <v>0</v>
      </c>
      <c r="G40" s="137" t="s">
        <v>272</v>
      </c>
      <c r="H40" s="137">
        <v>128870369</v>
      </c>
      <c r="I40" s="137" t="s">
        <v>55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5">
      <c r="A41" s="305" t="s">
        <v>1140</v>
      </c>
      <c r="B41" s="306" t="s">
        <v>242</v>
      </c>
      <c r="C41" s="306" t="s">
        <v>1074</v>
      </c>
      <c r="D41" s="307" t="s">
        <v>1075</v>
      </c>
      <c r="E41" s="307">
        <v>10000</v>
      </c>
      <c r="F41" s="306">
        <v>0</v>
      </c>
      <c r="G41" s="137" t="s">
        <v>1011</v>
      </c>
      <c r="H41" s="137">
        <v>24551</v>
      </c>
      <c r="I41" s="137" t="s">
        <v>55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5">
      <c r="A42" s="305" t="s">
        <v>1141</v>
      </c>
      <c r="B42" s="306" t="s">
        <v>242</v>
      </c>
      <c r="C42" s="306" t="s">
        <v>1076</v>
      </c>
      <c r="D42" s="307" t="s">
        <v>1077</v>
      </c>
      <c r="E42" s="307">
        <v>10300</v>
      </c>
      <c r="F42" s="306">
        <v>0</v>
      </c>
      <c r="G42" s="137" t="s">
        <v>1032</v>
      </c>
      <c r="H42" s="137">
        <v>25353</v>
      </c>
      <c r="I42" s="137" t="s">
        <v>146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5">
      <c r="A43" s="301" t="s">
        <v>1142</v>
      </c>
      <c r="B43" s="302" t="s">
        <v>242</v>
      </c>
      <c r="C43" s="302" t="s">
        <v>1078</v>
      </c>
      <c r="D43" s="303" t="s">
        <v>1079</v>
      </c>
      <c r="E43" s="303">
        <v>49580</v>
      </c>
      <c r="F43" s="302">
        <v>0</v>
      </c>
      <c r="G43" s="304" t="s">
        <v>1059</v>
      </c>
      <c r="H43" s="137">
        <v>65614</v>
      </c>
      <c r="I43" s="137" t="s">
        <v>146</v>
      </c>
      <c r="J43" s="39"/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5">
      <c r="A44" s="301" t="s">
        <v>1143</v>
      </c>
      <c r="B44" s="302" t="s">
        <v>242</v>
      </c>
      <c r="C44" s="302" t="s">
        <v>1080</v>
      </c>
      <c r="D44" s="303" t="s">
        <v>1081</v>
      </c>
      <c r="E44" s="303">
        <v>172969</v>
      </c>
      <c r="F44" s="302">
        <v>0</v>
      </c>
      <c r="G44" s="304" t="s">
        <v>273</v>
      </c>
      <c r="H44" s="137">
        <v>20217781</v>
      </c>
      <c r="I44" s="137" t="s">
        <v>146</v>
      </c>
      <c r="J44" s="39"/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5">
      <c r="A45" s="301" t="s">
        <v>1143</v>
      </c>
      <c r="B45" s="302" t="s">
        <v>242</v>
      </c>
      <c r="C45" s="302" t="s">
        <v>1082</v>
      </c>
      <c r="D45" s="303" t="s">
        <v>1083</v>
      </c>
      <c r="E45" s="303">
        <v>54000</v>
      </c>
      <c r="F45" s="302">
        <v>0</v>
      </c>
      <c r="G45" s="304" t="s">
        <v>273</v>
      </c>
      <c r="H45" s="137">
        <v>20217782</v>
      </c>
      <c r="I45" s="137" t="s">
        <v>115</v>
      </c>
      <c r="J45" s="39"/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5">
      <c r="A46" s="301" t="s">
        <v>1143</v>
      </c>
      <c r="B46" s="302" t="s">
        <v>242</v>
      </c>
      <c r="C46" s="302" t="s">
        <v>1084</v>
      </c>
      <c r="D46" s="303" t="s">
        <v>1085</v>
      </c>
      <c r="E46" s="303">
        <v>10438</v>
      </c>
      <c r="F46" s="302">
        <v>0</v>
      </c>
      <c r="G46" s="304" t="s">
        <v>273</v>
      </c>
      <c r="H46" s="137">
        <v>20217783</v>
      </c>
      <c r="I46" s="137" t="s">
        <v>145</v>
      </c>
      <c r="J46" s="39"/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5">
      <c r="A47" s="301" t="s">
        <v>1143</v>
      </c>
      <c r="B47" s="302" t="s">
        <v>242</v>
      </c>
      <c r="C47" s="302" t="s">
        <v>1086</v>
      </c>
      <c r="D47" s="303" t="s">
        <v>1087</v>
      </c>
      <c r="E47" s="303">
        <v>39990</v>
      </c>
      <c r="F47" s="302">
        <v>0</v>
      </c>
      <c r="G47" s="304" t="s">
        <v>273</v>
      </c>
      <c r="H47" s="137">
        <v>20217785</v>
      </c>
      <c r="I47" s="137" t="s">
        <v>55</v>
      </c>
      <c r="J47" s="39"/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5">
      <c r="A48" s="301" t="s">
        <v>1143</v>
      </c>
      <c r="B48" s="302" t="s">
        <v>242</v>
      </c>
      <c r="C48" s="302" t="s">
        <v>1088</v>
      </c>
      <c r="D48" s="303" t="s">
        <v>1089</v>
      </c>
      <c r="E48" s="303">
        <v>72881</v>
      </c>
      <c r="F48" s="302">
        <v>0</v>
      </c>
      <c r="G48" s="137" t="s">
        <v>703</v>
      </c>
      <c r="H48" s="137">
        <v>75478066</v>
      </c>
      <c r="I48" s="137" t="s">
        <v>147</v>
      </c>
      <c r="J48" s="39"/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5">
      <c r="A49" s="301" t="s">
        <v>1143</v>
      </c>
      <c r="B49" s="302" t="s">
        <v>242</v>
      </c>
      <c r="C49" s="302" t="s">
        <v>1090</v>
      </c>
      <c r="D49" s="303" t="s">
        <v>1091</v>
      </c>
      <c r="E49" s="303">
        <v>42950</v>
      </c>
      <c r="F49" s="302">
        <v>0</v>
      </c>
      <c r="G49" s="137" t="s">
        <v>703</v>
      </c>
      <c r="H49" s="137">
        <v>75478067</v>
      </c>
      <c r="I49" s="137" t="s">
        <v>145</v>
      </c>
      <c r="J49" s="39"/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5">
      <c r="A50" s="305" t="s">
        <v>1143</v>
      </c>
      <c r="B50" s="306" t="s">
        <v>242</v>
      </c>
      <c r="C50" s="306" t="s">
        <v>1092</v>
      </c>
      <c r="D50" s="307" t="s">
        <v>1093</v>
      </c>
      <c r="E50" s="307">
        <v>19770</v>
      </c>
      <c r="F50" s="306">
        <v>0</v>
      </c>
      <c r="G50" s="304" t="s">
        <v>703</v>
      </c>
      <c r="H50" s="137">
        <v>75478068</v>
      </c>
      <c r="I50" s="137" t="s">
        <v>115</v>
      </c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5">
      <c r="A51" s="305" t="s">
        <v>1143</v>
      </c>
      <c r="B51" s="306" t="s">
        <v>242</v>
      </c>
      <c r="C51" s="306" t="s">
        <v>1094</v>
      </c>
      <c r="D51" s="307" t="s">
        <v>1095</v>
      </c>
      <c r="E51" s="307">
        <v>126460</v>
      </c>
      <c r="F51" s="306">
        <v>0</v>
      </c>
      <c r="G51" s="304" t="s">
        <v>703</v>
      </c>
      <c r="H51" s="137">
        <v>75478069</v>
      </c>
      <c r="I51" s="137" t="s">
        <v>146</v>
      </c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5">
      <c r="A52" s="305" t="s">
        <v>1143</v>
      </c>
      <c r="B52" s="306" t="s">
        <v>242</v>
      </c>
      <c r="C52" s="306" t="s">
        <v>1096</v>
      </c>
      <c r="D52" s="307" t="s">
        <v>1097</v>
      </c>
      <c r="E52" s="307">
        <v>95401</v>
      </c>
      <c r="F52" s="306">
        <v>0</v>
      </c>
      <c r="G52" s="304" t="s">
        <v>272</v>
      </c>
      <c r="H52" s="137">
        <v>129440970</v>
      </c>
      <c r="I52" s="137" t="s">
        <v>55</v>
      </c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5">
      <c r="A53" s="305" t="s">
        <v>1143</v>
      </c>
      <c r="B53" s="306" t="s">
        <v>242</v>
      </c>
      <c r="C53" s="306" t="s">
        <v>1098</v>
      </c>
      <c r="D53" s="307" t="s">
        <v>1099</v>
      </c>
      <c r="E53" s="307">
        <v>4500</v>
      </c>
      <c r="F53" s="306">
        <v>0</v>
      </c>
      <c r="G53" s="304" t="s">
        <v>503</v>
      </c>
      <c r="H53" s="137">
        <v>91529214</v>
      </c>
      <c r="I53" s="137" t="s">
        <v>146</v>
      </c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5">
      <c r="A54" s="305" t="s">
        <v>1143</v>
      </c>
      <c r="B54" s="306" t="s">
        <v>242</v>
      </c>
      <c r="C54" s="306" t="s">
        <v>1100</v>
      </c>
      <c r="D54" s="307" t="s">
        <v>1101</v>
      </c>
      <c r="E54" s="307">
        <v>50280</v>
      </c>
      <c r="F54" s="306">
        <v>0</v>
      </c>
      <c r="G54" s="137" t="s">
        <v>1008</v>
      </c>
      <c r="H54" s="137">
        <v>271480</v>
      </c>
      <c r="I54" s="137" t="s">
        <v>144</v>
      </c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5">
      <c r="A55" s="305" t="s">
        <v>1143</v>
      </c>
      <c r="B55" s="306" t="s">
        <v>242</v>
      </c>
      <c r="C55" s="306" t="s">
        <v>1102</v>
      </c>
      <c r="D55" s="307" t="s">
        <v>1103</v>
      </c>
      <c r="E55" s="307">
        <v>100170</v>
      </c>
      <c r="F55" s="306">
        <v>0</v>
      </c>
      <c r="G55" s="137" t="s">
        <v>1104</v>
      </c>
      <c r="H55" s="137">
        <v>826135</v>
      </c>
      <c r="I55" s="137" t="s">
        <v>55</v>
      </c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5">
      <c r="A56" s="305" t="s">
        <v>1144</v>
      </c>
      <c r="B56" s="306" t="s">
        <v>242</v>
      </c>
      <c r="C56" s="306" t="s">
        <v>1105</v>
      </c>
      <c r="D56" s="307" t="s">
        <v>1106</v>
      </c>
      <c r="E56" s="307">
        <v>24328</v>
      </c>
      <c r="F56" s="306">
        <v>0</v>
      </c>
      <c r="G56" s="137" t="s">
        <v>702</v>
      </c>
      <c r="H56" s="137">
        <v>30639990</v>
      </c>
      <c r="I56" s="137" t="s">
        <v>55</v>
      </c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5">
      <c r="A57" s="305" t="s">
        <v>1144</v>
      </c>
      <c r="B57" s="306" t="s">
        <v>242</v>
      </c>
      <c r="C57" s="306" t="s">
        <v>1107</v>
      </c>
      <c r="D57" s="307" t="s">
        <v>1108</v>
      </c>
      <c r="E57" s="307">
        <v>2700</v>
      </c>
      <c r="F57" s="306">
        <v>0</v>
      </c>
      <c r="G57" s="308" t="s">
        <v>503</v>
      </c>
      <c r="H57" s="137">
        <v>86550968</v>
      </c>
      <c r="I57" s="137" t="s">
        <v>146</v>
      </c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5">
      <c r="A58" s="305" t="s">
        <v>1145</v>
      </c>
      <c r="B58" s="306" t="s">
        <v>242</v>
      </c>
      <c r="C58" s="306" t="s">
        <v>277</v>
      </c>
      <c r="D58" s="307" t="s">
        <v>1109</v>
      </c>
      <c r="E58" s="307">
        <v>12308</v>
      </c>
      <c r="F58" s="306">
        <v>0</v>
      </c>
      <c r="G58" s="137" t="s">
        <v>278</v>
      </c>
      <c r="H58" s="137">
        <v>20245</v>
      </c>
      <c r="I58" s="137" t="s">
        <v>146</v>
      </c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5">
      <c r="A59" s="305" t="s">
        <v>1145</v>
      </c>
      <c r="B59" s="306" t="s">
        <v>242</v>
      </c>
      <c r="C59" s="306" t="s">
        <v>277</v>
      </c>
      <c r="D59" s="307" t="s">
        <v>1110</v>
      </c>
      <c r="E59" s="307">
        <v>37569</v>
      </c>
      <c r="F59" s="306">
        <v>0</v>
      </c>
      <c r="G59" s="137" t="s">
        <v>1059</v>
      </c>
      <c r="H59" s="137">
        <v>66582</v>
      </c>
      <c r="I59" s="137" t="s">
        <v>146</v>
      </c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5">
      <c r="A60" s="305" t="s">
        <v>1146</v>
      </c>
      <c r="B60" s="306" t="s">
        <v>242</v>
      </c>
      <c r="C60" s="306" t="s">
        <v>1111</v>
      </c>
      <c r="D60" s="307" t="s">
        <v>1112</v>
      </c>
      <c r="E60" s="307">
        <v>8500</v>
      </c>
      <c r="F60" s="306">
        <v>0</v>
      </c>
      <c r="G60" s="308" t="s">
        <v>278</v>
      </c>
      <c r="H60" s="137">
        <v>20327</v>
      </c>
      <c r="I60" s="137" t="s">
        <v>146</v>
      </c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5">
      <c r="A61" s="301" t="s">
        <v>1146</v>
      </c>
      <c r="B61" s="302" t="s">
        <v>242</v>
      </c>
      <c r="C61" s="302" t="s">
        <v>1113</v>
      </c>
      <c r="D61" s="303" t="s">
        <v>1114</v>
      </c>
      <c r="E61" s="303">
        <v>5219</v>
      </c>
      <c r="F61" s="302">
        <v>0</v>
      </c>
      <c r="G61" s="137" t="s">
        <v>273</v>
      </c>
      <c r="H61" s="137">
        <v>20263520</v>
      </c>
      <c r="I61" s="137" t="s">
        <v>145</v>
      </c>
      <c r="J61" s="39"/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5">
      <c r="A62" s="301" t="s">
        <v>1146</v>
      </c>
      <c r="B62" s="302" t="s">
        <v>242</v>
      </c>
      <c r="C62" s="302" t="s">
        <v>1115</v>
      </c>
      <c r="D62" s="303" t="s">
        <v>1116</v>
      </c>
      <c r="E62" s="303">
        <v>158547</v>
      </c>
      <c r="F62" s="302">
        <v>0</v>
      </c>
      <c r="G62" s="137" t="s">
        <v>273</v>
      </c>
      <c r="H62" s="137">
        <v>20263519</v>
      </c>
      <c r="I62" s="137" t="s">
        <v>146</v>
      </c>
      <c r="J62" s="39"/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5">
      <c r="A63" s="305" t="s">
        <v>1146</v>
      </c>
      <c r="B63" s="306" t="s">
        <v>242</v>
      </c>
      <c r="C63" s="306" t="s">
        <v>1117</v>
      </c>
      <c r="D63" s="307" t="s">
        <v>1118</v>
      </c>
      <c r="E63" s="307">
        <v>59400</v>
      </c>
      <c r="F63" s="306">
        <v>0</v>
      </c>
      <c r="G63" s="308" t="s">
        <v>273</v>
      </c>
      <c r="H63" s="137">
        <v>20263521</v>
      </c>
      <c r="I63" s="137" t="s">
        <v>115</v>
      </c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5">
      <c r="A64" s="305" t="s">
        <v>1146</v>
      </c>
      <c r="B64" s="306" t="s">
        <v>242</v>
      </c>
      <c r="C64" s="306" t="s">
        <v>1119</v>
      </c>
      <c r="D64" s="307" t="s">
        <v>1120</v>
      </c>
      <c r="E64" s="307">
        <v>70811</v>
      </c>
      <c r="F64" s="306">
        <v>0</v>
      </c>
      <c r="G64" s="308" t="s">
        <v>703</v>
      </c>
      <c r="H64" s="137">
        <v>75507786</v>
      </c>
      <c r="I64" s="137" t="s">
        <v>147</v>
      </c>
      <c r="J64" s="39"/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5">
      <c r="A65" s="305" t="s">
        <v>1146</v>
      </c>
      <c r="B65" s="306" t="s">
        <v>242</v>
      </c>
      <c r="C65" s="306" t="s">
        <v>1121</v>
      </c>
      <c r="D65" s="307" t="s">
        <v>1122</v>
      </c>
      <c r="E65" s="307">
        <v>13180</v>
      </c>
      <c r="F65" s="306">
        <v>0</v>
      </c>
      <c r="G65" s="137" t="s">
        <v>703</v>
      </c>
      <c r="H65" s="137">
        <v>75507787</v>
      </c>
      <c r="I65" s="137" t="s">
        <v>115</v>
      </c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5">
      <c r="A66" s="305" t="s">
        <v>1146</v>
      </c>
      <c r="B66" s="306" t="s">
        <v>242</v>
      </c>
      <c r="C66" s="306" t="s">
        <v>1123</v>
      </c>
      <c r="D66" s="307" t="s">
        <v>1124</v>
      </c>
      <c r="E66" s="307">
        <v>8570</v>
      </c>
      <c r="F66" s="306">
        <v>0</v>
      </c>
      <c r="G66" s="137" t="s">
        <v>703</v>
      </c>
      <c r="H66" s="137">
        <v>75507788</v>
      </c>
      <c r="I66" s="137" t="s">
        <v>145</v>
      </c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5">
      <c r="A67" s="305" t="s">
        <v>1146</v>
      </c>
      <c r="B67" s="306" t="s">
        <v>242</v>
      </c>
      <c r="C67" s="306" t="s">
        <v>1125</v>
      </c>
      <c r="D67" s="307" t="s">
        <v>1126</v>
      </c>
      <c r="E67" s="307">
        <v>128240</v>
      </c>
      <c r="F67" s="306">
        <v>0</v>
      </c>
      <c r="G67" s="137" t="s">
        <v>703</v>
      </c>
      <c r="H67" s="137">
        <v>75507789</v>
      </c>
      <c r="I67" s="137" t="s">
        <v>146</v>
      </c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5">
      <c r="A68" s="305" t="s">
        <v>1146</v>
      </c>
      <c r="B68" s="306" t="s">
        <v>242</v>
      </c>
      <c r="C68" s="306" t="s">
        <v>1127</v>
      </c>
      <c r="D68" s="307" t="s">
        <v>1128</v>
      </c>
      <c r="E68" s="307">
        <v>18450</v>
      </c>
      <c r="F68" s="306">
        <v>0</v>
      </c>
      <c r="G68" s="308" t="s">
        <v>273</v>
      </c>
      <c r="H68" s="137">
        <v>20256793</v>
      </c>
      <c r="I68" s="137" t="s">
        <v>146</v>
      </c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5">
      <c r="A69" s="305" t="s">
        <v>1146</v>
      </c>
      <c r="B69" s="306" t="s">
        <v>242</v>
      </c>
      <c r="C69" s="306" t="s">
        <v>1129</v>
      </c>
      <c r="D69" s="307" t="s">
        <v>1130</v>
      </c>
      <c r="E69" s="307">
        <v>41530</v>
      </c>
      <c r="F69" s="306">
        <v>0</v>
      </c>
      <c r="G69" s="308" t="s">
        <v>702</v>
      </c>
      <c r="H69" s="137">
        <v>30783459</v>
      </c>
      <c r="I69" s="137" t="s">
        <v>55</v>
      </c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5">
      <c r="A70" s="305" t="s">
        <v>1146</v>
      </c>
      <c r="B70" s="306" t="s">
        <v>242</v>
      </c>
      <c r="C70" s="306" t="s">
        <v>1131</v>
      </c>
      <c r="D70" s="307" t="s">
        <v>1132</v>
      </c>
      <c r="E70" s="307">
        <v>10671</v>
      </c>
      <c r="F70" s="306">
        <v>0</v>
      </c>
      <c r="G70" s="137" t="s">
        <v>1133</v>
      </c>
      <c r="H70" s="137">
        <v>129551748</v>
      </c>
      <c r="I70" s="137" t="s">
        <v>55</v>
      </c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5">
      <c r="A71" s="301"/>
      <c r="B71" s="302"/>
      <c r="C71" s="302"/>
      <c r="D71" s="303"/>
      <c r="E71" s="303"/>
      <c r="F71" s="302"/>
      <c r="G71" s="137"/>
      <c r="H71" s="137"/>
      <c r="I71" s="137"/>
      <c r="J71" s="39"/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5">
      <c r="A72" s="301"/>
      <c r="B72" s="302"/>
      <c r="C72" s="302"/>
      <c r="D72" s="303"/>
      <c r="E72" s="303"/>
      <c r="F72" s="302"/>
      <c r="G72" s="137"/>
      <c r="H72" s="137"/>
      <c r="I72" s="137"/>
      <c r="J72" s="39"/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5">
      <c r="A73" s="136"/>
      <c r="B73" s="121"/>
      <c r="C73" s="121"/>
      <c r="D73" s="122"/>
      <c r="E73" s="122"/>
      <c r="F73" s="121"/>
      <c r="G73" s="137"/>
      <c r="H73" s="137"/>
      <c r="I73" s="137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5">
      <c r="A74" s="136"/>
      <c r="B74" s="121"/>
      <c r="C74" s="121"/>
      <c r="D74" s="122"/>
      <c r="E74" s="122"/>
      <c r="F74" s="121"/>
      <c r="G74" s="137"/>
      <c r="H74" s="137"/>
      <c r="I74" s="137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5">
      <c r="A75" s="136"/>
      <c r="B75" s="121"/>
      <c r="C75" s="121"/>
      <c r="D75" s="122"/>
      <c r="E75" s="122"/>
      <c r="F75" s="121"/>
      <c r="G75" s="137"/>
      <c r="H75" s="137"/>
      <c r="I75" s="137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5">
      <c r="A76" s="136"/>
      <c r="B76" s="121"/>
      <c r="C76" s="121"/>
      <c r="D76" s="122"/>
      <c r="E76" s="122"/>
      <c r="F76" s="121"/>
      <c r="G76" s="137"/>
      <c r="H76" s="137"/>
      <c r="I76" s="137"/>
      <c r="J76" s="39"/>
      <c r="K76" s="5"/>
      <c r="L76" s="42" t="s">
        <v>67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156</v>
      </c>
      <c r="AQ76" s="19">
        <v>30000</v>
      </c>
      <c r="AR76" s="19">
        <v>90000</v>
      </c>
      <c r="AS76" s="19">
        <v>90000</v>
      </c>
      <c r="AT76" s="19" t="s">
        <v>156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x14ac:dyDescent="0.25">
      <c r="A77" s="136"/>
      <c r="B77" s="121"/>
      <c r="C77" s="121"/>
      <c r="D77" s="122"/>
      <c r="E77" s="122"/>
      <c r="F77" s="121"/>
      <c r="G77" s="137"/>
      <c r="H77" s="137"/>
      <c r="I77" s="137"/>
      <c r="J77" s="39"/>
      <c r="K77" s="5"/>
      <c r="L77" s="42" t="s">
        <v>115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x14ac:dyDescent="0.25">
      <c r="A78" s="136"/>
      <c r="B78" s="121"/>
      <c r="C78" s="121"/>
      <c r="D78" s="122"/>
      <c r="E78" s="122"/>
      <c r="F78" s="121"/>
      <c r="G78" s="137"/>
      <c r="H78" s="137"/>
      <c r="I78" s="137"/>
      <c r="J78" s="39"/>
      <c r="K78" s="5"/>
      <c r="L78" s="58" t="s">
        <v>57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x14ac:dyDescent="0.25">
      <c r="A79" s="136"/>
      <c r="B79" s="121"/>
      <c r="C79" s="121"/>
      <c r="D79" s="122"/>
      <c r="E79" s="122"/>
      <c r="F79" s="121"/>
      <c r="G79" s="137"/>
      <c r="H79" s="137"/>
      <c r="I79" s="137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6"/>
      <c r="B80" s="121"/>
      <c r="C80" s="121"/>
      <c r="D80" s="122"/>
      <c r="E80" s="122"/>
      <c r="F80" s="121"/>
      <c r="G80" s="137"/>
      <c r="H80" s="137"/>
      <c r="I80" s="137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6"/>
      <c r="B81" s="121"/>
      <c r="C81" s="121"/>
      <c r="D81" s="122"/>
      <c r="E81" s="122"/>
      <c r="F81" s="121"/>
      <c r="G81" s="137"/>
      <c r="H81" s="137"/>
      <c r="I81" s="137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6"/>
      <c r="B82" s="121"/>
      <c r="C82" s="121"/>
      <c r="D82" s="121"/>
      <c r="E82" s="122"/>
      <c r="F82" s="121"/>
      <c r="G82" s="137"/>
      <c r="H82" s="137"/>
      <c r="I82" s="137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6"/>
      <c r="B83" s="121"/>
      <c r="C83" s="121"/>
      <c r="D83" s="121"/>
      <c r="E83" s="122"/>
      <c r="F83" s="121"/>
      <c r="G83" s="137"/>
      <c r="H83" s="137"/>
      <c r="I83" s="137"/>
      <c r="J83" s="39"/>
      <c r="K83" s="42" t="s">
        <v>147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6"/>
      <c r="B84" s="121"/>
      <c r="C84" s="121"/>
      <c r="D84" s="121"/>
      <c r="E84" s="122"/>
      <c r="F84" s="121"/>
      <c r="G84" s="137"/>
      <c r="H84" s="137"/>
      <c r="I84" s="137"/>
      <c r="J84" s="39"/>
      <c r="K84" s="42" t="s">
        <v>145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6"/>
      <c r="B85" s="121"/>
      <c r="C85" s="121"/>
      <c r="D85" s="122"/>
      <c r="E85" s="122"/>
      <c r="F85" s="121"/>
      <c r="G85" s="137"/>
      <c r="H85" s="137"/>
      <c r="I85" s="137"/>
      <c r="J85" s="39"/>
      <c r="K85" s="42" t="s">
        <v>151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6"/>
      <c r="B86" s="121"/>
      <c r="C86" s="121"/>
      <c r="D86" s="122"/>
      <c r="E86" s="122"/>
      <c r="F86" s="121"/>
      <c r="G86" s="137"/>
      <c r="H86" s="137"/>
      <c r="I86" s="137"/>
      <c r="J86" s="39"/>
      <c r="K86" s="42" t="s">
        <v>144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6"/>
      <c r="B87" s="121"/>
      <c r="C87" s="121"/>
      <c r="D87" s="122"/>
      <c r="E87" s="122"/>
      <c r="F87" s="121"/>
      <c r="G87" s="137"/>
      <c r="H87" s="137"/>
      <c r="I87" s="137"/>
      <c r="J87" s="39"/>
      <c r="K87" s="42" t="s">
        <v>146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6"/>
      <c r="B88" s="121"/>
      <c r="C88" s="121"/>
      <c r="D88" s="122"/>
      <c r="E88" s="122"/>
      <c r="F88" s="121"/>
      <c r="G88" s="137"/>
      <c r="H88" s="137"/>
      <c r="I88" s="137"/>
      <c r="J88" s="39"/>
      <c r="K88" s="42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6"/>
      <c r="B89" s="121"/>
      <c r="C89" s="121"/>
      <c r="D89" s="122"/>
      <c r="E89" s="122"/>
      <c r="F89" s="121"/>
      <c r="G89" s="137"/>
      <c r="H89" s="137"/>
      <c r="I89" s="137"/>
      <c r="J89" s="39"/>
      <c r="K89" s="42" t="s">
        <v>148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6"/>
      <c r="B90" s="121"/>
      <c r="C90" s="121"/>
      <c r="D90" s="122"/>
      <c r="E90" s="122"/>
      <c r="F90" s="121"/>
      <c r="G90" s="137"/>
      <c r="H90" s="137"/>
      <c r="I90" s="137"/>
      <c r="J90" s="39"/>
      <c r="K90" s="42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9"/>
      <c r="K91" s="42" t="s">
        <v>115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6"/>
      <c r="B117" s="110"/>
      <c r="C117" s="124"/>
      <c r="D117" s="52"/>
      <c r="E117" s="125"/>
      <c r="F117" s="110"/>
      <c r="G117" s="137"/>
      <c r="H117" s="137"/>
      <c r="I117" s="137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6"/>
      <c r="B118" s="110"/>
      <c r="C118" s="124"/>
      <c r="D118" s="52"/>
      <c r="E118" s="125"/>
      <c r="F118" s="110"/>
      <c r="G118" s="137"/>
      <c r="H118" s="137"/>
      <c r="I118" s="137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6"/>
      <c r="B119" s="110"/>
      <c r="C119" s="124"/>
      <c r="D119" s="52"/>
      <c r="E119" s="125"/>
      <c r="F119" s="110"/>
      <c r="G119" s="137"/>
      <c r="H119" s="137"/>
      <c r="I119" s="137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6"/>
      <c r="B120" s="110"/>
      <c r="C120" s="124"/>
      <c r="D120" s="52"/>
      <c r="E120" s="125"/>
      <c r="F120" s="110"/>
      <c r="G120" s="137"/>
      <c r="H120" s="137"/>
      <c r="I120" s="137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6"/>
      <c r="B121" s="110"/>
      <c r="C121" s="124"/>
      <c r="D121" s="52"/>
      <c r="E121" s="125"/>
      <c r="F121" s="110"/>
      <c r="G121" s="137"/>
      <c r="H121" s="137"/>
      <c r="I121" s="137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6"/>
      <c r="B122" s="110"/>
      <c r="C122" s="124"/>
      <c r="D122" s="52"/>
      <c r="E122" s="125"/>
      <c r="F122" s="110"/>
      <c r="G122" s="137"/>
      <c r="H122" s="137"/>
      <c r="I122" s="137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6"/>
      <c r="B123" s="110"/>
      <c r="C123" s="124"/>
      <c r="D123" s="52"/>
      <c r="E123" s="125"/>
      <c r="F123" s="110"/>
      <c r="G123" s="137"/>
      <c r="H123" s="137"/>
      <c r="I123" s="137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199" t="s">
        <v>1134</v>
      </c>
      <c r="B124" s="137" t="s">
        <v>241</v>
      </c>
      <c r="C124" s="137" t="s">
        <v>279</v>
      </c>
      <c r="D124" s="137" t="s">
        <v>280</v>
      </c>
      <c r="E124" s="200">
        <v>0</v>
      </c>
      <c r="F124" s="328">
        <v>4000000</v>
      </c>
      <c r="G124" s="137" t="s">
        <v>1147</v>
      </c>
      <c r="H124" s="137"/>
      <c r="I124" s="137"/>
      <c r="J124" s="39"/>
      <c r="K124">
        <f>VALUE(F124)</f>
        <v>4000000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199" t="s">
        <v>1148</v>
      </c>
      <c r="B125" s="137" t="s">
        <v>241</v>
      </c>
      <c r="C125" s="137" t="s">
        <v>279</v>
      </c>
      <c r="D125" s="137" t="s">
        <v>280</v>
      </c>
      <c r="E125" s="200">
        <v>0</v>
      </c>
      <c r="F125" s="328">
        <v>900000</v>
      </c>
      <c r="G125" s="137" t="s">
        <v>1147</v>
      </c>
      <c r="H125" s="137"/>
      <c r="I125" s="137"/>
      <c r="J125" s="39"/>
      <c r="K125">
        <f t="shared" ref="K125:K127" si="2">VALUE(F125)</f>
        <v>900000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199"/>
      <c r="B126" s="137"/>
      <c r="C126" s="137"/>
      <c r="D126" s="137"/>
      <c r="E126" s="200"/>
      <c r="F126" s="201"/>
      <c r="G126" s="137"/>
      <c r="H126" s="137"/>
      <c r="I126" s="137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199"/>
      <c r="B127" s="137"/>
      <c r="C127" s="137"/>
      <c r="D127" s="137"/>
      <c r="E127" s="200"/>
      <c r="F127" s="201"/>
      <c r="G127" s="137"/>
      <c r="H127" s="137"/>
      <c r="I127" s="137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199"/>
      <c r="B128" s="137"/>
      <c r="C128" s="137"/>
      <c r="D128" s="137"/>
      <c r="E128" s="200"/>
      <c r="F128" s="201"/>
      <c r="G128" s="137"/>
      <c r="H128" s="137"/>
      <c r="I128" s="137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199"/>
      <c r="B129" s="137"/>
      <c r="C129" s="137"/>
      <c r="D129" s="137"/>
      <c r="E129" s="200"/>
      <c r="F129" s="201"/>
      <c r="G129" s="137"/>
      <c r="H129" s="137"/>
      <c r="I129" s="137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199"/>
      <c r="B130" s="137"/>
      <c r="C130" s="137"/>
      <c r="D130" s="137"/>
      <c r="E130" s="200"/>
      <c r="F130" s="201"/>
      <c r="G130" s="137"/>
      <c r="H130" s="137"/>
      <c r="I130" s="137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199"/>
      <c r="B133" s="137"/>
      <c r="C133" s="227"/>
      <c r="D133" s="137"/>
      <c r="E133" s="200"/>
      <c r="F133" s="201"/>
      <c r="G133" s="137"/>
      <c r="H133" s="137"/>
      <c r="I133" s="137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28" t="s">
        <v>188</v>
      </c>
      <c r="B135" s="229"/>
      <c r="C135" s="230"/>
      <c r="D135" s="69"/>
      <c r="E135" s="231"/>
      <c r="F135" s="229"/>
      <c r="G135" s="137"/>
      <c r="H135" s="137"/>
      <c r="I135" s="137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0"/>
      <c r="B136" s="110"/>
      <c r="C136" s="124"/>
      <c r="D136" s="52"/>
      <c r="E136" s="125"/>
      <c r="F136" s="110"/>
      <c r="G136" s="137"/>
      <c r="H136" s="137"/>
      <c r="I136" s="137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2" t="s">
        <v>1135</v>
      </c>
      <c r="B137" s="138" t="s">
        <v>242</v>
      </c>
      <c r="C137" s="138" t="s">
        <v>1149</v>
      </c>
      <c r="D137" s="138"/>
      <c r="E137" s="233">
        <v>100000</v>
      </c>
      <c r="F137" s="234">
        <v>0</v>
      </c>
      <c r="G137" s="137"/>
      <c r="H137" s="137"/>
      <c r="I137" s="137"/>
      <c r="J137" s="39"/>
      <c r="K137">
        <f>VALUE(E137)</f>
        <v>100000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2" t="s">
        <v>1137</v>
      </c>
      <c r="B138" s="138" t="s">
        <v>242</v>
      </c>
      <c r="C138" s="138" t="s">
        <v>1150</v>
      </c>
      <c r="D138" s="138"/>
      <c r="E138" s="233">
        <v>200000</v>
      </c>
      <c r="F138" s="234">
        <v>0</v>
      </c>
      <c r="G138" s="137"/>
      <c r="H138" s="137"/>
      <c r="I138" s="137"/>
      <c r="J138" s="39"/>
      <c r="K138">
        <f t="shared" ref="K138:K148" si="3">VALUE(E138)</f>
        <v>200000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2" t="s">
        <v>1139</v>
      </c>
      <c r="B139" s="138" t="s">
        <v>242</v>
      </c>
      <c r="C139" s="138" t="s">
        <v>1151</v>
      </c>
      <c r="D139" s="138"/>
      <c r="E139" s="233">
        <v>200000</v>
      </c>
      <c r="F139" s="234">
        <v>0</v>
      </c>
      <c r="G139" s="137"/>
      <c r="H139" s="137"/>
      <c r="I139" s="137"/>
      <c r="J139" s="39"/>
      <c r="K139">
        <f t="shared" si="3"/>
        <v>200000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2" t="s">
        <v>1140</v>
      </c>
      <c r="B140" s="138" t="s">
        <v>242</v>
      </c>
      <c r="C140" s="138" t="s">
        <v>1152</v>
      </c>
      <c r="D140" s="138"/>
      <c r="E140" s="233">
        <v>50000</v>
      </c>
      <c r="F140" s="234">
        <v>0</v>
      </c>
      <c r="G140" s="137"/>
      <c r="H140" s="137"/>
      <c r="I140" s="137"/>
      <c r="J140" s="39"/>
      <c r="K140">
        <f t="shared" si="3"/>
        <v>50000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2" t="s">
        <v>1142</v>
      </c>
      <c r="B141" s="138" t="s">
        <v>242</v>
      </c>
      <c r="C141" s="138" t="s">
        <v>1153</v>
      </c>
      <c r="D141" s="138"/>
      <c r="E141" s="233">
        <v>150000</v>
      </c>
      <c r="F141" s="234">
        <v>0</v>
      </c>
      <c r="G141" s="137"/>
      <c r="H141" s="137"/>
      <c r="I141" s="137"/>
      <c r="J141" s="39"/>
      <c r="K141">
        <f t="shared" si="3"/>
        <v>150000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2" t="s">
        <v>1143</v>
      </c>
      <c r="B142" s="138" t="s">
        <v>242</v>
      </c>
      <c r="C142" s="138" t="s">
        <v>1154</v>
      </c>
      <c r="D142" s="138"/>
      <c r="E142" s="233">
        <v>80000</v>
      </c>
      <c r="F142" s="234">
        <v>0</v>
      </c>
      <c r="G142" s="137"/>
      <c r="H142" s="137"/>
      <c r="I142" s="137"/>
      <c r="J142" s="39"/>
      <c r="K142">
        <f t="shared" si="3"/>
        <v>80000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2" t="s">
        <v>1143</v>
      </c>
      <c r="B143" s="138" t="s">
        <v>242</v>
      </c>
      <c r="C143" s="138" t="s">
        <v>1155</v>
      </c>
      <c r="D143" s="138"/>
      <c r="E143" s="233">
        <v>100000</v>
      </c>
      <c r="F143" s="234">
        <v>0</v>
      </c>
      <c r="G143" s="137"/>
      <c r="H143" s="137"/>
      <c r="I143" s="137"/>
      <c r="J143" s="39"/>
      <c r="K143">
        <f t="shared" si="3"/>
        <v>100000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2" t="s">
        <v>1144</v>
      </c>
      <c r="B144" s="138" t="s">
        <v>242</v>
      </c>
      <c r="C144" s="138" t="s">
        <v>1156</v>
      </c>
      <c r="D144" s="138"/>
      <c r="E144" s="233">
        <v>100000</v>
      </c>
      <c r="F144" s="234">
        <v>0</v>
      </c>
      <c r="G144" s="137"/>
      <c r="H144" s="137"/>
      <c r="I144" s="137"/>
      <c r="J144" s="39"/>
      <c r="K144">
        <f t="shared" si="3"/>
        <v>100000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2" t="s">
        <v>1157</v>
      </c>
      <c r="B145" s="138" t="s">
        <v>242</v>
      </c>
      <c r="C145" s="138" t="s">
        <v>1158</v>
      </c>
      <c r="D145" s="138"/>
      <c r="E145" s="233">
        <v>40000</v>
      </c>
      <c r="F145" s="234">
        <v>0</v>
      </c>
      <c r="G145" s="137"/>
      <c r="H145" s="137"/>
      <c r="I145" s="137"/>
      <c r="J145" s="39"/>
      <c r="K145">
        <f t="shared" si="3"/>
        <v>40000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2" t="s">
        <v>1146</v>
      </c>
      <c r="B146" s="138" t="s">
        <v>242</v>
      </c>
      <c r="C146" s="138" t="s">
        <v>1159</v>
      </c>
      <c r="D146" s="138"/>
      <c r="E146" s="233">
        <v>170000</v>
      </c>
      <c r="F146" s="234"/>
      <c r="G146" s="137"/>
      <c r="H146" s="137"/>
      <c r="I146" s="137"/>
      <c r="J146" s="39"/>
      <c r="K146">
        <f t="shared" si="3"/>
        <v>170000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2" t="s">
        <v>1160</v>
      </c>
      <c r="B147" s="138" t="s">
        <v>242</v>
      </c>
      <c r="C147" s="138" t="s">
        <v>1161</v>
      </c>
      <c r="D147" s="138"/>
      <c r="E147" s="233">
        <v>150000</v>
      </c>
      <c r="F147" s="234"/>
      <c r="G147" s="137"/>
      <c r="H147" s="137"/>
      <c r="I147" s="137"/>
      <c r="J147" s="39"/>
      <c r="K147">
        <f t="shared" si="3"/>
        <v>150000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2"/>
      <c r="B148" s="138"/>
      <c r="C148" s="138"/>
      <c r="D148" s="138"/>
      <c r="E148" s="233"/>
      <c r="F148" s="234"/>
      <c r="G148" s="137"/>
      <c r="H148" s="137"/>
      <c r="I148" s="137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2"/>
      <c r="B149" s="138"/>
      <c r="C149" s="138"/>
      <c r="D149" s="138"/>
      <c r="E149" s="233"/>
      <c r="F149" s="234"/>
      <c r="G149" s="137"/>
      <c r="H149" s="137"/>
      <c r="I149" s="137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2"/>
      <c r="B150" s="138"/>
      <c r="C150" s="138"/>
      <c r="D150" s="138"/>
      <c r="E150" s="233"/>
      <c r="F150" s="234"/>
      <c r="G150" s="137"/>
      <c r="H150" s="137"/>
      <c r="I150" s="137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4"/>
      <c r="B151" s="184"/>
      <c r="C151" s="185"/>
      <c r="D151" s="186">
        <f>SUM(D137:D150)</f>
        <v>0</v>
      </c>
      <c r="E151" s="187">
        <f>SUM(E2:E150)</f>
        <v>5283506</v>
      </c>
      <c r="F151" s="187">
        <f>SUM(F2:F150)</f>
        <v>4900000</v>
      </c>
      <c r="G151" s="188"/>
      <c r="H151" s="188"/>
      <c r="I151" s="188"/>
      <c r="J151" s="204">
        <f>+E151-F151</f>
        <v>383506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313">
        <v>45232</v>
      </c>
      <c r="B156" s="314"/>
      <c r="C156" s="329" t="s">
        <v>1162</v>
      </c>
      <c r="D156" s="314"/>
      <c r="E156" s="315">
        <v>23998</v>
      </c>
      <c r="F156" s="311"/>
      <c r="G156" s="312" t="s">
        <v>1163</v>
      </c>
      <c r="H156" s="312">
        <v>147</v>
      </c>
      <c r="I156" s="137" t="s">
        <v>55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313">
        <v>45233</v>
      </c>
      <c r="B157" s="314"/>
      <c r="C157" s="329" t="s">
        <v>1164</v>
      </c>
      <c r="D157" s="314"/>
      <c r="E157" s="315">
        <v>15006</v>
      </c>
      <c r="F157" s="311"/>
      <c r="G157" s="312" t="s">
        <v>1165</v>
      </c>
      <c r="H157" s="312">
        <v>2631</v>
      </c>
      <c r="I157" s="137" t="s">
        <v>55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313">
        <v>45233</v>
      </c>
      <c r="B158" s="314"/>
      <c r="C158" s="329" t="s">
        <v>1166</v>
      </c>
      <c r="D158" s="314"/>
      <c r="E158" s="315">
        <v>10299</v>
      </c>
      <c r="F158" s="311"/>
      <c r="G158" s="312" t="s">
        <v>1167</v>
      </c>
      <c r="H158" s="312">
        <v>1482</v>
      </c>
      <c r="I158" s="137" t="s">
        <v>55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13">
        <v>45233</v>
      </c>
      <c r="B159" s="314"/>
      <c r="C159" s="329" t="s">
        <v>1168</v>
      </c>
      <c r="D159" s="314"/>
      <c r="E159" s="315">
        <v>3600</v>
      </c>
      <c r="F159" s="311"/>
      <c r="G159" s="312" t="s">
        <v>1057</v>
      </c>
      <c r="H159" s="312">
        <v>3556065</v>
      </c>
      <c r="I159" s="137" t="s">
        <v>55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313">
        <v>45241</v>
      </c>
      <c r="B160" s="314"/>
      <c r="C160" s="329" t="s">
        <v>1169</v>
      </c>
      <c r="D160" s="314"/>
      <c r="E160" s="315">
        <v>400</v>
      </c>
      <c r="F160" s="311"/>
      <c r="G160" s="312" t="s">
        <v>1032</v>
      </c>
      <c r="H160" s="312">
        <v>2895</v>
      </c>
      <c r="I160" s="137" t="s">
        <v>146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313">
        <v>45243</v>
      </c>
      <c r="B161" s="314"/>
      <c r="C161" s="314" t="s">
        <v>1170</v>
      </c>
      <c r="D161" s="314"/>
      <c r="E161" s="315">
        <v>22401</v>
      </c>
      <c r="F161" s="311"/>
      <c r="G161" s="312" t="s">
        <v>1171</v>
      </c>
      <c r="H161" s="312">
        <v>15507</v>
      </c>
      <c r="I161" s="137" t="s">
        <v>146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313">
        <v>45244</v>
      </c>
      <c r="B162" s="314"/>
      <c r="C162" s="314" t="s">
        <v>1172</v>
      </c>
      <c r="D162" s="314"/>
      <c r="E162" s="315">
        <v>83300</v>
      </c>
      <c r="F162" s="311"/>
      <c r="G162" s="312" t="s">
        <v>1173</v>
      </c>
      <c r="H162" s="312">
        <v>106</v>
      </c>
      <c r="I162" s="137" t="s">
        <v>55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313">
        <v>45244</v>
      </c>
      <c r="B163" s="314"/>
      <c r="C163" s="314" t="s">
        <v>1174</v>
      </c>
      <c r="D163" s="314"/>
      <c r="E163" s="315">
        <v>4900</v>
      </c>
      <c r="F163" s="311"/>
      <c r="G163" s="312" t="s">
        <v>503</v>
      </c>
      <c r="H163" s="312">
        <v>91526783</v>
      </c>
      <c r="I163" s="137" t="s">
        <v>146</v>
      </c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313">
        <v>45246</v>
      </c>
      <c r="B164" s="314"/>
      <c r="C164" s="314" t="s">
        <v>1175</v>
      </c>
      <c r="D164" s="314"/>
      <c r="E164" s="315">
        <v>17700</v>
      </c>
      <c r="F164" s="311"/>
      <c r="G164" s="312" t="s">
        <v>1176</v>
      </c>
      <c r="H164" s="312">
        <v>260</v>
      </c>
      <c r="I164" s="137" t="s">
        <v>55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313">
        <v>45247</v>
      </c>
      <c r="B165" s="314"/>
      <c r="C165" s="314" t="s">
        <v>1177</v>
      </c>
      <c r="D165" s="314"/>
      <c r="E165" s="315">
        <v>9370</v>
      </c>
      <c r="F165" s="311"/>
      <c r="G165" s="312" t="s">
        <v>1027</v>
      </c>
      <c r="H165" s="312">
        <v>303</v>
      </c>
      <c r="I165" s="137" t="s">
        <v>146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313">
        <v>45248</v>
      </c>
      <c r="B166" s="314"/>
      <c r="C166" s="314" t="s">
        <v>1178</v>
      </c>
      <c r="D166" s="314"/>
      <c r="E166" s="315">
        <v>3240</v>
      </c>
      <c r="F166" s="311"/>
      <c r="G166" s="312" t="s">
        <v>1179</v>
      </c>
      <c r="H166" s="312">
        <v>424162</v>
      </c>
      <c r="I166" s="137" t="s">
        <v>146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316">
        <v>45250</v>
      </c>
      <c r="B167" s="314"/>
      <c r="C167" s="314" t="s">
        <v>1180</v>
      </c>
      <c r="D167" s="314"/>
      <c r="E167" s="315">
        <v>7000</v>
      </c>
      <c r="F167" s="311"/>
      <c r="G167" s="312" t="s">
        <v>1032</v>
      </c>
      <c r="H167" s="312">
        <v>2937</v>
      </c>
      <c r="I167" s="137" t="s">
        <v>146</v>
      </c>
      <c r="J167" s="138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199">
        <v>45250</v>
      </c>
      <c r="B168" s="137"/>
      <c r="C168" s="137" t="s">
        <v>1181</v>
      </c>
      <c r="D168" s="137"/>
      <c r="E168" s="200">
        <v>80330</v>
      </c>
      <c r="F168" s="234"/>
      <c r="G168" s="2" t="s">
        <v>1182</v>
      </c>
      <c r="H168" s="2">
        <v>11823956</v>
      </c>
      <c r="I168" s="137" t="s">
        <v>55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199">
        <v>45252</v>
      </c>
      <c r="B169" s="137"/>
      <c r="C169" s="137" t="s">
        <v>1170</v>
      </c>
      <c r="D169" s="137"/>
      <c r="E169" s="200">
        <v>22401</v>
      </c>
      <c r="F169" s="234"/>
      <c r="G169" s="2" t="s">
        <v>1171</v>
      </c>
      <c r="H169" s="2">
        <v>15593</v>
      </c>
      <c r="I169" s="137" t="s">
        <v>146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199">
        <v>45252</v>
      </c>
      <c r="B170" s="137"/>
      <c r="C170" s="137" t="s">
        <v>1183</v>
      </c>
      <c r="D170" s="137"/>
      <c r="E170" s="200">
        <v>8000</v>
      </c>
      <c r="F170" s="234"/>
      <c r="G170" s="2" t="s">
        <v>504</v>
      </c>
      <c r="H170" s="2">
        <v>9946</v>
      </c>
      <c r="I170" s="137" t="s">
        <v>55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199">
        <v>45253</v>
      </c>
      <c r="B171" s="137"/>
      <c r="C171" s="137" t="s">
        <v>1184</v>
      </c>
      <c r="D171" s="137"/>
      <c r="E171" s="200">
        <v>226789</v>
      </c>
      <c r="F171" s="234"/>
      <c r="G171" s="2" t="s">
        <v>1057</v>
      </c>
      <c r="H171" s="2">
        <v>365333</v>
      </c>
      <c r="I171" s="137" t="s">
        <v>55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199">
        <v>45254</v>
      </c>
      <c r="B172" s="137"/>
      <c r="C172" s="137" t="s">
        <v>1185</v>
      </c>
      <c r="D172" s="137"/>
      <c r="E172" s="200">
        <v>2000</v>
      </c>
      <c r="F172" s="234"/>
      <c r="G172" s="2" t="s">
        <v>504</v>
      </c>
      <c r="H172" s="2">
        <v>9956</v>
      </c>
      <c r="I172" s="137" t="s">
        <v>55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199">
        <v>45258</v>
      </c>
      <c r="B173" s="137"/>
      <c r="C173" s="137" t="s">
        <v>1174</v>
      </c>
      <c r="D173" s="137"/>
      <c r="E173" s="200">
        <v>2900</v>
      </c>
      <c r="F173" s="234"/>
      <c r="G173" s="2" t="s">
        <v>503</v>
      </c>
      <c r="H173" s="2">
        <v>91531600</v>
      </c>
      <c r="I173" s="137" t="s">
        <v>146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199">
        <v>45258</v>
      </c>
      <c r="B174" s="137"/>
      <c r="C174" s="137" t="s">
        <v>1174</v>
      </c>
      <c r="D174" s="137"/>
      <c r="E174" s="200">
        <v>1500</v>
      </c>
      <c r="F174" s="234"/>
      <c r="G174" s="2" t="s">
        <v>503</v>
      </c>
      <c r="H174" s="2">
        <v>92398390</v>
      </c>
      <c r="I174" s="137" t="s">
        <v>146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199">
        <v>45259</v>
      </c>
      <c r="B175" s="137"/>
      <c r="C175" s="137" t="s">
        <v>1186</v>
      </c>
      <c r="D175" s="137"/>
      <c r="E175" s="200">
        <v>70900</v>
      </c>
      <c r="F175" s="234"/>
      <c r="G175" s="2" t="s">
        <v>309</v>
      </c>
      <c r="H175" s="2">
        <v>35184</v>
      </c>
      <c r="I175" s="137" t="s">
        <v>147</v>
      </c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99">
        <v>45259</v>
      </c>
      <c r="B176" s="137"/>
      <c r="C176" s="137" t="s">
        <v>1187</v>
      </c>
      <c r="D176" s="137"/>
      <c r="E176" s="200">
        <v>494700</v>
      </c>
      <c r="F176" s="234"/>
      <c r="G176" s="2" t="s">
        <v>309</v>
      </c>
      <c r="H176" s="2">
        <v>35183</v>
      </c>
      <c r="I176" s="137" t="s">
        <v>146</v>
      </c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99">
        <v>45260</v>
      </c>
      <c r="B177" s="137"/>
      <c r="C177" s="137" t="s">
        <v>1188</v>
      </c>
      <c r="D177" s="137"/>
      <c r="E177" s="200">
        <v>35000</v>
      </c>
      <c r="F177" s="234"/>
      <c r="G177" s="2" t="s">
        <v>1189</v>
      </c>
      <c r="H177" s="2">
        <v>389</v>
      </c>
      <c r="I177" s="137" t="s">
        <v>55</v>
      </c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199">
        <v>45260</v>
      </c>
      <c r="B178" s="137"/>
      <c r="C178" s="137" t="s">
        <v>1190</v>
      </c>
      <c r="D178" s="137"/>
      <c r="E178" s="200">
        <v>22330</v>
      </c>
      <c r="F178" s="234"/>
      <c r="G178" s="2" t="s">
        <v>1179</v>
      </c>
      <c r="H178" s="2">
        <v>67146</v>
      </c>
      <c r="I178" s="2" t="s">
        <v>146</v>
      </c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99">
        <v>45260</v>
      </c>
      <c r="B179" s="137"/>
      <c r="C179" s="137" t="s">
        <v>1191</v>
      </c>
      <c r="D179" s="137"/>
      <c r="E179" s="200">
        <v>75200</v>
      </c>
      <c r="F179" s="234"/>
      <c r="G179" s="2" t="s">
        <v>706</v>
      </c>
      <c r="H179" s="2">
        <v>12</v>
      </c>
      <c r="I179" s="2" t="s">
        <v>146</v>
      </c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99">
        <v>45260</v>
      </c>
      <c r="B180" s="137"/>
      <c r="C180" s="137" t="s">
        <v>1192</v>
      </c>
      <c r="D180" s="137"/>
      <c r="E180" s="200">
        <v>15000</v>
      </c>
      <c r="F180" s="234"/>
      <c r="G180" s="2" t="s">
        <v>705</v>
      </c>
      <c r="H180" s="2">
        <v>527</v>
      </c>
      <c r="I180" s="2" t="s">
        <v>55</v>
      </c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99">
        <v>45260</v>
      </c>
      <c r="B181" s="137"/>
      <c r="C181" s="137" t="s">
        <v>1193</v>
      </c>
      <c r="D181" s="137"/>
      <c r="E181" s="200">
        <v>52000</v>
      </c>
      <c r="F181" s="234"/>
      <c r="G181" s="2" t="s">
        <v>1194</v>
      </c>
      <c r="H181" s="2">
        <v>525</v>
      </c>
      <c r="I181" s="2" t="s">
        <v>55</v>
      </c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99">
        <v>45260</v>
      </c>
      <c r="B182" s="137"/>
      <c r="C182" s="137" t="s">
        <v>1195</v>
      </c>
      <c r="D182" s="137"/>
      <c r="E182" s="200">
        <v>55000</v>
      </c>
      <c r="F182" s="234"/>
      <c r="G182" s="2" t="s">
        <v>505</v>
      </c>
      <c r="H182" s="2">
        <v>526</v>
      </c>
      <c r="I182" s="2" t="s">
        <v>55</v>
      </c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99">
        <v>45262</v>
      </c>
      <c r="B183" s="137"/>
      <c r="C183" s="137" t="s">
        <v>1196</v>
      </c>
      <c r="D183" s="137"/>
      <c r="E183" s="200">
        <v>29300</v>
      </c>
      <c r="F183" s="234"/>
      <c r="G183" s="2" t="s">
        <v>1197</v>
      </c>
      <c r="H183" s="2">
        <v>334</v>
      </c>
      <c r="I183" s="2" t="s">
        <v>147</v>
      </c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99">
        <v>45262</v>
      </c>
      <c r="B184" s="137"/>
      <c r="C184" s="137" t="s">
        <v>1198</v>
      </c>
      <c r="D184" s="137"/>
      <c r="E184" s="200">
        <v>118700</v>
      </c>
      <c r="F184" s="234"/>
      <c r="G184" s="2" t="s">
        <v>1197</v>
      </c>
      <c r="H184" s="2">
        <v>333</v>
      </c>
      <c r="I184" s="2" t="s">
        <v>146</v>
      </c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4"/>
      <c r="B185" s="110"/>
      <c r="C185" s="124"/>
      <c r="D185" s="125"/>
      <c r="E185" s="125"/>
      <c r="F185" s="110"/>
      <c r="G185" s="218"/>
      <c r="H185" s="137"/>
      <c r="I185" s="137"/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4"/>
      <c r="B186" s="110"/>
      <c r="C186" s="124"/>
      <c r="D186" s="125"/>
      <c r="E186" s="125"/>
      <c r="F186" s="110"/>
      <c r="G186" s="218"/>
      <c r="H186" s="137"/>
      <c r="I186" s="137"/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4"/>
      <c r="B187" s="110"/>
      <c r="C187" s="124"/>
      <c r="D187" s="125"/>
      <c r="E187" s="125"/>
      <c r="F187" s="110"/>
      <c r="G187" s="218"/>
      <c r="H187" s="137"/>
      <c r="I187" s="137"/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4"/>
      <c r="B188" s="110"/>
      <c r="C188" s="124"/>
      <c r="D188" s="125"/>
      <c r="E188" s="125"/>
      <c r="F188" s="110"/>
      <c r="G188" s="218"/>
      <c r="H188" s="137"/>
      <c r="I188" s="137"/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4"/>
      <c r="B189" s="110"/>
      <c r="C189" s="124"/>
      <c r="D189" s="125"/>
      <c r="E189" s="125"/>
      <c r="F189" s="110"/>
      <c r="G189" s="218"/>
      <c r="H189" s="137"/>
      <c r="I189" s="137"/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4"/>
      <c r="B190" s="110"/>
      <c r="C190" s="124"/>
      <c r="D190" s="125"/>
      <c r="E190" s="125"/>
      <c r="F190" s="110"/>
      <c r="G190" s="218"/>
      <c r="H190" s="137"/>
      <c r="I190" s="137"/>
      <c r="J190" s="138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x14ac:dyDescent="0.25">
      <c r="A191" s="124"/>
      <c r="B191" s="110"/>
      <c r="C191" s="124"/>
      <c r="D191" s="125"/>
      <c r="E191" s="125"/>
      <c r="F191" s="110"/>
      <c r="G191" s="218"/>
      <c r="H191" s="137"/>
      <c r="I191" s="137"/>
      <c r="J191" s="138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x14ac:dyDescent="0.25">
      <c r="A192" s="124"/>
      <c r="B192" s="110"/>
      <c r="C192" s="124"/>
      <c r="D192" s="125"/>
      <c r="E192" s="125"/>
      <c r="F192" s="110"/>
      <c r="G192" s="218"/>
      <c r="H192" s="137"/>
      <c r="I192" s="137"/>
      <c r="J192" s="138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x14ac:dyDescent="0.25">
      <c r="A193" s="124"/>
      <c r="B193" s="110"/>
      <c r="C193" s="124"/>
      <c r="D193" s="125"/>
      <c r="E193" s="125"/>
      <c r="F193" s="110"/>
      <c r="G193" s="218"/>
      <c r="H193" s="137"/>
      <c r="I193" s="137"/>
      <c r="J193" s="138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x14ac:dyDescent="0.25">
      <c r="A194" s="124"/>
      <c r="B194" s="110"/>
      <c r="C194" s="124"/>
      <c r="D194" s="125"/>
      <c r="E194" s="125"/>
      <c r="F194" s="110"/>
      <c r="G194" s="218"/>
      <c r="H194" s="137"/>
      <c r="I194" s="137"/>
      <c r="J194" s="138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x14ac:dyDescent="0.25">
      <c r="A195" s="124"/>
      <c r="B195" s="110"/>
      <c r="C195" s="124"/>
      <c r="D195" s="125"/>
      <c r="E195" s="125"/>
      <c r="F195" s="110"/>
      <c r="G195" s="218"/>
      <c r="H195" s="137"/>
      <c r="I195" s="137"/>
      <c r="J195" s="138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x14ac:dyDescent="0.25">
      <c r="A196" s="124"/>
      <c r="B196" s="110"/>
      <c r="C196" s="124"/>
      <c r="D196" s="125"/>
      <c r="E196" s="125"/>
      <c r="F196" s="110"/>
      <c r="G196" s="218"/>
      <c r="H196" s="137"/>
      <c r="I196" s="137"/>
      <c r="J196" s="138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x14ac:dyDescent="0.25">
      <c r="A197" s="124"/>
      <c r="B197" s="110"/>
      <c r="C197" s="124"/>
      <c r="D197" s="125"/>
      <c r="E197" s="125"/>
      <c r="F197" s="110"/>
      <c r="G197" s="218"/>
      <c r="H197" s="137"/>
      <c r="I197" s="137"/>
      <c r="J197" s="138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x14ac:dyDescent="0.25">
      <c r="A198" s="124"/>
      <c r="B198" s="110"/>
      <c r="C198" s="124"/>
      <c r="D198" s="125"/>
      <c r="E198" s="125"/>
      <c r="F198" s="110"/>
      <c r="G198" s="218"/>
      <c r="H198" s="137"/>
      <c r="I198" s="137"/>
      <c r="J198" s="138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x14ac:dyDescent="0.25">
      <c r="A199" s="124"/>
      <c r="B199" s="110"/>
      <c r="C199" s="124"/>
      <c r="D199" s="125"/>
      <c r="E199" s="125"/>
      <c r="F199" s="110"/>
      <c r="G199" s="218"/>
      <c r="H199" s="137"/>
      <c r="I199" s="137"/>
      <c r="J199" s="138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x14ac:dyDescent="0.25">
      <c r="A200" s="124"/>
      <c r="B200" s="110"/>
      <c r="C200" s="124"/>
      <c r="D200" s="125"/>
      <c r="E200" s="125"/>
      <c r="F200" s="110"/>
      <c r="G200" s="218"/>
      <c r="H200" s="137"/>
      <c r="I200" s="137"/>
      <c r="J200" s="138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x14ac:dyDescent="0.25">
      <c r="A201" s="124"/>
      <c r="B201" s="110"/>
      <c r="C201" s="124"/>
      <c r="D201" s="125"/>
      <c r="E201" s="125"/>
      <c r="F201" s="110"/>
      <c r="G201" s="218"/>
      <c r="H201" s="137"/>
      <c r="I201" s="137"/>
      <c r="J201" s="138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x14ac:dyDescent="0.25">
      <c r="A202" s="124"/>
      <c r="B202" s="110"/>
      <c r="C202" s="124"/>
      <c r="D202" s="125"/>
      <c r="E202" s="125"/>
      <c r="F202" s="110"/>
      <c r="G202" s="218"/>
      <c r="H202" s="137"/>
      <c r="I202" s="137"/>
      <c r="J202" s="138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x14ac:dyDescent="0.25">
      <c r="A203" s="124"/>
      <c r="B203" s="110"/>
      <c r="C203" s="124"/>
      <c r="D203" s="125"/>
      <c r="E203" s="125"/>
      <c r="F203" s="110"/>
      <c r="G203" s="218"/>
      <c r="H203" s="137"/>
      <c r="I203" s="137"/>
      <c r="J203" s="138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x14ac:dyDescent="0.25">
      <c r="A204" s="124"/>
      <c r="B204" s="110"/>
      <c r="C204" s="124"/>
      <c r="D204" s="125"/>
      <c r="E204" s="125"/>
      <c r="F204" s="110"/>
      <c r="G204" s="218"/>
      <c r="H204" s="137"/>
      <c r="I204" s="137"/>
      <c r="J204" s="138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x14ac:dyDescent="0.25">
      <c r="A205" s="124"/>
      <c r="B205" s="110"/>
      <c r="C205" s="124"/>
      <c r="D205" s="125"/>
      <c r="E205" s="125"/>
      <c r="F205" s="110"/>
      <c r="G205" s="218"/>
      <c r="H205" s="137"/>
      <c r="I205" s="137"/>
      <c r="J205" s="138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x14ac:dyDescent="0.25">
      <c r="A206" s="124"/>
      <c r="B206" s="110"/>
      <c r="C206" s="124"/>
      <c r="D206" s="125"/>
      <c r="E206" s="125"/>
      <c r="F206" s="110"/>
      <c r="G206" s="218"/>
      <c r="H206" s="137"/>
      <c r="I206" s="137"/>
      <c r="J206" s="138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x14ac:dyDescent="0.25">
      <c r="A207" s="124"/>
      <c r="B207" s="110"/>
      <c r="C207" s="124"/>
      <c r="D207" s="125"/>
      <c r="E207" s="125"/>
      <c r="F207" s="110"/>
      <c r="G207" s="218"/>
      <c r="H207" s="137"/>
      <c r="I207" s="137"/>
      <c r="J207" s="138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x14ac:dyDescent="0.25">
      <c r="A208" s="124"/>
      <c r="B208" s="110"/>
      <c r="C208" s="124"/>
      <c r="D208" s="125"/>
      <c r="E208" s="125"/>
      <c r="F208" s="110"/>
      <c r="G208" s="218"/>
      <c r="H208" s="137"/>
      <c r="I208" s="137"/>
      <c r="J208" s="138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x14ac:dyDescent="0.25">
      <c r="A209" s="124"/>
      <c r="B209" s="110"/>
      <c r="C209" s="124"/>
      <c r="D209" s="125"/>
      <c r="E209" s="125"/>
      <c r="F209" s="110"/>
      <c r="G209" s="218"/>
      <c r="H209" s="137"/>
      <c r="I209" s="137"/>
      <c r="J209" s="138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x14ac:dyDescent="0.25">
      <c r="A210" s="124"/>
      <c r="B210" s="110"/>
      <c r="C210" s="124"/>
      <c r="D210" s="125"/>
      <c r="E210" s="125"/>
      <c r="F210" s="110"/>
      <c r="G210" s="218"/>
      <c r="H210" s="137"/>
      <c r="I210" s="137"/>
      <c r="J210" s="138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x14ac:dyDescent="0.25">
      <c r="A211" s="124"/>
      <c r="B211" s="110"/>
      <c r="C211" s="124"/>
      <c r="D211" s="125"/>
      <c r="E211" s="125"/>
      <c r="F211" s="110"/>
      <c r="G211" s="218"/>
      <c r="H211" s="137"/>
      <c r="I211" s="137"/>
      <c r="J211" s="138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x14ac:dyDescent="0.25">
      <c r="A212" s="124"/>
      <c r="B212" s="110"/>
      <c r="C212" s="124"/>
      <c r="D212" s="125"/>
      <c r="E212" s="125"/>
      <c r="F212" s="110"/>
      <c r="G212" s="218"/>
      <c r="H212" s="137"/>
      <c r="I212" s="137"/>
      <c r="J212" s="138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x14ac:dyDescent="0.25">
      <c r="A213" s="124"/>
      <c r="B213" s="110"/>
      <c r="C213" s="124"/>
      <c r="D213" s="125"/>
      <c r="E213" s="125"/>
      <c r="F213" s="110"/>
      <c r="G213" s="218"/>
      <c r="H213" s="137"/>
      <c r="I213" s="137"/>
      <c r="J213" s="138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x14ac:dyDescent="0.25">
      <c r="A214" s="124"/>
      <c r="B214" s="110"/>
      <c r="C214" s="124"/>
      <c r="D214" s="125"/>
      <c r="E214" s="125"/>
      <c r="F214" s="110"/>
      <c r="G214" s="218"/>
      <c r="H214" s="137"/>
      <c r="I214" s="137"/>
      <c r="J214" s="138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x14ac:dyDescent="0.25">
      <c r="A215" s="124"/>
      <c r="B215" s="110"/>
      <c r="C215" s="124"/>
      <c r="D215" s="125"/>
      <c r="E215" s="125"/>
      <c r="F215" s="110"/>
      <c r="G215" s="218"/>
      <c r="H215" s="137"/>
      <c r="I215" s="137"/>
      <c r="J215" s="138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x14ac:dyDescent="0.25">
      <c r="A216" s="124"/>
      <c r="B216" s="110"/>
      <c r="C216" s="124"/>
      <c r="D216" s="125"/>
      <c r="E216" s="125"/>
      <c r="F216" s="110"/>
      <c r="G216" s="218"/>
      <c r="H216" s="137"/>
      <c r="I216" s="137"/>
      <c r="J216" s="138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x14ac:dyDescent="0.25">
      <c r="A217" s="124"/>
      <c r="B217" s="110"/>
      <c r="C217" s="124"/>
      <c r="D217" s="125"/>
      <c r="E217" s="125"/>
      <c r="F217" s="110"/>
      <c r="G217" s="218"/>
      <c r="H217" s="137"/>
      <c r="I217" s="137"/>
      <c r="J217" s="138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x14ac:dyDescent="0.25">
      <c r="A218" s="124"/>
      <c r="B218" s="110"/>
      <c r="C218" s="124"/>
      <c r="D218" s="125"/>
      <c r="E218" s="125"/>
      <c r="F218" s="110"/>
      <c r="G218" s="218"/>
      <c r="H218" s="137"/>
      <c r="I218" s="137"/>
      <c r="J218" s="138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x14ac:dyDescent="0.25">
      <c r="A219" s="124"/>
      <c r="B219" s="110"/>
      <c r="C219" s="124"/>
      <c r="D219" s="125"/>
      <c r="E219" s="125"/>
      <c r="F219" s="110"/>
      <c r="G219" s="218"/>
      <c r="H219" s="137"/>
      <c r="I219" s="137"/>
      <c r="J219" s="138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x14ac:dyDescent="0.25">
      <c r="A220" s="124"/>
      <c r="B220" s="110"/>
      <c r="C220" s="124"/>
      <c r="D220" s="125"/>
      <c r="E220" s="125"/>
      <c r="F220" s="110"/>
      <c r="G220" s="218"/>
      <c r="H220" s="137"/>
      <c r="I220" s="137"/>
      <c r="J220" s="138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x14ac:dyDescent="0.25">
      <c r="A221" s="124"/>
      <c r="B221" s="110"/>
      <c r="C221" s="124"/>
      <c r="D221" s="125"/>
      <c r="E221" s="125"/>
      <c r="F221" s="110"/>
      <c r="G221" s="218"/>
      <c r="H221" s="137"/>
      <c r="I221" s="137"/>
      <c r="J221" s="138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x14ac:dyDescent="0.25">
      <c r="A222" s="124"/>
      <c r="B222" s="110"/>
      <c r="C222" s="124"/>
      <c r="D222" s="125"/>
      <c r="E222" s="125"/>
      <c r="F222" s="110"/>
      <c r="G222" s="218"/>
      <c r="H222" s="137"/>
      <c r="I222" s="137"/>
      <c r="J222" s="138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x14ac:dyDescent="0.25">
      <c r="A223" s="124"/>
      <c r="B223" s="110"/>
      <c r="C223" s="124"/>
      <c r="D223" s="125"/>
      <c r="E223" s="125"/>
      <c r="F223" s="110"/>
      <c r="G223" s="218"/>
      <c r="H223" s="137"/>
      <c r="I223" s="137"/>
      <c r="J223" s="138"/>
      <c r="K223" s="5"/>
      <c r="L223"/>
      <c r="M223" s="5"/>
      <c r="N223"/>
      <c r="O223"/>
      <c r="P223"/>
      <c r="Q223"/>
      <c r="R223"/>
      <c r="S223"/>
      <c r="T223"/>
      <c r="U223"/>
      <c r="V223"/>
    </row>
    <row r="224" spans="1:22" x14ac:dyDescent="0.25">
      <c r="A224" s="124"/>
      <c r="B224" s="110"/>
      <c r="C224" s="124"/>
      <c r="D224" s="125"/>
      <c r="E224" s="125"/>
      <c r="F224" s="110"/>
      <c r="G224" s="218"/>
      <c r="H224" s="137"/>
      <c r="I224" s="137"/>
      <c r="J224" s="138"/>
      <c r="K224" s="5"/>
      <c r="L224"/>
      <c r="M224" s="5"/>
      <c r="N224"/>
      <c r="O224"/>
      <c r="P224"/>
      <c r="Q224"/>
      <c r="R224"/>
      <c r="S224"/>
      <c r="T224"/>
      <c r="U224"/>
      <c r="V224"/>
    </row>
    <row r="225" spans="1:22" x14ac:dyDescent="0.25">
      <c r="A225" s="124"/>
      <c r="B225" s="110"/>
      <c r="C225" s="124"/>
      <c r="D225" s="125"/>
      <c r="E225" s="125"/>
      <c r="F225" s="110"/>
      <c r="G225" s="218"/>
      <c r="H225" s="137"/>
      <c r="I225" s="137"/>
      <c r="J225" s="138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124"/>
      <c r="B226" s="110"/>
      <c r="C226" s="124"/>
      <c r="D226" s="125"/>
      <c r="E226" s="125"/>
      <c r="F226" s="110"/>
      <c r="G226" s="218"/>
      <c r="H226" s="137"/>
      <c r="I226" s="137"/>
      <c r="J226" s="138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124"/>
      <c r="B227" s="110"/>
      <c r="C227" s="124"/>
      <c r="D227" s="125"/>
      <c r="E227" s="125"/>
      <c r="F227" s="110"/>
      <c r="G227" s="218"/>
      <c r="H227" s="137"/>
      <c r="I227" s="137"/>
      <c r="J227" s="138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124"/>
      <c r="B228" s="110"/>
      <c r="C228" s="124"/>
      <c r="D228" s="125"/>
      <c r="E228" s="125"/>
      <c r="F228" s="110"/>
      <c r="G228" s="218"/>
      <c r="H228" s="137"/>
      <c r="I228" s="137"/>
      <c r="J228" s="13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124"/>
      <c r="B229" s="110"/>
      <c r="C229" s="124"/>
      <c r="D229" s="125"/>
      <c r="E229" s="125"/>
      <c r="F229" s="110"/>
      <c r="G229" s="218"/>
      <c r="H229" s="137"/>
      <c r="I229" s="137"/>
      <c r="J229" s="138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124"/>
      <c r="B230" s="110"/>
      <c r="C230" s="124"/>
      <c r="D230" s="125"/>
      <c r="E230" s="125"/>
      <c r="F230" s="110"/>
      <c r="G230" s="137"/>
      <c r="H230" s="137"/>
      <c r="I230" s="137"/>
      <c r="J230" s="138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124"/>
      <c r="B231" s="110"/>
      <c r="C231" s="124"/>
      <c r="D231" s="125"/>
      <c r="E231" s="125"/>
      <c r="F231" s="110"/>
      <c r="G231" s="137"/>
      <c r="H231" s="137"/>
      <c r="I231" s="137"/>
      <c r="J231" s="138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124"/>
      <c r="B232" s="110"/>
      <c r="C232" s="124"/>
      <c r="D232" s="125"/>
      <c r="E232" s="125"/>
      <c r="F232" s="110"/>
      <c r="G232" s="137"/>
      <c r="H232" s="137"/>
      <c r="I232" s="137"/>
      <c r="J232" s="123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124"/>
      <c r="B233" s="110"/>
      <c r="C233" s="124"/>
      <c r="D233" s="125"/>
      <c r="E233" s="125"/>
      <c r="F233" s="110"/>
      <c r="G233" s="137"/>
      <c r="H233" s="137"/>
      <c r="I233" s="137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124"/>
      <c r="B234" s="110"/>
      <c r="C234" s="124"/>
      <c r="D234" s="125"/>
      <c r="E234" s="125"/>
      <c r="F234" s="110"/>
      <c r="G234" s="137"/>
      <c r="H234" s="137"/>
      <c r="I234" s="137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124"/>
      <c r="B235" s="110"/>
      <c r="C235" s="124"/>
      <c r="D235" s="125"/>
      <c r="E235" s="125"/>
      <c r="F235" s="110"/>
      <c r="G235" s="137"/>
      <c r="H235" s="137"/>
      <c r="I235" s="137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124"/>
      <c r="B236" s="110"/>
      <c r="C236" s="124"/>
      <c r="D236" s="125"/>
      <c r="E236" s="125"/>
      <c r="F236" s="110"/>
      <c r="G236" s="137"/>
      <c r="H236" s="137"/>
      <c r="I236" s="137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124"/>
      <c r="B237" s="110"/>
      <c r="C237" s="124"/>
      <c r="D237" s="125"/>
      <c r="E237" s="125"/>
      <c r="F237" s="110"/>
      <c r="G237" s="137"/>
      <c r="H237" s="137"/>
      <c r="I237" s="137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124"/>
      <c r="B238" s="110"/>
      <c r="C238" s="124"/>
      <c r="D238" s="125"/>
      <c r="E238" s="125"/>
      <c r="F238" s="110"/>
      <c r="G238" s="137"/>
      <c r="H238" s="137"/>
      <c r="I238" s="137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124"/>
      <c r="B239" s="110"/>
      <c r="C239" s="124"/>
      <c r="D239" s="125"/>
      <c r="E239" s="125"/>
      <c r="F239" s="110"/>
      <c r="G239" s="19"/>
      <c r="H239" s="40"/>
      <c r="I239" s="40"/>
      <c r="J239" s="42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x14ac:dyDescent="0.25">
      <c r="A241" s="40"/>
      <c r="B241" s="40"/>
      <c r="C241" s="72"/>
      <c r="D241" s="38"/>
      <c r="E241" s="38"/>
      <c r="F241" s="40"/>
      <c r="G241" s="19"/>
      <c r="H241" s="40"/>
      <c r="I241" s="40"/>
      <c r="J241" s="42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A242" s="189"/>
      <c r="B242" s="189"/>
      <c r="C242" s="190"/>
      <c r="D242" s="191"/>
      <c r="E242" s="191">
        <f>SUM(E156:E241)</f>
        <v>1513264</v>
      </c>
      <c r="F242" s="189"/>
      <c r="G242" s="192"/>
      <c r="H242" s="189"/>
      <c r="I242" s="189"/>
      <c r="J242" s="193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x14ac:dyDescent="0.25">
      <c r="A243" s="40"/>
      <c r="B243" s="40"/>
      <c r="C243" s="72"/>
      <c r="D243" s="38"/>
      <c r="E243" s="38"/>
      <c r="F243" s="40"/>
      <c r="G243" s="19"/>
      <c r="H243" s="40"/>
      <c r="I243" s="40"/>
      <c r="J243" s="42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x14ac:dyDescent="0.25">
      <c r="A244" s="21"/>
      <c r="B244" s="21"/>
      <c r="C244" s="21"/>
      <c r="D244" s="76"/>
      <c r="E244" s="76"/>
      <c r="F244" s="21"/>
      <c r="G244" s="77"/>
      <c r="H244" s="21"/>
      <c r="I244" s="21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 x14ac:dyDescent="0.25">
      <c r="R245"/>
      <c r="S245"/>
      <c r="T245"/>
      <c r="U245"/>
      <c r="V245"/>
    </row>
    <row r="246" spans="1:24" x14ac:dyDescent="0.25">
      <c r="H246" s="18">
        <f>SUBTOTAL(9,D2:D243)</f>
        <v>0</v>
      </c>
      <c r="I246" s="18">
        <f>SUBTOTAL(9,E2:E241)</f>
        <v>12080276</v>
      </c>
      <c r="J246" s="18">
        <f>I246/1450*13/250</f>
        <v>433.22369103448278</v>
      </c>
      <c r="R246"/>
      <c r="S246"/>
      <c r="T246"/>
      <c r="U246"/>
      <c r="V246"/>
    </row>
    <row r="247" spans="1:24" x14ac:dyDescent="0.25">
      <c r="K247" s="18">
        <v>20000</v>
      </c>
      <c r="Q247" s="18"/>
      <c r="R247" s="18"/>
      <c r="S247" s="18"/>
      <c r="T247" s="18"/>
      <c r="U247" s="18"/>
      <c r="V247" s="18"/>
      <c r="W247" s="18"/>
      <c r="X247" s="18"/>
    </row>
    <row r="248" spans="1:24" x14ac:dyDescent="0.25">
      <c r="N248"/>
      <c r="O248"/>
      <c r="P248"/>
      <c r="Q248"/>
      <c r="R248"/>
      <c r="S248"/>
      <c r="T248" s="18"/>
      <c r="U248" s="18"/>
      <c r="V248" s="18"/>
      <c r="W248" s="18"/>
      <c r="X248" s="18"/>
    </row>
    <row r="249" spans="1:24" x14ac:dyDescent="0.25">
      <c r="C249" s="17" t="s">
        <v>128</v>
      </c>
      <c r="D249" s="17">
        <v>150000</v>
      </c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25" t="s">
        <v>4</v>
      </c>
      <c r="C251" s="25" t="s">
        <v>66</v>
      </c>
      <c r="D251" s="26" t="s">
        <v>97</v>
      </c>
      <c r="E251" s="25" t="s">
        <v>98</v>
      </c>
      <c r="F251" s="25" t="s">
        <v>99</v>
      </c>
      <c r="G251" s="26" t="s">
        <v>82</v>
      </c>
      <c r="H251" s="26"/>
      <c r="N251"/>
      <c r="O251"/>
      <c r="P251"/>
      <c r="Q251"/>
      <c r="R251"/>
      <c r="S251"/>
      <c r="T251"/>
      <c r="U251"/>
      <c r="V251" s="18"/>
      <c r="W251" s="18"/>
      <c r="X251" s="18"/>
    </row>
    <row r="252" spans="1:24" x14ac:dyDescent="0.25">
      <c r="B252" s="38" t="s">
        <v>131</v>
      </c>
      <c r="C252" s="38">
        <f>'BCI '!H128</f>
        <v>38658</v>
      </c>
      <c r="D252" s="40">
        <f>Security!F95</f>
        <v>0</v>
      </c>
      <c r="E252" s="38"/>
      <c r="F252" s="38">
        <f>C252+D252</f>
        <v>38658</v>
      </c>
      <c r="G252" s="40"/>
      <c r="H252" s="40"/>
      <c r="J252" s="19"/>
      <c r="K252" s="13"/>
      <c r="N252"/>
      <c r="O252"/>
      <c r="P252"/>
      <c r="Q252"/>
      <c r="R252"/>
      <c r="S252"/>
      <c r="T252"/>
      <c r="U252"/>
      <c r="V252" s="18"/>
      <c r="W252" s="18"/>
      <c r="X252" s="18"/>
    </row>
    <row r="253" spans="1:24" x14ac:dyDescent="0.25">
      <c r="B253" s="38" t="s">
        <v>30</v>
      </c>
      <c r="C253" s="38">
        <f>'BCI '!H129</f>
        <v>6089235</v>
      </c>
      <c r="D253" s="40">
        <f>Security!F96</f>
        <v>0</v>
      </c>
      <c r="E253" s="38"/>
      <c r="F253" s="38">
        <f t="shared" ref="F253:F268" si="4">C253+D253</f>
        <v>6089235</v>
      </c>
      <c r="G253" s="40"/>
      <c r="H253" s="40"/>
      <c r="J253" s="19">
        <v>1988036</v>
      </c>
      <c r="K253" s="13" t="s">
        <v>68</v>
      </c>
      <c r="N253"/>
      <c r="O253"/>
      <c r="P253"/>
      <c r="Q253"/>
      <c r="R253"/>
      <c r="S253"/>
      <c r="T253"/>
      <c r="U253"/>
      <c r="V253" s="18"/>
      <c r="W253" s="18"/>
      <c r="X253" s="18"/>
    </row>
    <row r="254" spans="1:24" x14ac:dyDescent="0.25">
      <c r="B254" s="38" t="s">
        <v>86</v>
      </c>
      <c r="C254" s="38">
        <f>'BCI '!H130</f>
        <v>551500</v>
      </c>
      <c r="D254" s="40">
        <f>Security!F97</f>
        <v>0</v>
      </c>
      <c r="E254" s="38"/>
      <c r="F254" s="38">
        <f t="shared" si="4"/>
        <v>551500</v>
      </c>
      <c r="G254" s="40"/>
      <c r="H254" s="40"/>
      <c r="J254" s="19">
        <f>F151</f>
        <v>4900000</v>
      </c>
      <c r="K254" s="13" t="s">
        <v>70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130</v>
      </c>
      <c r="C255" s="38">
        <f>'BCI '!H131</f>
        <v>350678.8</v>
      </c>
      <c r="D255" s="40">
        <f>Security!F98</f>
        <v>0</v>
      </c>
      <c r="E255" s="38"/>
      <c r="F255" s="38">
        <f t="shared" si="4"/>
        <v>350678.8</v>
      </c>
      <c r="G255" s="40"/>
      <c r="H255" s="40"/>
      <c r="J255" s="19">
        <f>J254+J253-J267</f>
        <v>1431266</v>
      </c>
      <c r="K255" s="13" t="s">
        <v>69</v>
      </c>
      <c r="L255"/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8</v>
      </c>
      <c r="C256" s="38">
        <f>'BCI '!H132+J267</f>
        <v>6092374</v>
      </c>
      <c r="D256" s="40">
        <f>Security!F99</f>
        <v>0</v>
      </c>
      <c r="E256" s="38"/>
      <c r="F256" s="38">
        <f t="shared" si="4"/>
        <v>6092374</v>
      </c>
      <c r="G256" s="40">
        <f t="shared" ref="G256:G261" si="5">F256*0.19</f>
        <v>1157551.06</v>
      </c>
      <c r="H256" s="40"/>
      <c r="J256" s="19"/>
      <c r="K256" s="13"/>
      <c r="L256"/>
      <c r="N256"/>
      <c r="O256"/>
      <c r="P256"/>
      <c r="Q256"/>
      <c r="R256"/>
      <c r="S256"/>
      <c r="T256"/>
      <c r="U256"/>
      <c r="V256" s="18"/>
    </row>
    <row r="257" spans="1:24" x14ac:dyDescent="0.25">
      <c r="B257" s="38"/>
      <c r="C257" s="38"/>
      <c r="D257" s="40"/>
      <c r="E257" s="38"/>
      <c r="F257" s="38"/>
      <c r="G257" s="40"/>
      <c r="H257" s="40"/>
      <c r="J257" s="44" t="s">
        <v>49</v>
      </c>
      <c r="K257" s="43" t="s">
        <v>48</v>
      </c>
      <c r="L257"/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134</v>
      </c>
      <c r="C258" s="38">
        <f>'BCI '!H134</f>
        <v>3052309</v>
      </c>
      <c r="D258" s="40">
        <f>Security!F101</f>
        <v>0</v>
      </c>
      <c r="E258" s="38"/>
      <c r="F258" s="38">
        <f t="shared" si="4"/>
        <v>3052309</v>
      </c>
      <c r="G258" s="40"/>
      <c r="H258" s="40"/>
      <c r="J258" s="151">
        <f>SUMIF($I$2:$I$243,K258,$E$2:$E$243)</f>
        <v>532723</v>
      </c>
      <c r="K258" s="42" t="s">
        <v>147</v>
      </c>
      <c r="L258" s="5">
        <f>-J258</f>
        <v>-532723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133</v>
      </c>
      <c r="C259" s="38">
        <f>'BCI '!H135</f>
        <v>264118.24</v>
      </c>
      <c r="D259" s="40">
        <f>Security!F102</f>
        <v>0</v>
      </c>
      <c r="E259" s="38"/>
      <c r="F259" s="38">
        <f t="shared" si="4"/>
        <v>264118.24</v>
      </c>
      <c r="G259" s="40">
        <f t="shared" si="5"/>
        <v>50182.465599999996</v>
      </c>
      <c r="H259" s="40"/>
      <c r="J259" s="151">
        <f t="shared" ref="J259:J266" si="6">SUMIF($I$2:$I$243,K259,$E$2:$E$243)</f>
        <v>270250</v>
      </c>
      <c r="K259" s="42" t="s">
        <v>145</v>
      </c>
      <c r="L259" s="5">
        <f t="shared" ref="L259:L266" si="7">-J259</f>
        <v>-270250</v>
      </c>
      <c r="N259"/>
      <c r="O259"/>
      <c r="P259"/>
      <c r="Q259"/>
      <c r="R259"/>
      <c r="S259"/>
      <c r="T259"/>
      <c r="U259"/>
      <c r="V259" s="18"/>
    </row>
    <row r="260" spans="1:24" x14ac:dyDescent="0.25">
      <c r="B260" s="38" t="s">
        <v>23</v>
      </c>
      <c r="C260" s="38">
        <f>'BCI '!H136</f>
        <v>0</v>
      </c>
      <c r="D260" s="40">
        <f>Security!F103</f>
        <v>-4710943</v>
      </c>
      <c r="E260" s="38"/>
      <c r="F260" s="38">
        <f t="shared" si="4"/>
        <v>-4710943</v>
      </c>
      <c r="G260" s="40"/>
      <c r="H260" s="40"/>
      <c r="J260" s="151">
        <f t="shared" si="6"/>
        <v>0</v>
      </c>
      <c r="K260" s="42" t="s">
        <v>308</v>
      </c>
      <c r="L260" s="5">
        <f t="shared" si="7"/>
        <v>0</v>
      </c>
      <c r="N260"/>
      <c r="O260"/>
      <c r="P260"/>
      <c r="Q260"/>
      <c r="R260"/>
      <c r="S260"/>
      <c r="T260"/>
      <c r="U260"/>
      <c r="V260" s="18"/>
    </row>
    <row r="261" spans="1:24" x14ac:dyDescent="0.25">
      <c r="B261" s="38" t="s">
        <v>11</v>
      </c>
      <c r="C261" s="38">
        <f>'BCI '!H137</f>
        <v>270000</v>
      </c>
      <c r="D261" s="40">
        <f>Security!F104</f>
        <v>0</v>
      </c>
      <c r="E261" s="38"/>
      <c r="F261" s="38">
        <f t="shared" si="4"/>
        <v>270000</v>
      </c>
      <c r="G261" s="40">
        <f t="shared" si="5"/>
        <v>51300</v>
      </c>
      <c r="H261" s="40"/>
      <c r="J261" s="151">
        <f t="shared" si="6"/>
        <v>146072</v>
      </c>
      <c r="K261" s="42" t="s">
        <v>144</v>
      </c>
      <c r="L261" s="5">
        <f t="shared" si="7"/>
        <v>-146072</v>
      </c>
      <c r="N261"/>
      <c r="O261"/>
      <c r="P261"/>
      <c r="Q261"/>
      <c r="R261"/>
      <c r="S261"/>
      <c r="T261"/>
      <c r="U261"/>
      <c r="V261" s="18"/>
    </row>
    <row r="262" spans="1:24" x14ac:dyDescent="0.25">
      <c r="B262" s="38" t="s">
        <v>19</v>
      </c>
      <c r="C262" s="38">
        <f>'BCI '!H138</f>
        <v>566949</v>
      </c>
      <c r="D262" s="40">
        <f>Security!F105</f>
        <v>0</v>
      </c>
      <c r="E262" s="38"/>
      <c r="F262" s="38">
        <f t="shared" si="4"/>
        <v>566949</v>
      </c>
      <c r="G262" s="40"/>
      <c r="H262" s="40"/>
      <c r="J262" s="151">
        <f t="shared" si="6"/>
        <v>2551745</v>
      </c>
      <c r="K262" s="42" t="s">
        <v>146</v>
      </c>
      <c r="L262" s="5">
        <f t="shared" si="7"/>
        <v>-2551745</v>
      </c>
      <c r="N262"/>
      <c r="O262"/>
      <c r="P262"/>
      <c r="Q262"/>
      <c r="R262"/>
      <c r="S262"/>
      <c r="T262"/>
      <c r="U262"/>
      <c r="V262" s="18"/>
      <c r="W262" s="18"/>
      <c r="X262" s="18"/>
    </row>
    <row r="263" spans="1:24" x14ac:dyDescent="0.25">
      <c r="B263" s="38" t="s">
        <v>135</v>
      </c>
      <c r="C263" s="38">
        <f>'BCI '!H139</f>
        <v>5580484</v>
      </c>
      <c r="D263" s="40">
        <f>Security!F106</f>
        <v>0</v>
      </c>
      <c r="E263" s="38"/>
      <c r="F263" s="38">
        <f t="shared" si="4"/>
        <v>5580484</v>
      </c>
      <c r="G263" s="40">
        <f>F263*0.19</f>
        <v>1060291.96</v>
      </c>
      <c r="H263" s="40"/>
      <c r="J263" s="151">
        <f t="shared" si="6"/>
        <v>1496770</v>
      </c>
      <c r="K263" s="42" t="s">
        <v>55</v>
      </c>
      <c r="L263" s="5">
        <f t="shared" si="7"/>
        <v>-1496770</v>
      </c>
      <c r="M263" s="62"/>
      <c r="N263"/>
      <c r="O263"/>
      <c r="P263"/>
      <c r="Q263"/>
      <c r="R263"/>
      <c r="S263"/>
      <c r="T263"/>
      <c r="U263"/>
      <c r="V263" s="18"/>
      <c r="W263" s="18"/>
      <c r="X263" s="18"/>
    </row>
    <row r="264" spans="1:24" x14ac:dyDescent="0.25">
      <c r="B264" s="38" t="s">
        <v>29</v>
      </c>
      <c r="C264" s="38">
        <f>'BCI '!H140</f>
        <v>9292337</v>
      </c>
      <c r="D264" s="40">
        <f>Security!F107</f>
        <v>2387200</v>
      </c>
      <c r="E264" s="38"/>
      <c r="F264" s="38">
        <f t="shared" si="4"/>
        <v>11679537</v>
      </c>
      <c r="G264" s="40"/>
      <c r="H264" s="40"/>
      <c r="J264" s="151">
        <f t="shared" si="6"/>
        <v>11180</v>
      </c>
      <c r="K264" s="42" t="s">
        <v>148</v>
      </c>
      <c r="L264" s="5">
        <f t="shared" si="7"/>
        <v>-11180</v>
      </c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102</v>
      </c>
      <c r="C265" s="38">
        <f>'BCI '!H141</f>
        <v>0</v>
      </c>
      <c r="D265" s="40">
        <f>Security!F108</f>
        <v>0</v>
      </c>
      <c r="E265" s="38"/>
      <c r="F265" s="38">
        <f t="shared" si="4"/>
        <v>0</v>
      </c>
      <c r="G265" s="40"/>
      <c r="H265" s="40"/>
      <c r="J265" s="151">
        <f t="shared" si="6"/>
        <v>0</v>
      </c>
      <c r="K265" s="42" t="s">
        <v>67</v>
      </c>
      <c r="L265" s="5">
        <f t="shared" si="7"/>
        <v>0</v>
      </c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38" t="s">
        <v>103</v>
      </c>
      <c r="C266" s="38">
        <f>'BCI '!H142</f>
        <v>-36350595.359999999</v>
      </c>
      <c r="D266" s="40">
        <f>Security!F109</f>
        <v>-1954226</v>
      </c>
      <c r="E266" s="38"/>
      <c r="F266" s="38">
        <f t="shared" si="4"/>
        <v>-38304821.359999999</v>
      </c>
      <c r="G266" s="40"/>
      <c r="H266" s="40"/>
      <c r="J266" s="151">
        <f t="shared" si="6"/>
        <v>448030</v>
      </c>
      <c r="K266" s="42" t="s">
        <v>115</v>
      </c>
      <c r="L266" s="5">
        <f t="shared" si="7"/>
        <v>-448030</v>
      </c>
      <c r="N266"/>
      <c r="O266" s="18"/>
      <c r="Q266"/>
      <c r="R266"/>
      <c r="S266"/>
      <c r="T266"/>
      <c r="U266" s="18"/>
      <c r="V266" s="18"/>
      <c r="W266" s="18"/>
      <c r="X266" s="18"/>
    </row>
    <row r="267" spans="1:24" x14ac:dyDescent="0.25">
      <c r="B267" s="38" t="s">
        <v>136</v>
      </c>
      <c r="C267" s="38">
        <f>'BCI '!H143</f>
        <v>-69000</v>
      </c>
      <c r="D267" s="40">
        <f>Security!F110</f>
        <v>0</v>
      </c>
      <c r="E267" s="38"/>
      <c r="F267" s="38">
        <f t="shared" si="4"/>
        <v>-69000</v>
      </c>
      <c r="G267" s="40"/>
      <c r="H267" s="40"/>
      <c r="J267" s="59">
        <f>SUM(J258:J266)</f>
        <v>5456770</v>
      </c>
      <c r="K267" s="58"/>
      <c r="L267"/>
      <c r="N267"/>
      <c r="O267" s="18"/>
      <c r="Q267"/>
      <c r="R267"/>
      <c r="S267"/>
      <c r="T267"/>
      <c r="U267" s="18"/>
      <c r="V267" s="18"/>
      <c r="W267" s="18"/>
      <c r="X267" s="18"/>
    </row>
    <row r="268" spans="1:24" x14ac:dyDescent="0.25">
      <c r="B268" s="38" t="s">
        <v>137</v>
      </c>
      <c r="C268" s="38">
        <f>'BCI '!H144</f>
        <v>-7703770</v>
      </c>
      <c r="D268" s="40">
        <f>Security!F111</f>
        <v>0</v>
      </c>
      <c r="E268" s="38"/>
      <c r="F268" s="38">
        <f t="shared" si="4"/>
        <v>-7703770</v>
      </c>
      <c r="G268" s="40"/>
      <c r="H268" s="40"/>
      <c r="J268"/>
      <c r="K268"/>
      <c r="L268"/>
      <c r="N268"/>
      <c r="O268" s="18"/>
      <c r="Q268"/>
      <c r="R268"/>
      <c r="S268"/>
      <c r="T268"/>
      <c r="U268" s="18"/>
      <c r="V268" s="18"/>
      <c r="W268" s="18"/>
      <c r="X268" s="18"/>
    </row>
    <row r="269" spans="1:24" x14ac:dyDescent="0.25">
      <c r="B269" s="99" t="s">
        <v>21</v>
      </c>
      <c r="C269" s="99">
        <f>SUM(C252:C268)</f>
        <v>-11974722.32</v>
      </c>
      <c r="D269" s="100">
        <f>SUM(D252:D268)</f>
        <v>-4277969</v>
      </c>
      <c r="E269" s="99"/>
      <c r="F269" s="99">
        <f>SUM(F252:F268)</f>
        <v>-16252691.32</v>
      </c>
      <c r="G269" s="100">
        <f>SUM(G252:G268)</f>
        <v>2319325.4856000002</v>
      </c>
      <c r="H269" s="100"/>
      <c r="J269"/>
      <c r="K269"/>
      <c r="L269"/>
      <c r="N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x14ac:dyDescent="0.25">
      <c r="B270" s="38"/>
      <c r="C270" s="38"/>
      <c r="D270" s="40"/>
      <c r="E270" s="38"/>
      <c r="F270" s="38"/>
      <c r="K270"/>
      <c r="L270"/>
      <c r="N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ht="18.75" x14ac:dyDescent="0.3">
      <c r="B271" s="38"/>
      <c r="C271" s="38"/>
      <c r="D271" s="40"/>
      <c r="E271" s="38"/>
      <c r="F271" s="102"/>
      <c r="G271" s="102"/>
      <c r="H271" s="103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ht="18.75" x14ac:dyDescent="0.3">
      <c r="A272" s="18"/>
      <c r="B272" s="38"/>
      <c r="C272" s="38"/>
      <c r="D272" s="40"/>
      <c r="E272" s="40"/>
      <c r="F272" s="102"/>
      <c r="G272" s="102"/>
      <c r="H272" s="103"/>
      <c r="K272"/>
      <c r="L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:24" ht="18.75" x14ac:dyDescent="0.3">
      <c r="A273" s="18"/>
      <c r="B273" s="99" t="s">
        <v>21</v>
      </c>
      <c r="C273" s="99"/>
      <c r="D273" s="100"/>
      <c r="E273" s="25"/>
      <c r="F273" s="25"/>
      <c r="G273" s="25"/>
      <c r="H273" s="104">
        <f>SUM(H271:H272)</f>
        <v>0</v>
      </c>
      <c r="K273"/>
      <c r="L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:24" x14ac:dyDescent="0.25">
      <c r="A274" s="18"/>
      <c r="D274" s="18"/>
      <c r="K274"/>
      <c r="L274"/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:24" x14ac:dyDescent="0.25">
      <c r="D275" s="18"/>
      <c r="K275"/>
      <c r="L275"/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:24" x14ac:dyDescent="0.25">
      <c r="N281"/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:24" x14ac:dyDescent="0.25">
      <c r="N282"/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:24" x14ac:dyDescent="0.25">
      <c r="N283"/>
      <c r="O283" s="18"/>
      <c r="Q283" s="18"/>
      <c r="R283" s="18"/>
      <c r="S283" s="18"/>
      <c r="T283" s="18"/>
      <c r="U283" s="18"/>
      <c r="V283" s="18"/>
      <c r="W283" s="18"/>
      <c r="X283" s="18"/>
    </row>
    <row r="284" spans="1:24" x14ac:dyDescent="0.25">
      <c r="O284" s="18"/>
      <c r="Q284" s="18"/>
      <c r="R284" s="18"/>
      <c r="S284" s="18"/>
      <c r="T284" s="18"/>
      <c r="U284" s="18"/>
      <c r="V284" s="18"/>
      <c r="W284" s="18"/>
      <c r="X284" s="18"/>
    </row>
    <row r="285" spans="1:24" x14ac:dyDescent="0.25">
      <c r="O285" s="18"/>
      <c r="Q285" s="18"/>
      <c r="R285" s="18"/>
      <c r="S285" s="18"/>
      <c r="T285" s="18"/>
      <c r="U285" s="18"/>
      <c r="V285" s="18"/>
      <c r="W285" s="18"/>
      <c r="X285" s="18"/>
    </row>
    <row r="286" spans="1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  <row r="2830" spans="17:24" x14ac:dyDescent="0.25">
      <c r="Q2830" s="18"/>
      <c r="R2830" s="18"/>
      <c r="S2830" s="18"/>
      <c r="T2830" s="18"/>
      <c r="U2830" s="18"/>
      <c r="V2830" s="18"/>
      <c r="W2830" s="18"/>
      <c r="X2830" s="18"/>
    </row>
    <row r="2831" spans="17:24" x14ac:dyDescent="0.25">
      <c r="Q2831" s="18"/>
      <c r="R2831" s="18"/>
      <c r="S2831" s="18"/>
      <c r="T2831" s="18"/>
      <c r="U2831" s="18"/>
      <c r="V2831" s="18"/>
      <c r="W2831" s="18"/>
      <c r="X2831" s="18"/>
    </row>
    <row r="2832" spans="17:24" x14ac:dyDescent="0.25">
      <c r="Q2832" s="18"/>
      <c r="R2832" s="18"/>
      <c r="S2832" s="18"/>
      <c r="T2832" s="18"/>
      <c r="U2832" s="18"/>
      <c r="V2832" s="18"/>
      <c r="W2832" s="18"/>
      <c r="X2832" s="18"/>
    </row>
  </sheetData>
  <autoFilter ref="A1:J244" xr:uid="{00000000-0009-0000-0000-000007000000}"/>
  <sortState xmlns:xlrd2="http://schemas.microsoft.com/office/spreadsheetml/2017/richdata2" ref="A2:J54">
    <sortCondition ref="A2:A54"/>
  </sortState>
  <dataValidations disablePrompts="1"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I155:I174 I2:I146 I176:I177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1"/>
  <sheetViews>
    <sheetView workbookViewId="0">
      <selection activeCell="A23" sqref="A23:A31"/>
    </sheetView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129</v>
      </c>
    </row>
    <row r="2" spans="1:1" ht="26.25" x14ac:dyDescent="0.4">
      <c r="A2" s="149" t="s">
        <v>131</v>
      </c>
    </row>
    <row r="3" spans="1:1" ht="26.25" x14ac:dyDescent="0.4">
      <c r="A3" s="149" t="s">
        <v>30</v>
      </c>
    </row>
    <row r="4" spans="1:1" ht="26.25" x14ac:dyDescent="0.4">
      <c r="A4" s="149" t="s">
        <v>86</v>
      </c>
    </row>
    <row r="5" spans="1:1" ht="26.25" x14ac:dyDescent="0.4">
      <c r="A5" s="149" t="s">
        <v>130</v>
      </c>
    </row>
    <row r="6" spans="1:1" ht="26.25" x14ac:dyDescent="0.4">
      <c r="A6" s="149" t="s">
        <v>8</v>
      </c>
    </row>
    <row r="7" spans="1:1" ht="26.25" x14ac:dyDescent="0.4">
      <c r="A7" s="150" t="s">
        <v>132</v>
      </c>
    </row>
    <row r="8" spans="1:1" ht="26.25" x14ac:dyDescent="0.4">
      <c r="A8" s="149" t="s">
        <v>134</v>
      </c>
    </row>
    <row r="9" spans="1:1" ht="26.25" x14ac:dyDescent="0.4">
      <c r="A9" s="149" t="s">
        <v>133</v>
      </c>
    </row>
    <row r="10" spans="1:1" ht="26.25" x14ac:dyDescent="0.4">
      <c r="A10" s="150" t="s">
        <v>23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135</v>
      </c>
    </row>
    <row r="14" spans="1:1" ht="26.25" x14ac:dyDescent="0.4">
      <c r="A14" s="149" t="s">
        <v>29</v>
      </c>
    </row>
    <row r="15" spans="1:1" ht="26.25" x14ac:dyDescent="0.4">
      <c r="A15" s="149" t="s">
        <v>102</v>
      </c>
    </row>
    <row r="16" spans="1:1" ht="26.25" x14ac:dyDescent="0.4">
      <c r="A16" s="149" t="s">
        <v>103</v>
      </c>
    </row>
    <row r="17" spans="1:1" ht="26.25" x14ac:dyDescent="0.4">
      <c r="A17" s="149" t="s">
        <v>136</v>
      </c>
    </row>
    <row r="18" spans="1:1" ht="26.25" x14ac:dyDescent="0.4">
      <c r="A18" s="149" t="s">
        <v>137</v>
      </c>
    </row>
    <row r="19" spans="1:1" ht="26.25" x14ac:dyDescent="0.4">
      <c r="A19" s="150" t="s">
        <v>153</v>
      </c>
    </row>
    <row r="20" spans="1:1" ht="21.6" customHeight="1" x14ac:dyDescent="0.4">
      <c r="A20" s="150" t="s">
        <v>157</v>
      </c>
    </row>
    <row r="23" spans="1:1" ht="26.25" x14ac:dyDescent="0.4">
      <c r="A23" s="149" t="s">
        <v>147</v>
      </c>
    </row>
    <row r="24" spans="1:1" ht="26.25" x14ac:dyDescent="0.4">
      <c r="A24" s="149" t="s">
        <v>145</v>
      </c>
    </row>
    <row r="25" spans="1:1" ht="26.25" x14ac:dyDescent="0.4">
      <c r="A25" s="149" t="s">
        <v>151</v>
      </c>
    </row>
    <row r="26" spans="1:1" ht="26.25" x14ac:dyDescent="0.4">
      <c r="A26" s="149" t="s">
        <v>144</v>
      </c>
    </row>
    <row r="27" spans="1:1" ht="26.25" x14ac:dyDescent="0.4">
      <c r="A27" s="149" t="s">
        <v>146</v>
      </c>
    </row>
    <row r="28" spans="1:1" ht="26.25" x14ac:dyDescent="0.4">
      <c r="A28" s="149" t="s">
        <v>55</v>
      </c>
    </row>
    <row r="29" spans="1:1" ht="26.25" x14ac:dyDescent="0.4">
      <c r="A29" s="149" t="s">
        <v>148</v>
      </c>
    </row>
    <row r="30" spans="1:1" ht="26.25" x14ac:dyDescent="0.4">
      <c r="A30" s="149" t="s">
        <v>67</v>
      </c>
    </row>
    <row r="31" spans="1:1" ht="26.25" x14ac:dyDescent="0.4">
      <c r="A31" s="149" t="s">
        <v>115</v>
      </c>
    </row>
  </sheetData>
  <sortState xmlns:xlrd2="http://schemas.microsoft.com/office/spreadsheetml/2017/richdata2" ref="A2:A18">
    <sortCondition ref="A2"/>
  </sortState>
  <dataValidations disablePrompts="1" count="2">
    <dataValidation type="list" allowBlank="1" showInputMessage="1" showErrorMessage="1" promptTitle="Clases de Costos" sqref="C3" xr:uid="{00000000-0002-0000-0800-000000000000}">
      <formula1>$A$2:$A$18</formula1>
    </dataValidation>
    <dataValidation type="list" allowBlank="1" showInputMessage="1" showErrorMessage="1" sqref="A25" xr:uid="{00000000-0002-0000-0800-000001000000}">
      <formula1>$K$83:$K$91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D83"/>
  <sheetViews>
    <sheetView workbookViewId="0">
      <selection activeCell="E23" sqref="E23"/>
    </sheetView>
  </sheetViews>
  <sheetFormatPr baseColWidth="10" defaultRowHeight="15" x14ac:dyDescent="0.25"/>
  <sheetData>
    <row r="3" spans="2:3" x14ac:dyDescent="0.25">
      <c r="B3" s="196">
        <v>1434</v>
      </c>
    </row>
    <row r="4" spans="2:3" x14ac:dyDescent="0.25">
      <c r="B4" s="196">
        <v>1443</v>
      </c>
      <c r="C4" s="5">
        <f>+B4-B3</f>
        <v>9</v>
      </c>
    </row>
    <row r="5" spans="2:3" x14ac:dyDescent="0.25">
      <c r="B5" s="196">
        <v>1444</v>
      </c>
      <c r="C5" s="5">
        <f t="shared" ref="C5:C68" si="0">+B5-B4</f>
        <v>1</v>
      </c>
    </row>
    <row r="6" spans="2:3" x14ac:dyDescent="0.25">
      <c r="B6" s="196">
        <v>1445</v>
      </c>
      <c r="C6" s="5">
        <f t="shared" si="0"/>
        <v>1</v>
      </c>
    </row>
    <row r="7" spans="2:3" x14ac:dyDescent="0.25">
      <c r="B7" s="196">
        <v>1450</v>
      </c>
      <c r="C7" s="5">
        <f t="shared" si="0"/>
        <v>5</v>
      </c>
    </row>
    <row r="8" spans="2:3" x14ac:dyDescent="0.25">
      <c r="B8" s="196">
        <v>1451</v>
      </c>
      <c r="C8" s="5">
        <f t="shared" si="0"/>
        <v>1</v>
      </c>
    </row>
    <row r="9" spans="2:3" x14ac:dyDescent="0.25">
      <c r="B9" s="196">
        <v>1455</v>
      </c>
      <c r="C9" s="5">
        <f t="shared" si="0"/>
        <v>4</v>
      </c>
    </row>
    <row r="10" spans="2:3" x14ac:dyDescent="0.25">
      <c r="B10" s="196">
        <v>1456</v>
      </c>
      <c r="C10" s="5">
        <f t="shared" si="0"/>
        <v>1</v>
      </c>
    </row>
    <row r="11" spans="2:3" x14ac:dyDescent="0.25">
      <c r="B11" s="196">
        <v>1461</v>
      </c>
      <c r="C11" s="5">
        <f t="shared" si="0"/>
        <v>5</v>
      </c>
    </row>
    <row r="12" spans="2:3" x14ac:dyDescent="0.25">
      <c r="B12" s="196">
        <v>1462</v>
      </c>
      <c r="C12" s="5">
        <f t="shared" si="0"/>
        <v>1</v>
      </c>
    </row>
    <row r="13" spans="2:3" x14ac:dyDescent="0.25">
      <c r="B13" s="196">
        <v>1463</v>
      </c>
      <c r="C13" s="5">
        <f t="shared" si="0"/>
        <v>1</v>
      </c>
    </row>
    <row r="14" spans="2:3" x14ac:dyDescent="0.25">
      <c r="B14" s="196">
        <v>1466</v>
      </c>
      <c r="C14" s="5">
        <f t="shared" si="0"/>
        <v>3</v>
      </c>
    </row>
    <row r="15" spans="2:3" x14ac:dyDescent="0.25">
      <c r="B15" s="196">
        <v>1467</v>
      </c>
      <c r="C15" s="5">
        <f t="shared" si="0"/>
        <v>1</v>
      </c>
    </row>
    <row r="16" spans="2:3" x14ac:dyDescent="0.25">
      <c r="B16" s="196">
        <v>1469</v>
      </c>
      <c r="C16" s="5">
        <f t="shared" si="0"/>
        <v>2</v>
      </c>
    </row>
    <row r="17" spans="2:3" x14ac:dyDescent="0.25">
      <c r="B17" s="196">
        <v>1470</v>
      </c>
      <c r="C17" s="5">
        <f t="shared" si="0"/>
        <v>1</v>
      </c>
    </row>
    <row r="18" spans="2:3" x14ac:dyDescent="0.25">
      <c r="B18" s="196">
        <v>1471</v>
      </c>
      <c r="C18" s="5">
        <f t="shared" si="0"/>
        <v>1</v>
      </c>
    </row>
    <row r="19" spans="2:3" x14ac:dyDescent="0.25">
      <c r="B19" s="196">
        <v>1476</v>
      </c>
      <c r="C19" s="5">
        <f t="shared" si="0"/>
        <v>5</v>
      </c>
    </row>
    <row r="20" spans="2:3" x14ac:dyDescent="0.25">
      <c r="B20" s="196">
        <v>1477</v>
      </c>
      <c r="C20" s="5">
        <f t="shared" si="0"/>
        <v>1</v>
      </c>
    </row>
    <row r="21" spans="2:3" x14ac:dyDescent="0.25">
      <c r="B21" s="196">
        <v>1478</v>
      </c>
      <c r="C21" s="5">
        <f t="shared" si="0"/>
        <v>1</v>
      </c>
    </row>
    <row r="22" spans="2:3" x14ac:dyDescent="0.25">
      <c r="B22" s="196">
        <v>1479</v>
      </c>
      <c r="C22" s="5">
        <f t="shared" si="0"/>
        <v>1</v>
      </c>
    </row>
    <row r="23" spans="2:3" x14ac:dyDescent="0.25">
      <c r="B23" s="196">
        <v>1480</v>
      </c>
      <c r="C23" s="5">
        <f t="shared" si="0"/>
        <v>1</v>
      </c>
    </row>
    <row r="24" spans="2:3" x14ac:dyDescent="0.25">
      <c r="B24" s="196">
        <v>1481</v>
      </c>
      <c r="C24" s="5">
        <f t="shared" si="0"/>
        <v>1</v>
      </c>
    </row>
    <row r="25" spans="2:3" x14ac:dyDescent="0.25">
      <c r="B25" s="196">
        <v>1483</v>
      </c>
      <c r="C25" s="5">
        <f t="shared" si="0"/>
        <v>2</v>
      </c>
    </row>
    <row r="26" spans="2:3" x14ac:dyDescent="0.25">
      <c r="B26" s="196">
        <v>1484</v>
      </c>
      <c r="C26" s="5">
        <f t="shared" si="0"/>
        <v>1</v>
      </c>
    </row>
    <row r="27" spans="2:3" x14ac:dyDescent="0.25">
      <c r="B27" s="196">
        <v>1486</v>
      </c>
      <c r="C27" s="5">
        <f t="shared" si="0"/>
        <v>2</v>
      </c>
    </row>
    <row r="28" spans="2:3" x14ac:dyDescent="0.25">
      <c r="B28" s="196">
        <v>1487</v>
      </c>
      <c r="C28" s="5">
        <f t="shared" si="0"/>
        <v>1</v>
      </c>
    </row>
    <row r="29" spans="2:3" x14ac:dyDescent="0.25">
      <c r="B29" s="196">
        <v>1488</v>
      </c>
      <c r="C29" s="5">
        <f t="shared" si="0"/>
        <v>1</v>
      </c>
    </row>
    <row r="30" spans="2:3" x14ac:dyDescent="0.25">
      <c r="B30" s="196">
        <v>1489</v>
      </c>
      <c r="C30" s="5">
        <f t="shared" si="0"/>
        <v>1</v>
      </c>
    </row>
    <row r="31" spans="2:3" x14ac:dyDescent="0.25">
      <c r="B31" s="196">
        <v>1490</v>
      </c>
      <c r="C31" s="5">
        <f t="shared" si="0"/>
        <v>1</v>
      </c>
    </row>
    <row r="32" spans="2:3" x14ac:dyDescent="0.25">
      <c r="B32" s="196">
        <v>1491</v>
      </c>
      <c r="C32" s="5">
        <f t="shared" si="0"/>
        <v>1</v>
      </c>
    </row>
    <row r="33" spans="2:4" x14ac:dyDescent="0.25">
      <c r="B33" s="196">
        <v>1492</v>
      </c>
      <c r="C33" s="5">
        <f t="shared" si="0"/>
        <v>1</v>
      </c>
    </row>
    <row r="34" spans="2:4" x14ac:dyDescent="0.25">
      <c r="B34" s="196">
        <v>1493</v>
      </c>
      <c r="C34" s="5">
        <f t="shared" si="0"/>
        <v>1</v>
      </c>
    </row>
    <row r="35" spans="2:4" x14ac:dyDescent="0.25">
      <c r="B35" s="196">
        <v>1494</v>
      </c>
      <c r="C35" s="5">
        <f t="shared" si="0"/>
        <v>1</v>
      </c>
    </row>
    <row r="36" spans="2:4" x14ac:dyDescent="0.25">
      <c r="B36" s="196">
        <v>1495</v>
      </c>
      <c r="C36" s="5">
        <f t="shared" si="0"/>
        <v>1</v>
      </c>
    </row>
    <row r="37" spans="2:4" ht="18.75" customHeight="1" x14ac:dyDescent="0.25">
      <c r="B37" s="196">
        <v>1496</v>
      </c>
      <c r="C37" s="5">
        <f t="shared" si="0"/>
        <v>1</v>
      </c>
    </row>
    <row r="38" spans="2:4" x14ac:dyDescent="0.25">
      <c r="B38" s="196">
        <v>1497</v>
      </c>
      <c r="C38" s="5">
        <f t="shared" si="0"/>
        <v>1</v>
      </c>
    </row>
    <row r="39" spans="2:4" x14ac:dyDescent="0.25">
      <c r="B39" s="196">
        <v>1499</v>
      </c>
      <c r="C39" s="5">
        <f t="shared" si="0"/>
        <v>2</v>
      </c>
    </row>
    <row r="40" spans="2:4" x14ac:dyDescent="0.25">
      <c r="B40" s="196">
        <v>1500</v>
      </c>
      <c r="C40" s="5">
        <f t="shared" si="0"/>
        <v>1</v>
      </c>
    </row>
    <row r="41" spans="2:4" x14ac:dyDescent="0.25">
      <c r="B41" s="196">
        <v>1501</v>
      </c>
      <c r="C41" s="5">
        <f t="shared" si="0"/>
        <v>1</v>
      </c>
    </row>
    <row r="42" spans="2:4" x14ac:dyDescent="0.25">
      <c r="B42" s="196">
        <v>1502</v>
      </c>
      <c r="C42" s="5">
        <f t="shared" si="0"/>
        <v>1</v>
      </c>
    </row>
    <row r="43" spans="2:4" x14ac:dyDescent="0.25">
      <c r="B43" s="196">
        <v>1504</v>
      </c>
      <c r="C43" s="5">
        <f t="shared" si="0"/>
        <v>2</v>
      </c>
    </row>
    <row r="44" spans="2:4" x14ac:dyDescent="0.25">
      <c r="B44" s="196">
        <v>1505</v>
      </c>
      <c r="C44" s="5">
        <f t="shared" si="0"/>
        <v>1</v>
      </c>
    </row>
    <row r="45" spans="2:4" x14ac:dyDescent="0.25">
      <c r="B45" s="196">
        <v>1506</v>
      </c>
      <c r="C45" s="5">
        <f t="shared" si="0"/>
        <v>1</v>
      </c>
    </row>
    <row r="46" spans="2:4" x14ac:dyDescent="0.25">
      <c r="B46" s="196">
        <v>1509</v>
      </c>
      <c r="C46" s="5">
        <f t="shared" si="0"/>
        <v>3</v>
      </c>
    </row>
    <row r="47" spans="2:4" x14ac:dyDescent="0.25">
      <c r="B47" s="196">
        <v>1510</v>
      </c>
      <c r="C47" s="5">
        <f t="shared" si="0"/>
        <v>1</v>
      </c>
      <c r="D47" s="196"/>
    </row>
    <row r="48" spans="2:4" x14ac:dyDescent="0.25">
      <c r="B48" s="196">
        <v>1511</v>
      </c>
      <c r="C48" s="5">
        <f t="shared" si="0"/>
        <v>1</v>
      </c>
      <c r="D48" s="196"/>
    </row>
    <row r="49" spans="2:4" x14ac:dyDescent="0.25">
      <c r="B49" s="196">
        <v>1512</v>
      </c>
      <c r="C49" s="5">
        <f t="shared" si="0"/>
        <v>1</v>
      </c>
      <c r="D49" s="196"/>
    </row>
    <row r="50" spans="2:4" x14ac:dyDescent="0.25">
      <c r="B50" s="196">
        <v>1515</v>
      </c>
      <c r="C50" s="5">
        <f t="shared" si="0"/>
        <v>3</v>
      </c>
      <c r="D50" s="196"/>
    </row>
    <row r="51" spans="2:4" x14ac:dyDescent="0.25">
      <c r="B51" s="196">
        <v>1516</v>
      </c>
      <c r="C51" s="5">
        <f t="shared" si="0"/>
        <v>1</v>
      </c>
      <c r="D51" s="196"/>
    </row>
    <row r="52" spans="2:4" x14ac:dyDescent="0.25">
      <c r="B52" s="196">
        <v>1517</v>
      </c>
      <c r="C52" s="5">
        <f t="shared" si="0"/>
        <v>1</v>
      </c>
      <c r="D52" s="196"/>
    </row>
    <row r="53" spans="2:4" x14ac:dyDescent="0.25">
      <c r="B53" s="196">
        <v>1518</v>
      </c>
      <c r="C53" s="5">
        <f t="shared" si="0"/>
        <v>1</v>
      </c>
      <c r="D53" s="196"/>
    </row>
    <row r="54" spans="2:4" x14ac:dyDescent="0.25">
      <c r="B54" s="196">
        <v>1519</v>
      </c>
      <c r="C54" s="5">
        <f t="shared" si="0"/>
        <v>1</v>
      </c>
      <c r="D54" s="196"/>
    </row>
    <row r="55" spans="2:4" x14ac:dyDescent="0.25">
      <c r="B55" s="196">
        <v>1520</v>
      </c>
      <c r="C55" s="5">
        <f t="shared" si="0"/>
        <v>1</v>
      </c>
      <c r="D55" s="196"/>
    </row>
    <row r="56" spans="2:4" x14ac:dyDescent="0.25">
      <c r="B56" s="196">
        <v>1523</v>
      </c>
      <c r="C56" s="5">
        <f t="shared" si="0"/>
        <v>3</v>
      </c>
      <c r="D56" s="196"/>
    </row>
    <row r="57" spans="2:4" x14ac:dyDescent="0.25">
      <c r="B57" s="196">
        <v>1524</v>
      </c>
      <c r="C57" s="5">
        <f t="shared" si="0"/>
        <v>1</v>
      </c>
      <c r="D57" s="196"/>
    </row>
    <row r="58" spans="2:4" x14ac:dyDescent="0.25">
      <c r="B58" s="196">
        <v>1526</v>
      </c>
      <c r="C58" s="5">
        <f t="shared" si="0"/>
        <v>2</v>
      </c>
      <c r="D58" s="196"/>
    </row>
    <row r="59" spans="2:4" x14ac:dyDescent="0.25">
      <c r="B59" s="196">
        <v>1528</v>
      </c>
      <c r="C59" s="5">
        <f t="shared" si="0"/>
        <v>2</v>
      </c>
      <c r="D59" s="196"/>
    </row>
    <row r="60" spans="2:4" x14ac:dyDescent="0.25">
      <c r="B60" s="196">
        <v>1529</v>
      </c>
      <c r="C60" s="5">
        <f t="shared" si="0"/>
        <v>1</v>
      </c>
      <c r="D60" s="196"/>
    </row>
    <row r="61" spans="2:4" x14ac:dyDescent="0.25">
      <c r="B61" s="196">
        <v>1530</v>
      </c>
      <c r="C61" s="5">
        <f t="shared" si="0"/>
        <v>1</v>
      </c>
      <c r="D61" s="196"/>
    </row>
    <row r="62" spans="2:4" x14ac:dyDescent="0.25">
      <c r="B62" s="196">
        <v>1531</v>
      </c>
      <c r="C62" s="5">
        <f t="shared" si="0"/>
        <v>1</v>
      </c>
      <c r="D62" s="196"/>
    </row>
    <row r="63" spans="2:4" x14ac:dyDescent="0.25">
      <c r="B63" s="196">
        <v>1532</v>
      </c>
      <c r="C63" s="5">
        <f t="shared" si="0"/>
        <v>1</v>
      </c>
      <c r="D63" s="196"/>
    </row>
    <row r="64" spans="2:4" x14ac:dyDescent="0.25">
      <c r="B64" s="196">
        <v>1533</v>
      </c>
      <c r="C64" s="5">
        <f t="shared" si="0"/>
        <v>1</v>
      </c>
      <c r="D64" s="196"/>
    </row>
    <row r="65" spans="2:4" x14ac:dyDescent="0.25">
      <c r="B65" s="196">
        <v>1534</v>
      </c>
      <c r="C65" s="5">
        <f t="shared" si="0"/>
        <v>1</v>
      </c>
      <c r="D65" s="196"/>
    </row>
    <row r="66" spans="2:4" x14ac:dyDescent="0.25">
      <c r="B66" s="196">
        <v>1535</v>
      </c>
      <c r="C66" s="5">
        <f t="shared" si="0"/>
        <v>1</v>
      </c>
      <c r="D66" s="196"/>
    </row>
    <row r="67" spans="2:4" x14ac:dyDescent="0.25">
      <c r="B67" s="196">
        <v>1537</v>
      </c>
      <c r="C67" s="5">
        <f t="shared" si="0"/>
        <v>2</v>
      </c>
      <c r="D67" s="196"/>
    </row>
    <row r="68" spans="2:4" x14ac:dyDescent="0.25">
      <c r="B68" s="196">
        <v>1538</v>
      </c>
      <c r="C68" s="5">
        <f t="shared" si="0"/>
        <v>1</v>
      </c>
      <c r="D68" s="155"/>
    </row>
    <row r="69" spans="2:4" x14ac:dyDescent="0.25">
      <c r="B69" s="196">
        <v>1542</v>
      </c>
      <c r="C69" s="5">
        <f t="shared" ref="C69:C83" si="1">+B69-B68</f>
        <v>4</v>
      </c>
      <c r="D69" s="155"/>
    </row>
    <row r="70" spans="2:4" x14ac:dyDescent="0.25">
      <c r="B70" s="196">
        <v>1544</v>
      </c>
      <c r="C70" s="5">
        <f t="shared" si="1"/>
        <v>2</v>
      </c>
      <c r="D70" s="197"/>
    </row>
    <row r="71" spans="2:4" x14ac:dyDescent="0.25">
      <c r="B71" s="196">
        <v>1546</v>
      </c>
      <c r="C71" s="5">
        <f t="shared" si="1"/>
        <v>2</v>
      </c>
      <c r="D71" s="155"/>
    </row>
    <row r="72" spans="2:4" x14ac:dyDescent="0.25">
      <c r="B72" s="196">
        <v>1547</v>
      </c>
      <c r="C72" s="5">
        <f t="shared" si="1"/>
        <v>1</v>
      </c>
      <c r="D72" s="155"/>
    </row>
    <row r="73" spans="2:4" x14ac:dyDescent="0.25">
      <c r="B73" s="196">
        <v>1551</v>
      </c>
      <c r="C73" s="5">
        <f t="shared" si="1"/>
        <v>4</v>
      </c>
      <c r="D73" s="27"/>
    </row>
    <row r="74" spans="2:4" x14ac:dyDescent="0.25">
      <c r="B74" s="196">
        <v>1552</v>
      </c>
      <c r="C74" s="5">
        <f t="shared" si="1"/>
        <v>1</v>
      </c>
      <c r="D74" s="27"/>
    </row>
    <row r="75" spans="2:4" x14ac:dyDescent="0.25">
      <c r="B75" s="196">
        <v>1553</v>
      </c>
      <c r="C75" s="5">
        <f t="shared" si="1"/>
        <v>1</v>
      </c>
      <c r="D75" s="27"/>
    </row>
    <row r="76" spans="2:4" x14ac:dyDescent="0.25">
      <c r="B76" s="196">
        <v>1556</v>
      </c>
      <c r="C76" s="5">
        <f t="shared" si="1"/>
        <v>3</v>
      </c>
      <c r="D76" s="27"/>
    </row>
    <row r="77" spans="2:4" x14ac:dyDescent="0.25">
      <c r="B77" s="196">
        <v>1557</v>
      </c>
      <c r="C77" s="5">
        <f t="shared" si="1"/>
        <v>1</v>
      </c>
      <c r="D77" s="27"/>
    </row>
    <row r="78" spans="2:4" x14ac:dyDescent="0.25">
      <c r="B78" s="196">
        <v>1563</v>
      </c>
      <c r="C78" s="5">
        <f t="shared" si="1"/>
        <v>6</v>
      </c>
    </row>
    <row r="79" spans="2:4" x14ac:dyDescent="0.25">
      <c r="B79" s="196">
        <v>1567</v>
      </c>
      <c r="C79" s="5">
        <f t="shared" si="1"/>
        <v>4</v>
      </c>
    </row>
    <row r="80" spans="2:4" x14ac:dyDescent="0.25">
      <c r="B80" s="196">
        <v>1586</v>
      </c>
      <c r="C80" s="5">
        <f t="shared" si="1"/>
        <v>19</v>
      </c>
    </row>
    <row r="81" spans="2:3" x14ac:dyDescent="0.25">
      <c r="B81" s="196">
        <v>1587</v>
      </c>
      <c r="C81" s="5">
        <f t="shared" si="1"/>
        <v>1</v>
      </c>
    </row>
    <row r="82" spans="2:3" x14ac:dyDescent="0.25">
      <c r="B82" s="196">
        <v>1588</v>
      </c>
      <c r="C82" s="5">
        <f t="shared" si="1"/>
        <v>1</v>
      </c>
    </row>
    <row r="83" spans="2:3" x14ac:dyDescent="0.25">
      <c r="B83" s="196">
        <v>1589</v>
      </c>
      <c r="C83" s="5">
        <f t="shared" si="1"/>
        <v>1</v>
      </c>
    </row>
  </sheetData>
  <autoFilter ref="B3:B83" xr:uid="{00000000-0009-0000-0000-000009000000}">
    <sortState xmlns:xlrd2="http://schemas.microsoft.com/office/spreadsheetml/2017/richdata2" ref="B4:B83">
      <sortCondition ref="B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EERR</vt:lpstr>
      <vt:lpstr>Nov</vt:lpstr>
      <vt:lpstr>S</vt:lpstr>
      <vt:lpstr>Site$</vt:lpstr>
      <vt:lpstr>T</vt:lpstr>
      <vt:lpstr>BCI </vt:lpstr>
      <vt:lpstr>Security</vt:lpstr>
      <vt:lpstr>BCI FondRendir</vt:lpstr>
      <vt:lpstr>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2024-07-30T00:53:10Z</dcterms:modified>
</cp:coreProperties>
</file>