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EERR\2023\06.-Junio\"/>
    </mc:Choice>
  </mc:AlternateContent>
  <xr:revisionPtr revIDLastSave="0" documentId="13_ncr:1_{276ED808-91AB-43A2-97CA-EFFCF1356159}" xr6:coauthVersionLast="47" xr6:coauthVersionMax="47" xr10:uidLastSave="{00000000-0000-0000-0000-000000000000}"/>
  <bookViews>
    <workbookView xWindow="-28920" yWindow="1530" windowWidth="29040" windowHeight="15840" activeTab="7" xr2:uid="{00000000-000D-0000-FFFF-FFFF00000000}"/>
  </bookViews>
  <sheets>
    <sheet name="EERR" sheetId="11" r:id="rId1"/>
    <sheet name="Jun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Hoja1" sheetId="45" r:id="rId11"/>
    <sheet name="1" sheetId="36" state="hidden" r:id="rId12"/>
    <sheet name="IVA Sergio" sheetId="37" state="hidden" r:id="rId13"/>
  </sheets>
  <externalReferences>
    <externalReference r:id="rId14"/>
  </externalReferences>
  <definedNames>
    <definedName name="_xlnm._FilterDatabase" localSheetId="5" hidden="1">'BCI '!$B$2:$K$122</definedName>
    <definedName name="_xlnm._FilterDatabase" localSheetId="7" hidden="1">'BCI FondRendir'!$A$1:$J$244</definedName>
    <definedName name="_xlnm._FilterDatabase" localSheetId="8" hidden="1">Hoja2!#REF!</definedName>
    <definedName name="_xlnm._FilterDatabase" localSheetId="1" hidden="1">Jun!$A$2:$X$110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5" l="1"/>
  <c r="M21" i="45"/>
  <c r="L20" i="45"/>
  <c r="N18" i="45"/>
  <c r="N17" i="45"/>
  <c r="M17" i="45"/>
  <c r="L16" i="45"/>
  <c r="N15" i="45"/>
  <c r="L15" i="45"/>
  <c r="M15" i="45"/>
  <c r="M16" i="45"/>
  <c r="N16" i="45"/>
  <c r="L17" i="45"/>
  <c r="L18" i="45"/>
  <c r="M18" i="45"/>
  <c r="L19" i="45"/>
  <c r="M19" i="45"/>
  <c r="N19" i="45"/>
  <c r="M20" i="45"/>
  <c r="N20" i="45"/>
  <c r="L21" i="45"/>
  <c r="N21" i="45"/>
  <c r="N14" i="45"/>
  <c r="M14" i="45"/>
  <c r="L14" i="45"/>
  <c r="J4" i="15"/>
  <c r="K4" i="15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J46" i="15"/>
  <c r="K46" i="15"/>
  <c r="J47" i="15"/>
  <c r="K47" i="15"/>
  <c r="J48" i="15"/>
  <c r="K48" i="15"/>
  <c r="J49" i="15"/>
  <c r="K49" i="15"/>
  <c r="J50" i="15"/>
  <c r="K50" i="15"/>
  <c r="J51" i="15"/>
  <c r="K51" i="15"/>
  <c r="J52" i="15"/>
  <c r="K52" i="15"/>
  <c r="F116" i="15" l="1"/>
  <c r="F117" i="15"/>
  <c r="F118" i="15"/>
  <c r="W32" i="16" l="1"/>
  <c r="AA32" i="16"/>
  <c r="W33" i="16"/>
  <c r="AA33" i="16"/>
  <c r="W34" i="16"/>
  <c r="AA34" i="16"/>
  <c r="W35" i="16"/>
  <c r="AA35" i="16"/>
  <c r="W36" i="16"/>
  <c r="AA36" i="16"/>
  <c r="W37" i="16"/>
  <c r="AA37" i="16"/>
  <c r="W38" i="16"/>
  <c r="AA38" i="16"/>
  <c r="W39" i="16"/>
  <c r="AA39" i="16"/>
  <c r="W40" i="16"/>
  <c r="AA40" i="16"/>
  <c r="W41" i="16"/>
  <c r="AA41" i="16"/>
  <c r="W42" i="16"/>
  <c r="AA42" i="16"/>
  <c r="W43" i="16"/>
  <c r="AA43" i="16"/>
  <c r="E242" i="14" l="1"/>
  <c r="K3" i="15" l="1"/>
  <c r="W31" i="16" l="1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07" i="16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2" i="40"/>
  <c r="S83" i="16"/>
  <c r="T83" i="16"/>
  <c r="S84" i="16"/>
  <c r="T84" i="16"/>
  <c r="S85" i="16"/>
  <c r="T85" i="16"/>
  <c r="S86" i="16"/>
  <c r="T86" i="16"/>
  <c r="S87" i="16"/>
  <c r="T87" i="16"/>
  <c r="W57" i="16"/>
  <c r="W58" i="16"/>
  <c r="W59" i="16"/>
  <c r="W60" i="16"/>
  <c r="W61" i="16"/>
  <c r="W62" i="16"/>
  <c r="W63" i="16"/>
  <c r="W64" i="16"/>
  <c r="V66" i="16"/>
  <c r="W66" i="16"/>
  <c r="V67" i="16"/>
  <c r="W67" i="16"/>
  <c r="W68" i="16"/>
  <c r="V69" i="16"/>
  <c r="W69" i="16"/>
  <c r="W70" i="16"/>
  <c r="V71" i="16"/>
  <c r="W71" i="16"/>
  <c r="V72" i="16"/>
  <c r="W72" i="16"/>
  <c r="V73" i="16"/>
  <c r="W73" i="16"/>
  <c r="V74" i="16"/>
  <c r="U74" i="16"/>
  <c r="W74" i="16"/>
  <c r="W75" i="16"/>
  <c r="W76" i="16"/>
  <c r="W77" i="16"/>
  <c r="U84" i="16" l="1"/>
  <c r="U87" i="16"/>
  <c r="U86" i="16"/>
  <c r="U85" i="16"/>
  <c r="U77" i="16"/>
  <c r="U75" i="16"/>
  <c r="U70" i="16"/>
  <c r="V68" i="16"/>
  <c r="U73" i="16"/>
  <c r="V76" i="16"/>
  <c r="U83" i="16"/>
  <c r="V84" i="16"/>
  <c r="U68" i="16"/>
  <c r="U71" i="16"/>
  <c r="U76" i="16"/>
  <c r="U66" i="16"/>
  <c r="V77" i="16"/>
  <c r="U72" i="16"/>
  <c r="U69" i="16"/>
  <c r="U67" i="16"/>
  <c r="V86" i="16"/>
  <c r="V70" i="16"/>
  <c r="V87" i="16"/>
  <c r="V85" i="16"/>
  <c r="V83" i="16"/>
  <c r="V75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K138" i="14" l="1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V65" i="16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U65" i="16" l="1"/>
  <c r="B4" i="41"/>
  <c r="S47" i="16" l="1"/>
  <c r="T47" i="16"/>
  <c r="R48" i="16"/>
  <c r="O48" i="16"/>
  <c r="P48" i="16"/>
  <c r="Q48" i="16"/>
  <c r="V47" i="16" l="1"/>
  <c r="U47" i="16"/>
  <c r="W47" i="16" l="1"/>
  <c r="A200" i="41" l="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K53" i="15" l="1"/>
  <c r="K54" i="15"/>
  <c r="K55" i="15"/>
  <c r="K56" i="15"/>
  <c r="S49" i="16"/>
  <c r="S50" i="16"/>
  <c r="S51" i="16"/>
  <c r="S52" i="16"/>
  <c r="S53" i="16"/>
  <c r="S54" i="16"/>
  <c r="S55" i="16"/>
  <c r="S56" i="16"/>
  <c r="T50" i="16"/>
  <c r="T51" i="16"/>
  <c r="T52" i="16"/>
  <c r="T53" i="16"/>
  <c r="T54" i="16"/>
  <c r="T55" i="16"/>
  <c r="T56" i="16"/>
  <c r="S78" i="16"/>
  <c r="T78" i="16"/>
  <c r="S79" i="16"/>
  <c r="T79" i="16"/>
  <c r="S80" i="16"/>
  <c r="T80" i="16"/>
  <c r="T49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T3" i="16"/>
  <c r="S3" i="16"/>
  <c r="U3" i="16" l="1"/>
  <c r="V79" i="16"/>
  <c r="V55" i="16"/>
  <c r="V3" i="16"/>
  <c r="U79" i="16"/>
  <c r="V4" i="16"/>
  <c r="V9" i="16"/>
  <c r="U11" i="16"/>
  <c r="U64" i="16"/>
  <c r="U56" i="16"/>
  <c r="U61" i="16"/>
  <c r="U51" i="16"/>
  <c r="U78" i="16"/>
  <c r="U7" i="16"/>
  <c r="V61" i="16"/>
  <c r="V10" i="16"/>
  <c r="V6" i="16"/>
  <c r="U80" i="16"/>
  <c r="U8" i="16"/>
  <c r="U53" i="16"/>
  <c r="U5" i="16"/>
  <c r="U52" i="16"/>
  <c r="U49" i="16"/>
  <c r="U50" i="16"/>
  <c r="V11" i="16"/>
  <c r="U10" i="16"/>
  <c r="V7" i="16"/>
  <c r="U4" i="16"/>
  <c r="U9" i="16"/>
  <c r="U6" i="16"/>
  <c r="V5" i="16"/>
  <c r="V8" i="16"/>
  <c r="V53" i="16"/>
  <c r="V63" i="16"/>
  <c r="U54" i="16"/>
  <c r="U62" i="16"/>
  <c r="U55" i="16"/>
  <c r="V49" i="16"/>
  <c r="U63" i="16"/>
  <c r="V51" i="16"/>
  <c r="V80" i="16"/>
  <c r="V78" i="16"/>
  <c r="V64" i="16"/>
  <c r="V62" i="16"/>
  <c r="V56" i="16"/>
  <c r="V54" i="16"/>
  <c r="V52" i="16"/>
  <c r="V50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L26" i="38" l="1"/>
  <c r="M26" i="38" s="1"/>
  <c r="K24" i="44"/>
  <c r="L25" i="38"/>
  <c r="M25" i="38" s="1"/>
  <c r="K23" i="44"/>
  <c r="L24" i="38"/>
  <c r="M24" i="38" s="1"/>
  <c r="K22" i="44"/>
  <c r="L27" i="38"/>
  <c r="M27" i="38" s="1"/>
  <c r="K25" i="44"/>
  <c r="L23" i="38"/>
  <c r="M23" i="38" s="1"/>
  <c r="K21" i="44"/>
  <c r="J3" i="44"/>
  <c r="N27" i="38" l="1"/>
  <c r="W56" i="16"/>
  <c r="N24" i="38"/>
  <c r="W87" i="16"/>
  <c r="N23" i="38"/>
  <c r="W55" i="16"/>
  <c r="N25" i="38"/>
  <c r="W10" i="16"/>
  <c r="N26" i="38"/>
  <c r="W11" i="16"/>
  <c r="T82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I113" i="38" l="1"/>
  <c r="E151" i="14"/>
  <c r="I246" i="14" s="1"/>
  <c r="J246" i="14" s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47" i="16"/>
  <c r="I3" i="44" l="1"/>
  <c r="H3" i="44"/>
  <c r="L3" i="44"/>
  <c r="L95" i="44" s="1"/>
  <c r="G3" i="44"/>
  <c r="F3" i="44"/>
  <c r="E3" i="44"/>
  <c r="A171" i="41" l="1"/>
  <c r="A4" i="41" l="1"/>
  <c r="X86" i="16" l="1"/>
  <c r="Y86" i="16" s="1"/>
  <c r="X23" i="16"/>
  <c r="Y23" i="16" s="1"/>
  <c r="M56" i="43"/>
  <c r="M59" i="43" s="1"/>
  <c r="J1" i="43"/>
  <c r="R21" i="43"/>
  <c r="F7" i="43"/>
  <c r="G7" i="43"/>
  <c r="G8" i="43" s="1"/>
  <c r="H7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L56" i="43"/>
  <c r="P1" i="43"/>
  <c r="Q1" i="43"/>
  <c r="R1" i="43"/>
  <c r="L1" i="43"/>
  <c r="F1" i="43"/>
  <c r="N56" i="43" l="1"/>
  <c r="H10" i="43" s="1"/>
  <c r="Z23" i="16"/>
  <c r="M57" i="43"/>
  <c r="F122" i="15"/>
  <c r="B267" i="41"/>
  <c r="B268" i="41"/>
  <c r="B269" i="41"/>
  <c r="B270" i="41"/>
  <c r="X50" i="16" s="1"/>
  <c r="Y50" i="16" s="1"/>
  <c r="B271" i="41"/>
  <c r="B272" i="41"/>
  <c r="X17" i="16" s="1"/>
  <c r="B273" i="41"/>
  <c r="B274" i="41"/>
  <c r="B275" i="41"/>
  <c r="X19" i="16" s="1"/>
  <c r="Y19" i="16" s="1"/>
  <c r="B276" i="41"/>
  <c r="B277" i="41"/>
  <c r="X5" i="16" s="1"/>
  <c r="B280" i="41"/>
  <c r="B281" i="41"/>
  <c r="B282" i="41"/>
  <c r="B283" i="41"/>
  <c r="B284" i="41"/>
  <c r="B171" i="41"/>
  <c r="W78" i="16"/>
  <c r="W79" i="16"/>
  <c r="X84" i="16" l="1"/>
  <c r="Y84" i="16" s="1"/>
  <c r="X51" i="16"/>
  <c r="Y51" i="16" s="1"/>
  <c r="X11" i="16"/>
  <c r="X67" i="16"/>
  <c r="X40" i="16"/>
  <c r="X66" i="16"/>
  <c r="X96" i="16"/>
  <c r="X7" i="16"/>
  <c r="X68" i="16"/>
  <c r="X107" i="16"/>
  <c r="Y107" i="16" s="1"/>
  <c r="X76" i="16"/>
  <c r="X49" i="16"/>
  <c r="Y49" i="16" s="1"/>
  <c r="X99" i="16"/>
  <c r="X15" i="16"/>
  <c r="X37" i="16"/>
  <c r="X42" i="16"/>
  <c r="X95" i="16"/>
  <c r="X25" i="16"/>
  <c r="X32" i="16"/>
  <c r="X35" i="16"/>
  <c r="X22" i="16"/>
  <c r="X31" i="16"/>
  <c r="X69" i="16"/>
  <c r="X73" i="16"/>
  <c r="X14" i="16"/>
  <c r="X105" i="16"/>
  <c r="Y105" i="16" s="1"/>
  <c r="X59" i="16"/>
  <c r="X91" i="16"/>
  <c r="Y91" i="16" s="1"/>
  <c r="X41" i="16"/>
  <c r="X33" i="16"/>
  <c r="X70" i="16"/>
  <c r="X75" i="16"/>
  <c r="X21" i="16"/>
  <c r="X55" i="16"/>
  <c r="X74" i="16"/>
  <c r="X56" i="16"/>
  <c r="X63" i="16"/>
  <c r="X26" i="16"/>
  <c r="X47" i="16"/>
  <c r="X4" i="16"/>
  <c r="X36" i="16"/>
  <c r="X43" i="16"/>
  <c r="X97" i="16"/>
  <c r="X57" i="16"/>
  <c r="X29" i="16"/>
  <c r="X20" i="16"/>
  <c r="X54" i="16"/>
  <c r="X94" i="16"/>
  <c r="X58" i="16"/>
  <c r="X90" i="16"/>
  <c r="Y90" i="16" s="1"/>
  <c r="X39" i="16"/>
  <c r="X28" i="16"/>
  <c r="X89" i="16"/>
  <c r="Y89" i="16" s="1"/>
  <c r="X30" i="16"/>
  <c r="X98" i="16"/>
  <c r="X52" i="16"/>
  <c r="X24" i="16"/>
  <c r="X101" i="16"/>
  <c r="Y101" i="16" s="1"/>
  <c r="X60" i="16"/>
  <c r="X34" i="16"/>
  <c r="X72" i="16"/>
  <c r="X62" i="16"/>
  <c r="X106" i="16"/>
  <c r="Y106" i="16" s="1"/>
  <c r="X103" i="16"/>
  <c r="Y103" i="16" s="1"/>
  <c r="X92" i="16"/>
  <c r="Y92" i="16" s="1"/>
  <c r="X64" i="16"/>
  <c r="X93" i="16"/>
  <c r="X8" i="16"/>
  <c r="X102" i="16"/>
  <c r="Y102" i="16" s="1"/>
  <c r="X88" i="16"/>
  <c r="Y88" i="16" s="1"/>
  <c r="X104" i="16"/>
  <c r="Y104" i="16" s="1"/>
  <c r="X61" i="16"/>
  <c r="X83" i="16"/>
  <c r="Y83" i="16" s="1"/>
  <c r="X100" i="16"/>
  <c r="Y100" i="16" s="1"/>
  <c r="X77" i="16"/>
  <c r="X38" i="16"/>
  <c r="X87" i="16"/>
  <c r="Y87" i="16" s="1"/>
  <c r="X27" i="16"/>
  <c r="X71" i="16"/>
  <c r="X82" i="16"/>
  <c r="Y82" i="16" s="1"/>
  <c r="X53" i="16"/>
  <c r="Z53" i="16" s="1"/>
  <c r="X85" i="16"/>
  <c r="Y85" i="16" s="1"/>
  <c r="X18" i="16"/>
  <c r="Y18" i="16" s="1"/>
  <c r="X3" i="16"/>
  <c r="Y3" i="16" s="1"/>
  <c r="X12" i="16"/>
  <c r="Z12" i="16" s="1"/>
  <c r="X10" i="16"/>
  <c r="X13" i="16"/>
  <c r="Y13" i="16" s="1"/>
  <c r="X9" i="16"/>
  <c r="Z50" i="16"/>
  <c r="Y17" i="16"/>
  <c r="Z17" i="16"/>
  <c r="X6" i="16"/>
  <c r="Z6" i="16" s="1"/>
  <c r="X16" i="16"/>
  <c r="Z11" i="16"/>
  <c r="Y11" i="16"/>
  <c r="Z19" i="16"/>
  <c r="Y5" i="16"/>
  <c r="Z5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5" i="16"/>
  <c r="AA106" i="16"/>
  <c r="AA107" i="16"/>
  <c r="AA108" i="16"/>
  <c r="AA109" i="16"/>
  <c r="AA110" i="16"/>
  <c r="AA3" i="16"/>
  <c r="W80" i="16"/>
  <c r="Z51" i="16" l="1"/>
  <c r="Y53" i="16"/>
  <c r="Z18" i="16"/>
  <c r="Y61" i="16"/>
  <c r="Z61" i="16"/>
  <c r="Z52" i="16"/>
  <c r="Y52" i="16"/>
  <c r="Y94" i="16"/>
  <c r="Z94" i="16"/>
  <c r="Z4" i="16"/>
  <c r="Y4" i="16"/>
  <c r="Y75" i="16"/>
  <c r="Z75" i="16"/>
  <c r="Y73" i="16"/>
  <c r="Z73" i="16"/>
  <c r="Z42" i="16"/>
  <c r="Y42" i="16"/>
  <c r="Y7" i="16"/>
  <c r="Z7" i="16"/>
  <c r="Z71" i="16"/>
  <c r="Y71" i="16"/>
  <c r="Y98" i="16"/>
  <c r="Z98" i="16"/>
  <c r="Z54" i="16"/>
  <c r="Y54" i="16"/>
  <c r="Z47" i="16"/>
  <c r="Y47" i="16"/>
  <c r="Y70" i="16"/>
  <c r="Z70" i="16"/>
  <c r="Y69" i="16"/>
  <c r="Z69" i="16"/>
  <c r="Y37" i="16"/>
  <c r="Z37" i="16"/>
  <c r="Y96" i="16"/>
  <c r="Z96" i="16"/>
  <c r="Z27" i="16"/>
  <c r="Y27" i="16"/>
  <c r="Z62" i="16"/>
  <c r="Y62" i="16"/>
  <c r="Z30" i="16"/>
  <c r="Y30" i="16"/>
  <c r="Y20" i="16"/>
  <c r="Z20" i="16"/>
  <c r="Y26" i="16"/>
  <c r="Z26" i="16"/>
  <c r="Y33" i="16"/>
  <c r="Z33" i="16"/>
  <c r="Z31" i="16"/>
  <c r="Y31" i="16"/>
  <c r="Y15" i="16"/>
  <c r="Z15" i="16"/>
  <c r="Z66" i="16"/>
  <c r="Y66" i="16"/>
  <c r="Y72" i="16"/>
  <c r="Z72" i="16"/>
  <c r="Z29" i="16"/>
  <c r="Y29" i="16"/>
  <c r="Y63" i="16"/>
  <c r="Z63" i="16"/>
  <c r="Y41" i="16"/>
  <c r="Z41" i="16"/>
  <c r="Y22" i="16"/>
  <c r="Z22" i="16"/>
  <c r="Y99" i="16"/>
  <c r="Z99" i="16"/>
  <c r="Y40" i="16"/>
  <c r="Z40" i="16"/>
  <c r="Z38" i="16"/>
  <c r="Y38" i="16"/>
  <c r="Y8" i="16"/>
  <c r="Z8" i="16"/>
  <c r="Z34" i="16"/>
  <c r="Y34" i="16"/>
  <c r="Y28" i="16"/>
  <c r="Z28" i="16"/>
  <c r="Y57" i="16"/>
  <c r="Z57" i="16"/>
  <c r="Y56" i="16"/>
  <c r="Z56" i="16"/>
  <c r="Y35" i="16"/>
  <c r="Z35" i="16"/>
  <c r="Z67" i="16"/>
  <c r="Y67" i="16"/>
  <c r="Z77" i="16"/>
  <c r="Y77" i="16"/>
  <c r="Y93" i="16"/>
  <c r="Z93" i="16"/>
  <c r="Z60" i="16"/>
  <c r="Y60" i="16"/>
  <c r="Y39" i="16"/>
  <c r="Z39" i="16"/>
  <c r="Y97" i="16"/>
  <c r="Z97" i="16"/>
  <c r="Z74" i="16"/>
  <c r="Y74" i="16"/>
  <c r="Y59" i="16"/>
  <c r="Z59" i="16"/>
  <c r="Z32" i="16"/>
  <c r="Y32" i="16"/>
  <c r="Y76" i="16"/>
  <c r="Z76" i="16"/>
  <c r="Z64" i="16"/>
  <c r="Y64" i="16"/>
  <c r="Y43" i="16"/>
  <c r="Z43" i="16"/>
  <c r="Z55" i="16"/>
  <c r="Y55" i="16"/>
  <c r="Y25" i="16"/>
  <c r="Z25" i="16"/>
  <c r="Z24" i="16"/>
  <c r="Y24" i="16"/>
  <c r="Y58" i="16"/>
  <c r="Z58" i="16"/>
  <c r="Y36" i="16"/>
  <c r="Z36" i="16"/>
  <c r="Y21" i="16"/>
  <c r="Z21" i="16"/>
  <c r="Y14" i="16"/>
  <c r="Z14" i="16"/>
  <c r="Y95" i="16"/>
  <c r="Z95" i="16"/>
  <c r="Y68" i="16"/>
  <c r="Z68" i="16"/>
  <c r="Z3" i="16"/>
  <c r="Z13" i="16"/>
  <c r="Y12" i="16"/>
  <c r="Y6" i="16"/>
  <c r="Y9" i="16"/>
  <c r="Z9" i="16"/>
  <c r="Z10" i="16"/>
  <c r="Y10" i="16"/>
  <c r="Z16" i="16"/>
  <c r="Y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X65" i="16" l="1"/>
  <c r="Z65" i="16" s="1"/>
  <c r="X79" i="16"/>
  <c r="X78" i="16"/>
  <c r="Z79" i="16" l="1"/>
  <c r="Y79" i="16"/>
  <c r="Y65" i="16"/>
  <c r="Z78" i="16"/>
  <c r="Y78" i="16"/>
  <c r="AB5" i="16"/>
  <c r="AE60" i="16"/>
  <c r="AE61" i="16"/>
  <c r="AE62" i="16"/>
  <c r="AE63" i="16"/>
  <c r="AE64" i="16"/>
  <c r="AE59" i="16"/>
  <c r="J81" i="16"/>
  <c r="AB49" i="16" l="1"/>
  <c r="X109" i="16"/>
  <c r="AB109" i="16" s="1"/>
  <c r="AB18" i="16"/>
  <c r="AB87" i="16"/>
  <c r="AB93" i="16"/>
  <c r="AB61" i="16"/>
  <c r="AB106" i="16"/>
  <c r="AB62" i="16"/>
  <c r="AB30" i="16"/>
  <c r="AB91" i="16"/>
  <c r="AB105" i="16"/>
  <c r="AB95" i="16"/>
  <c r="AB10" i="16"/>
  <c r="AB12" i="16"/>
  <c r="AB97" i="16"/>
  <c r="AB99" i="16"/>
  <c r="AB16" i="16"/>
  <c r="AB19" i="16"/>
  <c r="AB88" i="16"/>
  <c r="AB20" i="16"/>
  <c r="AB90" i="16"/>
  <c r="AB53" i="16"/>
  <c r="AB6" i="16"/>
  <c r="AB14" i="16"/>
  <c r="AB96" i="16"/>
  <c r="AB47" i="16"/>
  <c r="AB85" i="16"/>
  <c r="AB55" i="16"/>
  <c r="AB65" i="16"/>
  <c r="AB52" i="16"/>
  <c r="AB7" i="16"/>
  <c r="AB58" i="16"/>
  <c r="AB89" i="16"/>
  <c r="AB66" i="16"/>
  <c r="AB57" i="16"/>
  <c r="AB9" i="16"/>
  <c r="AB21" i="16"/>
  <c r="AB8" i="16"/>
  <c r="AB79" i="16"/>
  <c r="AB50" i="16"/>
  <c r="AB63" i="16"/>
  <c r="X110" i="16"/>
  <c r="AB110" i="16" s="1"/>
  <c r="AB107" i="16"/>
  <c r="AB54" i="16"/>
  <c r="X80" i="16"/>
  <c r="AB80" i="16" s="1"/>
  <c r="AB51" i="16"/>
  <c r="AB31" i="16"/>
  <c r="AB13" i="16"/>
  <c r="AB94" i="16"/>
  <c r="AB64" i="16"/>
  <c r="AB15" i="16"/>
  <c r="AB84" i="16"/>
  <c r="AB83" i="16"/>
  <c r="AB92" i="16"/>
  <c r="X108" i="16"/>
  <c r="AB108" i="16" s="1"/>
  <c r="AB17" i="16"/>
  <c r="AB86" i="16"/>
  <c r="AB59" i="16"/>
  <c r="AB60" i="16"/>
  <c r="AB98" i="16"/>
  <c r="AB56" i="16"/>
  <c r="AB82" i="16" l="1"/>
  <c r="AB3" i="16"/>
  <c r="AD3" i="16"/>
  <c r="X81" i="16"/>
  <c r="AB81" i="16" s="1"/>
  <c r="X48" i="16"/>
  <c r="X111" i="16"/>
  <c r="Z85" i="16" l="1"/>
  <c r="H128" i="15" l="1"/>
  <c r="H129" i="15"/>
  <c r="H131" i="15"/>
  <c r="H132" i="15"/>
  <c r="H133" i="15"/>
  <c r="H134" i="15"/>
  <c r="H135" i="15"/>
  <c r="H136" i="15"/>
  <c r="H137" i="15"/>
  <c r="H138" i="15"/>
  <c r="H139" i="15"/>
  <c r="C264" i="14" s="1"/>
  <c r="H140" i="15"/>
  <c r="H141" i="15"/>
  <c r="H142" i="15"/>
  <c r="H143" i="15"/>
  <c r="H121" i="16" s="1"/>
  <c r="H127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21" i="16" s="1"/>
  <c r="F111" i="8"/>
  <c r="F112" i="8"/>
  <c r="F95" i="8"/>
  <c r="D252" i="14" s="1"/>
  <c r="F252" i="14" l="1"/>
  <c r="K57" i="15"/>
  <c r="K58" i="15"/>
  <c r="K59" i="15"/>
  <c r="K60" i="15"/>
  <c r="J61" i="15"/>
  <c r="K61" i="15"/>
  <c r="J62" i="15"/>
  <c r="K62" i="15"/>
  <c r="Y80" i="16" l="1"/>
  <c r="J111" i="16" l="1"/>
  <c r="J48" i="16"/>
  <c r="H130" i="15" l="1"/>
  <c r="J63" i="15"/>
  <c r="K63" i="15"/>
  <c r="S82" i="16" l="1"/>
  <c r="Z90" i="16" l="1"/>
  <c r="Z86" i="16"/>
  <c r="Z91" i="16"/>
  <c r="U82" i="16"/>
  <c r="V82" i="16"/>
  <c r="Z82" i="16" s="1"/>
  <c r="Z83" i="16"/>
  <c r="Z87" i="16"/>
  <c r="Z92" i="16"/>
  <c r="Z89" i="16"/>
  <c r="Z88" i="16"/>
  <c r="Z84" i="16"/>
  <c r="K111" i="16" l="1"/>
  <c r="L111" i="16"/>
  <c r="M111" i="16"/>
  <c r="N111" i="16"/>
  <c r="O111" i="16"/>
  <c r="P111" i="16"/>
  <c r="Q111" i="16"/>
  <c r="W65" i="16"/>
  <c r="W108" i="16" l="1"/>
  <c r="Y108" i="16"/>
  <c r="W109" i="16"/>
  <c r="Y109" i="16"/>
  <c r="W110" i="16"/>
  <c r="Y110" i="16"/>
  <c r="T48" i="16" l="1"/>
  <c r="K81" i="16" l="1"/>
  <c r="L81" i="16"/>
  <c r="M81" i="16"/>
  <c r="N81" i="16"/>
  <c r="O81" i="16"/>
  <c r="P81" i="16"/>
  <c r="Q81" i="16"/>
  <c r="R81" i="16"/>
  <c r="J5" i="38" l="1"/>
  <c r="U10" i="44" l="1"/>
  <c r="L12" i="38"/>
  <c r="M12" i="38" s="1"/>
  <c r="W84" i="16" s="1"/>
  <c r="U25" i="44"/>
  <c r="U9" i="44"/>
  <c r="L11" i="38"/>
  <c r="M11" i="38" s="1"/>
  <c r="W51" i="16" s="1"/>
  <c r="U24" i="44"/>
  <c r="U16" i="44"/>
  <c r="L18" i="38"/>
  <c r="M18" i="38" s="1"/>
  <c r="W86" i="16" s="1"/>
  <c r="U8" i="44"/>
  <c r="L10" i="38"/>
  <c r="M10" i="38" s="1"/>
  <c r="W4" i="16" s="1"/>
  <c r="U23" i="44"/>
  <c r="U7" i="44"/>
  <c r="L9" i="38"/>
  <c r="M9" i="38" s="1"/>
  <c r="W50" i="16" s="1"/>
  <c r="U22" i="44"/>
  <c r="U14" i="44"/>
  <c r="L16" i="38"/>
  <c r="M16" i="38" s="1"/>
  <c r="W7" i="16" s="1"/>
  <c r="U6" i="44"/>
  <c r="L8" i="38"/>
  <c r="M8" i="38" s="1"/>
  <c r="W3" i="16" s="1"/>
  <c r="U17" i="44"/>
  <c r="L19" i="38"/>
  <c r="M19" i="38" s="1"/>
  <c r="W53" i="16" s="1"/>
  <c r="U5" i="44"/>
  <c r="L7" i="38"/>
  <c r="M7" i="38" s="1"/>
  <c r="U18" i="44"/>
  <c r="L20" i="38"/>
  <c r="M20" i="38" s="1"/>
  <c r="W8" i="16" s="1"/>
  <c r="U15" i="44"/>
  <c r="L17" i="38"/>
  <c r="M17" i="38" s="1"/>
  <c r="W85" i="16" s="1"/>
  <c r="U13" i="44"/>
  <c r="L15" i="38"/>
  <c r="M15" i="38" s="1"/>
  <c r="W6" i="16" s="1"/>
  <c r="U20" i="44"/>
  <c r="L22" i="38"/>
  <c r="M22" i="38" s="1"/>
  <c r="W9" i="16" s="1"/>
  <c r="U12" i="44"/>
  <c r="L14" i="38"/>
  <c r="M14" i="38" s="1"/>
  <c r="W52" i="16" s="1"/>
  <c r="U4" i="44"/>
  <c r="L6" i="38"/>
  <c r="M6" i="38" s="1"/>
  <c r="W82" i="16" s="1"/>
  <c r="U21" i="44"/>
  <c r="U19" i="44"/>
  <c r="L21" i="38"/>
  <c r="M21" i="38" s="1"/>
  <c r="W54" i="16" s="1"/>
  <c r="U11" i="44"/>
  <c r="L13" i="38"/>
  <c r="M13" i="38" s="1"/>
  <c r="W5" i="16" s="1"/>
  <c r="K3" i="44"/>
  <c r="K95" i="44" s="1"/>
  <c r="K97" i="44" s="1"/>
  <c r="L5" i="38"/>
  <c r="M5" i="38" s="1"/>
  <c r="N7" i="38" l="1"/>
  <c r="W83" i="16"/>
  <c r="N5" i="38"/>
  <c r="W49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81" i="16" l="1"/>
  <c r="W48" i="16"/>
  <c r="AE3" i="16"/>
  <c r="Y81" i="16" l="1"/>
  <c r="Z105" i="16"/>
  <c r="Y48" i="16" l="1"/>
  <c r="J113" i="38"/>
  <c r="G121" i="16"/>
  <c r="F151" i="14" l="1"/>
  <c r="J254" i="14" s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K48" i="16" l="1"/>
  <c r="L48" i="16"/>
  <c r="M48" i="16"/>
  <c r="N48" i="16"/>
  <c r="Z109" i="16" l="1"/>
  <c r="Z110" i="16"/>
  <c r="Z108" i="16"/>
  <c r="Z107" i="16"/>
  <c r="Z106" i="16" l="1"/>
  <c r="K113" i="38"/>
  <c r="M113" i="38" l="1"/>
  <c r="M114" i="38" s="1"/>
  <c r="N113" i="38" l="1"/>
  <c r="E4" i="11"/>
  <c r="E5" i="11" s="1"/>
  <c r="Z49" i="16"/>
  <c r="W111" i="16" l="1"/>
  <c r="W115" i="16" l="1"/>
  <c r="S111" i="16"/>
  <c r="T111" i="16"/>
  <c r="U111" i="16" l="1"/>
  <c r="F5" i="37" l="1"/>
  <c r="F6" i="37" s="1"/>
  <c r="F7" i="37" s="1"/>
  <c r="AV78" i="14"/>
  <c r="G46" i="11" l="1"/>
  <c r="G47" i="11"/>
  <c r="S81" i="16" l="1"/>
  <c r="D50" i="11" l="1"/>
  <c r="D51" i="11" s="1"/>
  <c r="Y111" i="16" l="1"/>
  <c r="J267" i="14" l="1"/>
  <c r="J255" i="14" l="1"/>
  <c r="C256" i="14"/>
  <c r="AN78" i="14"/>
  <c r="H144" i="15" l="1"/>
  <c r="AJ78" i="14"/>
  <c r="AK78" i="14"/>
  <c r="AL78" i="14"/>
  <c r="AM78" i="14"/>
  <c r="B14" i="11"/>
  <c r="B15" i="11"/>
  <c r="B16" i="11"/>
  <c r="B17" i="11"/>
  <c r="B18" i="11"/>
  <c r="B24" i="11"/>
  <c r="C21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E92" i="8"/>
  <c r="D92" i="8"/>
  <c r="G125" i="15"/>
  <c r="H1" i="8"/>
  <c r="F125" i="15"/>
  <c r="F256" i="14" l="1"/>
  <c r="C18" i="11" s="1"/>
  <c r="F259" i="14"/>
  <c r="C24" i="11" s="1"/>
  <c r="F255" i="14"/>
  <c r="C17" i="11" s="1"/>
  <c r="F261" i="14"/>
  <c r="C31" i="11" s="1"/>
  <c r="C19" i="11"/>
  <c r="F253" i="14"/>
  <c r="C15" i="11" s="1"/>
  <c r="F260" i="14"/>
  <c r="F262" i="14"/>
  <c r="F258" i="14"/>
  <c r="C26" i="11" s="1"/>
  <c r="F254" i="14"/>
  <c r="C16" i="11" s="1"/>
  <c r="C14" i="11"/>
  <c r="C269" i="14"/>
  <c r="E35" i="11" l="1"/>
  <c r="E36" i="11" s="1"/>
  <c r="C28" i="11"/>
  <c r="C27" i="11" s="1"/>
  <c r="AI78" i="14" l="1"/>
  <c r="L259" i="14" l="1"/>
  <c r="L260" i="14"/>
  <c r="L261" i="14"/>
  <c r="L262" i="14"/>
  <c r="L263" i="14"/>
  <c r="L264" i="14"/>
  <c r="L265" i="14"/>
  <c r="L266" i="14"/>
  <c r="L258" i="14"/>
  <c r="Q115" i="16" l="1"/>
  <c r="R115" i="16"/>
  <c r="T81" i="16" l="1"/>
  <c r="U81" i="16" s="1"/>
  <c r="S48" i="16"/>
  <c r="U48" i="16" s="1"/>
  <c r="V111" i="16" l="1"/>
  <c r="V81" i="16"/>
  <c r="Z81" i="16" s="1"/>
  <c r="X115" i="16"/>
  <c r="V48" i="16"/>
  <c r="C9" i="11" s="1"/>
  <c r="Z48" i="16" l="1"/>
  <c r="U112" i="16"/>
  <c r="N114" i="16"/>
  <c r="N115" i="16" s="1"/>
  <c r="C30" i="11" l="1"/>
  <c r="C33" i="11"/>
  <c r="C36" i="11" s="1"/>
  <c r="G261" i="14" l="1"/>
  <c r="G259" i="14"/>
  <c r="G256" i="14"/>
  <c r="H273" i="14" l="1"/>
  <c r="AA78" i="14" l="1"/>
  <c r="T113" i="16" l="1"/>
  <c r="J114" i="16"/>
  <c r="J115" i="16" s="1"/>
  <c r="J117" i="16" s="1"/>
  <c r="K114" i="16"/>
  <c r="K115" i="16" s="1"/>
  <c r="L114" i="16"/>
  <c r="L115" i="16" s="1"/>
  <c r="M114" i="16"/>
  <c r="M115" i="16" s="1"/>
  <c r="N116" i="16"/>
  <c r="O114" i="16"/>
  <c r="O115" i="16" s="1"/>
  <c r="I122" i="16" s="1"/>
  <c r="I123" i="16" s="1"/>
  <c r="P114" i="16"/>
  <c r="P115" i="16" s="1"/>
  <c r="P116" i="16" s="1"/>
  <c r="H115" i="16"/>
  <c r="I115" i="16"/>
  <c r="G122" i="16" l="1"/>
  <c r="G123" i="16" s="1"/>
  <c r="L116" i="16"/>
  <c r="H122" i="16"/>
  <c r="H123" i="16" s="1"/>
  <c r="H119" i="16"/>
  <c r="M116" i="16"/>
  <c r="O116" i="16"/>
  <c r="U113" i="16"/>
  <c r="K116" i="16"/>
  <c r="T114" i="16"/>
  <c r="S114" i="16"/>
  <c r="X113" i="16"/>
  <c r="D4" i="11" l="1"/>
  <c r="D5" i="11" s="1"/>
  <c r="Y113" i="16"/>
  <c r="T115" i="16"/>
  <c r="S115" i="16"/>
  <c r="F126" i="16" l="1"/>
  <c r="C38" i="11" s="1"/>
  <c r="T124" i="16"/>
  <c r="T116" i="16"/>
  <c r="T120" i="16"/>
  <c r="S116" i="16"/>
  <c r="V115" i="16"/>
  <c r="U115" i="16"/>
  <c r="U116" i="16" s="1"/>
  <c r="V116" i="16" l="1"/>
  <c r="Y119" i="16"/>
  <c r="C50" i="11" l="1"/>
  <c r="C11" i="11" l="1"/>
  <c r="C10" i="11"/>
  <c r="C8" i="11" l="1"/>
  <c r="E50" i="11"/>
  <c r="D8" i="11" l="1"/>
  <c r="K119" i="16"/>
  <c r="D25" i="11" l="1"/>
  <c r="D26" i="11"/>
  <c r="D27" i="11"/>
  <c r="D15" i="11"/>
  <c r="D265" i="14" s="1"/>
  <c r="F265" i="14" s="1"/>
  <c r="D19" i="11"/>
  <c r="D18" i="11"/>
  <c r="D268" i="14" s="1"/>
  <c r="F268" i="14" s="1"/>
  <c r="D24" i="11"/>
  <c r="D17" i="11"/>
  <c r="D267" i="14" s="1"/>
  <c r="F267" i="14" s="1"/>
  <c r="D21" i="11"/>
  <c r="D14" i="11"/>
  <c r="D264" i="14" s="1"/>
  <c r="F264" i="14" s="1"/>
  <c r="C23" i="11" s="1"/>
  <c r="D16" i="11"/>
  <c r="D266" i="14" s="1"/>
  <c r="F266" i="14" s="1"/>
  <c r="S117" i="16"/>
  <c r="S118" i="16" s="1"/>
  <c r="C22" i="11" l="1"/>
  <c r="D22" i="11" s="1"/>
  <c r="D23" i="11"/>
  <c r="W116" i="16"/>
  <c r="T118" i="16"/>
  <c r="B33" i="11" l="1"/>
  <c r="D30" i="11" l="1"/>
  <c r="E8" i="11" l="1"/>
  <c r="D33" i="11" l="1"/>
  <c r="D9" i="11" l="1"/>
  <c r="D10" i="11"/>
  <c r="D11" i="11"/>
  <c r="D263" i="14"/>
  <c r="D269" i="14" s="1"/>
  <c r="F263" i="14" l="1"/>
  <c r="G263" i="14" l="1"/>
  <c r="G269" i="14" s="1"/>
  <c r="C37" i="11" s="1"/>
  <c r="D38" i="11" s="1"/>
  <c r="F269" i="14"/>
  <c r="C20" i="11"/>
  <c r="D20" i="11" l="1"/>
  <c r="C13" i="11"/>
  <c r="C35" i="11" s="1"/>
  <c r="C40" i="11" l="1"/>
  <c r="E13" i="11"/>
  <c r="D13" i="11"/>
  <c r="D36" i="11" l="1"/>
  <c r="C39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Sergio Zamora Ramírez (CMPC Pulp)</author>
  </authors>
  <commentList>
    <comment ref="C8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Sergio Zamora Ramírez (CMPC Pulp):</t>
        </r>
        <r>
          <rPr>
            <sz val="9"/>
            <color indexed="81"/>
            <rFont val="Tahoma"/>
            <family val="2"/>
          </rPr>
          <t xml:space="preserve">
Ceck in  cambiados luego
</t>
        </r>
      </text>
    </comment>
  </commentList>
</comments>
</file>

<file path=xl/sharedStrings.xml><?xml version="1.0" encoding="utf-8"?>
<sst xmlns="http://schemas.openxmlformats.org/spreadsheetml/2006/main" count="2416" uniqueCount="885">
  <si>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</si>
  <si>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</si>
  <si>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</si>
  <si>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</si>
  <si>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</si>
  <si>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</si>
  <si>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</si>
  <si>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</si>
  <si>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</si>
  <si>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</si>
  <si>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</si>
  <si>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</si>
  <si>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</si>
  <si>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</si>
  <si>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</si>
  <si>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</si>
  <si>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</si>
  <si>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</si>
  <si>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</si>
  <si>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</si>
  <si>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</si>
  <si>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</si>
  <si>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</si>
  <si>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</si>
  <si>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</si>
  <si>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</si>
  <si>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</si>
  <si>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</si>
  <si>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</si>
  <si>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</si>
  <si>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</si>
  <si>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</si>
  <si>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</si>
  <si>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</si>
  <si>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</si>
  <si>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</si>
  <si>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</si>
  <si>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</si>
  <si>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</si>
  <si>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</si>
  <si>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</si>
  <si>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</si>
  <si>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</si>
  <si>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</si>
  <si>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</si>
  <si>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</si>
  <si>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</si>
  <si>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</si>
  <si>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</si>
  <si>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</si>
  <si>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</si>
  <si>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</si>
  <si>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</si>
  <si>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</si>
  <si>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</si>
  <si>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</si>
  <si>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</si>
  <si>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</si>
  <si>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</si>
  <si>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</si>
  <si>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</si>
  <si>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</si>
  <si>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</si>
  <si>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</si>
  <si>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</si>
  <si>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</si>
  <si>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</si>
  <si>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</si>
  <si>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</si>
  <si>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</si>
  <si>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</si>
  <si>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</si>
  <si>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</si>
  <si>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</si>
  <si>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</si>
  <si>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</si>
  <si>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</si>
  <si>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</si>
  <si>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</si>
  <si>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</si>
  <si>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</si>
  <si>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</si>
  <si>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</si>
  <si>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</si>
  <si>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</si>
  <si>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</si>
  <si>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</si>
  <si>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</si>
  <si>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</si>
  <si>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</si>
  <si>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</si>
  <si>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</si>
  <si>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</si>
  <si>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</si>
  <si>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</si>
  <si>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</si>
  <si>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</si>
  <si>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</si>
  <si>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</si>
  <si>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</si>
  <si>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</si>
  <si>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</si>
  <si>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</si>
  <si>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</si>
  <si>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</si>
  <si>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</si>
  <si>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</si>
  <si>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</si>
  <si>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</si>
  <si>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</si>
  <si>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</si>
  <si>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</si>
  <si>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</si>
  <si>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</si>
  <si>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</si>
  <si>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</si>
  <si>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</si>
  <si>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</si>
  <si>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</si>
  <si>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</si>
  <si>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</si>
  <si>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</si>
  <si>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</si>
  <si>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</si>
  <si>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</si>
  <si>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</si>
  <si>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</si>
  <si>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</si>
  <si>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</si>
  <si>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</si>
  <si>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</si>
  <si>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</si>
  <si>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</si>
  <si>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</si>
  <si>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</si>
  <si>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</si>
  <si>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</si>
  <si>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</si>
  <si>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</si>
  <si>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</si>
  <si>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</si>
  <si>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</si>
  <si>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</si>
  <si>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</si>
  <si>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</si>
  <si>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</si>
  <si>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</si>
  <si>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</si>
  <si>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</si>
  <si>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</si>
  <si>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</si>
  <si>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</si>
  <si>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</si>
  <si>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</si>
  <si>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</si>
  <si>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</si>
  <si>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</si>
  <si>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</si>
  <si>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</si>
  <si>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</si>
  <si>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</si>
  <si>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</si>
  <si>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</si>
  <si>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</si>
  <si>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</si>
  <si>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</si>
  <si>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</si>
  <si>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</si>
  <si>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</si>
  <si>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</si>
  <si>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</si>
  <si>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</si>
  <si>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</si>
  <si>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</si>
  <si>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</si>
  <si>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</si>
  <si>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</si>
  <si>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</si>
  <si>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</si>
  <si>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</si>
  <si>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</si>
  <si>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</si>
  <si>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</si>
  <si>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</si>
  <si>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</si>
  <si>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</si>
  <si>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</si>
  <si>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</si>
  <si>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</si>
  <si>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</si>
  <si>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</si>
  <si>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</si>
  <si>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</si>
  <si>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</si>
  <si>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</si>
  <si>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</si>
  <si>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</si>
  <si>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</si>
  <si>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</si>
  <si>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</si>
  <si>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</si>
  <si>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</si>
  <si>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</si>
  <si>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</si>
  <si>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</si>
  <si>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</si>
  <si>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</si>
  <si>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</si>
  <si>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</si>
  <si>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</si>
  <si>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</si>
  <si>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</si>
  <si>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</si>
  <si>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</si>
  <si>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</si>
  <si>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</si>
  <si>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</si>
  <si>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</si>
  <si>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</si>
  <si>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</si>
  <si>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</si>
  <si>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</si>
  <si>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</si>
  <si>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</si>
  <si>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</si>
  <si>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</si>
  <si>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</si>
  <si>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</si>
  <si>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</si>
  <si>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</si>
  <si>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</si>
  <si>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</si>
  <si>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</si>
  <si>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</si>
  <si>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</si>
  <si>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</si>
  <si>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</si>
  <si>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</si>
  <si>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</si>
  <si>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</si>
  <si>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</si>
  <si>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</si>
  <si>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</si>
  <si>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</si>
  <si>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</si>
  <si>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</si>
  <si>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</si>
  <si>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</si>
  <si>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</si>
  <si>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</si>
  <si>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85119680</t>
  </si>
  <si>
    <t>Factura Exp</t>
  </si>
  <si>
    <t>Def</t>
  </si>
  <si>
    <t>IVA Total</t>
  </si>
  <si>
    <t>Venta $</t>
  </si>
  <si>
    <t>Direct Booking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</si>
  <si>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</si>
  <si>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</si>
  <si>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</si>
  <si>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</si>
  <si>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</si>
  <si>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</si>
  <si>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</si>
  <si>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</si>
  <si>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954010918</t>
  </si>
  <si>
    <t>1210078226</t>
  </si>
  <si>
    <t>GOOGLE *GSUITE_PASC</t>
  </si>
  <si>
    <t>Lugar</t>
  </si>
  <si>
    <t>Noches</t>
  </si>
  <si>
    <t>Habitaciones</t>
  </si>
  <si>
    <t xml:space="preserve">BANCO DE CHILE-EDWARDS             </t>
  </si>
  <si>
    <t>SANTIAGO</t>
  </si>
  <si>
    <t>20.171.646-2</t>
  </si>
  <si>
    <t>59021334</t>
  </si>
  <si>
    <t xml:space="preserve">Brandon Arostegui                            </t>
  </si>
  <si>
    <t>no encuntro</t>
  </si>
  <si>
    <t>S.P. DE ATA</t>
  </si>
  <si>
    <t>459326XXXXXXX5651</t>
  </si>
  <si>
    <t>535316XXXXXXX9839</t>
  </si>
  <si>
    <t>414740XXXXXXX3867</t>
  </si>
  <si>
    <t>377389XXXXXX3006</t>
  </si>
  <si>
    <t>498406XXXXXXX9524</t>
  </si>
  <si>
    <t>524255XXXXXXX9611</t>
  </si>
  <si>
    <t>414720XXXXXXX9940</t>
  </si>
  <si>
    <t>SPATACAMA</t>
  </si>
  <si>
    <t>DEPOSITO EN EFECTIVO POR CAJA</t>
  </si>
  <si>
    <t>24.589.336-1</t>
  </si>
  <si>
    <t>80432569</t>
  </si>
  <si>
    <t xml:space="preserve">Leticia Alessi                               </t>
  </si>
  <si>
    <t>26.334.077-9</t>
  </si>
  <si>
    <t>26334077</t>
  </si>
  <si>
    <t xml:space="preserve">NATALIA CASTAÑO                              </t>
  </si>
  <si>
    <t>23.467.075-1</t>
  </si>
  <si>
    <t>23467075</t>
  </si>
  <si>
    <t xml:space="preserve">Juany Estelo Cruz                            </t>
  </si>
  <si>
    <t>25.173.415-1</t>
  </si>
  <si>
    <t>25173415</t>
  </si>
  <si>
    <t xml:space="preserve">Silvia Perez Ibarra                          </t>
  </si>
  <si>
    <t>26.157.727-5</t>
  </si>
  <si>
    <t>19998819642</t>
  </si>
  <si>
    <t xml:space="preserve">Julio Conde                                  </t>
  </si>
  <si>
    <t>78.828.690-2</t>
  </si>
  <si>
    <t>1100476604</t>
  </si>
  <si>
    <t xml:space="preserve">Soc Comercial Conaripe Ltda                  </t>
  </si>
  <si>
    <t>EST. CENTRAL PARKING SYSTEM CHILE S.A.</t>
  </si>
  <si>
    <t>SODIMAC S.A.</t>
  </si>
  <si>
    <t>LIDER CALAMA</t>
  </si>
  <si>
    <t>CENCOSUD RETAIL S.A.</t>
  </si>
  <si>
    <t>WILSON GASPAR ALFARO GUTIERREZ</t>
  </si>
  <si>
    <t>CRISTIAN MANUEL CRUZ CRUZ</t>
  </si>
  <si>
    <t>ESTACIONAMIENTO AGRO CALAMA</t>
  </si>
  <si>
    <t>Leticia Francesconi Bulcao Izumi</t>
  </si>
  <si>
    <t>01/05/2023 11:15</t>
  </si>
  <si>
    <t>459326XXXXXXX5669</t>
  </si>
  <si>
    <t>01/05/2023 16:51</t>
  </si>
  <si>
    <t>414709XXXXXXX2815</t>
  </si>
  <si>
    <t>01/05/2023 18:40</t>
  </si>
  <si>
    <t>518791XXXXXXX3957</t>
  </si>
  <si>
    <t>01/05/2023 20:49</t>
  </si>
  <si>
    <t>553636XXXXXXX0614</t>
  </si>
  <si>
    <t>02/05/2023 11:33</t>
  </si>
  <si>
    <t>02/05/2023 16:27</t>
  </si>
  <si>
    <t>02/05/2023 19:28</t>
  </si>
  <si>
    <t>426557XXXXXXX9514</t>
  </si>
  <si>
    <t>03/05/2023 17:43</t>
  </si>
  <si>
    <t>04/05/2023 14:18</t>
  </si>
  <si>
    <t>450881XXXXXXX8326</t>
  </si>
  <si>
    <t>04/05/2023 14:31</t>
  </si>
  <si>
    <t>414709XXXXXXX8891</t>
  </si>
  <si>
    <t>05/05/2023 15:15</t>
  </si>
  <si>
    <t>531002XXXXXXX2589</t>
  </si>
  <si>
    <t>12/05/2023</t>
  </si>
  <si>
    <t>05/05/2023 15:22</t>
  </si>
  <si>
    <t>526879XXXXXXX3887</t>
  </si>
  <si>
    <t>05/05/2023 15:29</t>
  </si>
  <si>
    <t>442174XXXXXXX3753</t>
  </si>
  <si>
    <t>07/05/2023 08:54</t>
  </si>
  <si>
    <t>07/05/2023 15:20</t>
  </si>
  <si>
    <t>537812XXXXXXX5221</t>
  </si>
  <si>
    <t>07/05/2023 15:27</t>
  </si>
  <si>
    <t>553636XXXXXXX4986</t>
  </si>
  <si>
    <t>07/05/2023 18:14</t>
  </si>
  <si>
    <t>09/05/2023 08:19</t>
  </si>
  <si>
    <t>515590XXXXXXX5986</t>
  </si>
  <si>
    <t>10/05/2023 11:20</t>
  </si>
  <si>
    <t>10/05/2023 15:04</t>
  </si>
  <si>
    <t>10/05/2023 19:19</t>
  </si>
  <si>
    <t>522688XXXXXXX3381</t>
  </si>
  <si>
    <t>10/05/2023 20:26</t>
  </si>
  <si>
    <t>446867XXXXXXX5254</t>
  </si>
  <si>
    <t>10/05/2023 23:03</t>
  </si>
  <si>
    <t>515527XXXXXXX9171</t>
  </si>
  <si>
    <t>11/05/2023 16:12</t>
  </si>
  <si>
    <t>375027XXXXXX1005</t>
  </si>
  <si>
    <t>14/05/2023 09:08</t>
  </si>
  <si>
    <t>515464XXXXXXX2495</t>
  </si>
  <si>
    <t>14/05/2023 15:38</t>
  </si>
  <si>
    <t>401684XXXXXXX2020</t>
  </si>
  <si>
    <t>14/05/2023 15:43</t>
  </si>
  <si>
    <t>477175XXXXXXX7166</t>
  </si>
  <si>
    <t>14/05/2023 15:46</t>
  </si>
  <si>
    <t>520048XXXXXXX1361</t>
  </si>
  <si>
    <t>14/05/2023 18:55</t>
  </si>
  <si>
    <t>406655XXXXXXX9619</t>
  </si>
  <si>
    <t>14/05/2023 21:51</t>
  </si>
  <si>
    <t>434956XXXXXXX0761</t>
  </si>
  <si>
    <t xml:space="preserve">15/05/2023  </t>
  </si>
  <si>
    <t xml:space="preserve">17/05/2023  </t>
  </si>
  <si>
    <t>426040XXXXXXX9099</t>
  </si>
  <si>
    <t>17/05/2023 07:23</t>
  </si>
  <si>
    <t>521433XXXXXXX5625</t>
  </si>
  <si>
    <t>17/05/2023 16:54</t>
  </si>
  <si>
    <t>536119XXXXXXX9579</t>
  </si>
  <si>
    <t>17/05/2023 19:20</t>
  </si>
  <si>
    <t>22/05/2023</t>
  </si>
  <si>
    <t>Anulación $</t>
  </si>
  <si>
    <t>17/05/2023 21:48</t>
  </si>
  <si>
    <t>478769XXXXXXX2027</t>
  </si>
  <si>
    <t>18/05/2023 08:42</t>
  </si>
  <si>
    <t>552252XXXXXXX7267</t>
  </si>
  <si>
    <t>19/05/2023 09:33</t>
  </si>
  <si>
    <t>19/05/2023 10:49</t>
  </si>
  <si>
    <t>19/05/2023 16:11</t>
  </si>
  <si>
    <t>19/05/2023 17:06</t>
  </si>
  <si>
    <t>19/05/2023 21:05</t>
  </si>
  <si>
    <t>20/05/2023 08:10</t>
  </si>
  <si>
    <t>448165XXXXXXX9188</t>
  </si>
  <si>
    <t>20/05/2023 14:16</t>
  </si>
  <si>
    <t>480015XXXXXXX4035</t>
  </si>
  <si>
    <t>20/05/2023 19:08</t>
  </si>
  <si>
    <t>414720XXXXXXX3200</t>
  </si>
  <si>
    <t>21/05/2023 10:50</t>
  </si>
  <si>
    <t>21/05/2023 13:19</t>
  </si>
  <si>
    <t>420274XXXXXXX0403</t>
  </si>
  <si>
    <t>24/05/2023 07:24</t>
  </si>
  <si>
    <t>450881XXXXXXX0015</t>
  </si>
  <si>
    <t>24/05/2023 08:05</t>
  </si>
  <si>
    <t>498453XXXXXXX1643</t>
  </si>
  <si>
    <t>24/05/2023 08:57</t>
  </si>
  <si>
    <t>24/05/2023 22:15</t>
  </si>
  <si>
    <t>521433XXXXXXX3255</t>
  </si>
  <si>
    <t>25/05/2023 16:13</t>
  </si>
  <si>
    <t>26/05/2023 08:14</t>
  </si>
  <si>
    <t>534696XXXXXXX8244</t>
  </si>
  <si>
    <t>26/05/2023 18:05</t>
  </si>
  <si>
    <t>31/05/2023</t>
  </si>
  <si>
    <t>26/05/2023 21:39</t>
  </si>
  <si>
    <t>512269XXXXXXX8435</t>
  </si>
  <si>
    <t>27/05/2023 14:09</t>
  </si>
  <si>
    <t>28/05/2023 09:00</t>
  </si>
  <si>
    <t>28/05/2023 09:13</t>
  </si>
  <si>
    <t>536537XXXXXXX5112</t>
  </si>
  <si>
    <t>28/05/2023 10:11</t>
  </si>
  <si>
    <t>520048XXXXXXX3958</t>
  </si>
  <si>
    <t>28/05/2023 12:22</t>
  </si>
  <si>
    <t>490172XXXXXXX6241</t>
  </si>
  <si>
    <t>29/05/2023 08:54</t>
  </si>
  <si>
    <t>29/05/2023 08:55</t>
  </si>
  <si>
    <t>406669XXXXXXX0499</t>
  </si>
  <si>
    <t>29/05/2023 12:39</t>
  </si>
  <si>
    <t>534126XXXXXXX9685</t>
  </si>
  <si>
    <t>29/05/2023 19:01</t>
  </si>
  <si>
    <t>400612XXXXXXX8960</t>
  </si>
  <si>
    <t>30/05/2023 08:54</t>
  </si>
  <si>
    <t>550004XXXXXXX8372</t>
  </si>
  <si>
    <t>30/05/2023 10:04</t>
  </si>
  <si>
    <t>30/05/2023 10:08</t>
  </si>
  <si>
    <t>30/05/2023 11:54</t>
  </si>
  <si>
    <t>30/05/2023 13:25</t>
  </si>
  <si>
    <t>31/05/2023 19:31</t>
  </si>
  <si>
    <t>377828XXXXXX7324</t>
  </si>
  <si>
    <t>08/05/2023</t>
  </si>
  <si>
    <t>AB COMPRA DIVIS</t>
  </si>
  <si>
    <t>PAC TARJETA DE CREDITO VISA</t>
  </si>
  <si>
    <t>93</t>
  </si>
  <si>
    <t>45879121</t>
  </si>
  <si>
    <t>fact 188 DSI SpA</t>
  </si>
  <si>
    <t>45879213</t>
  </si>
  <si>
    <t>fact 11492794 Transporte , tec</t>
  </si>
  <si>
    <t>45879325</t>
  </si>
  <si>
    <t>Sueldo Mayo23</t>
  </si>
  <si>
    <t>45879252</t>
  </si>
  <si>
    <t>11.505.642-5</t>
  </si>
  <si>
    <t>690051804</t>
  </si>
  <si>
    <t xml:space="preserve">Sergio Zamora Bco Chile                      </t>
  </si>
  <si>
    <t>Pasajes Latam Sergio</t>
  </si>
  <si>
    <t>45879295</t>
  </si>
  <si>
    <t>9.694.297-4</t>
  </si>
  <si>
    <t xml:space="preserve">BANCO BICE                         </t>
  </si>
  <si>
    <t>6706983</t>
  </si>
  <si>
    <t xml:space="preserve">Jorge Baez Rojas                             </t>
  </si>
  <si>
    <t>157803001</t>
  </si>
  <si>
    <t>LATAM.COM XP OTRAS SANTIAGO</t>
  </si>
  <si>
    <t>venta casa</t>
  </si>
  <si>
    <t>PAGO ELECTRONICO DE CUENTAS TGR</t>
  </si>
  <si>
    <t>COMPRA TARJETA DEBITO</t>
  </si>
  <si>
    <t>COMERCIAL MALLKU LTDA.</t>
  </si>
  <si>
    <t>JAIME ALBERTO MARTINEZ CASTRO</t>
  </si>
  <si>
    <t>TRANSFERENCIA DE FONDOS AUTOSERVICIO</t>
  </si>
  <si>
    <t>954009685</t>
  </si>
  <si>
    <t>VIVIANA SOLEDAD RAMOS HENRIQUEZ</t>
  </si>
  <si>
    <t>BB23052611268765</t>
  </si>
  <si>
    <t>Guillermo Marin</t>
  </si>
  <si>
    <t>Kannus Cheng</t>
  </si>
  <si>
    <t>BB23053111309788</t>
  </si>
  <si>
    <t>Edwin Gómez</t>
  </si>
  <si>
    <t>Luisa Mesquita</t>
  </si>
  <si>
    <t>BB23040910857720</t>
  </si>
  <si>
    <t>Debbi Dyson</t>
  </si>
  <si>
    <t>Julio Galleguillos</t>
  </si>
  <si>
    <t>Andre Ueno</t>
  </si>
  <si>
    <t>BB23060911389186</t>
  </si>
  <si>
    <t>Jaime Galvez</t>
  </si>
  <si>
    <t>"William Hunger</t>
  </si>
  <si>
    <t>Leonardo De Mattos Bilo</t>
  </si>
  <si>
    <t>A-Expedia</t>
  </si>
  <si>
    <t>Nudrat Rashid</t>
  </si>
  <si>
    <t>Natasha Abdulghani</t>
  </si>
  <si>
    <t>BB23052811282650</t>
  </si>
  <si>
    <t>Tomás Torres</t>
  </si>
  <si>
    <t>Luis Fernando Ramos Ribeiro Goncalves</t>
  </si>
  <si>
    <t>BB23061811463453</t>
  </si>
  <si>
    <t>Andrea Cerda</t>
  </si>
  <si>
    <t>farah Marcelle</t>
  </si>
  <si>
    <t>BB23012210184940</t>
  </si>
  <si>
    <t>Jill Stokes</t>
  </si>
  <si>
    <t>Cornelia O'Mahony</t>
  </si>
  <si>
    <t>angela arrese</t>
  </si>
  <si>
    <t>Ryan Jerman</t>
  </si>
  <si>
    <t>BB23062911568522</t>
  </si>
  <si>
    <t>01/06/2023 15:01</t>
  </si>
  <si>
    <t>04/06/2023 07:52</t>
  </si>
  <si>
    <t>439701XXXXXXX9958</t>
  </si>
  <si>
    <t>04/06/2023 16:41</t>
  </si>
  <si>
    <t>414709XXXXXXX4059</t>
  </si>
  <si>
    <t>04/06/2023 17:16</t>
  </si>
  <si>
    <t>553665XXXXXXX3005</t>
  </si>
  <si>
    <t>06/06/2023 10:23</t>
  </si>
  <si>
    <t>522840XXXXXXX6893</t>
  </si>
  <si>
    <t>06/06/2023 10:44</t>
  </si>
  <si>
    <t>434956XXXXXXX4301</t>
  </si>
  <si>
    <t>07/06/2023 10:21</t>
  </si>
  <si>
    <t>550209XXXXXXX9578</t>
  </si>
  <si>
    <t>07/06/2023 10:24</t>
  </si>
  <si>
    <t>414734XXXXXXX6546</t>
  </si>
  <si>
    <t>08/06/2023 11:04</t>
  </si>
  <si>
    <t>377348XXXXXX1000</t>
  </si>
  <si>
    <t>08/06/2023 11:07</t>
  </si>
  <si>
    <t>08/06/2023 11:14</t>
  </si>
  <si>
    <t>522832XXXXXXX1147</t>
  </si>
  <si>
    <t>09/06/2023 09:27</t>
  </si>
  <si>
    <t>499818XXXXXXX1837</t>
  </si>
  <si>
    <t>12/06/2023 09:43</t>
  </si>
  <si>
    <t>423471XXXXXXX3669</t>
  </si>
  <si>
    <t>12/06/2023 10:01</t>
  </si>
  <si>
    <t>553636XXXXXXX6664</t>
  </si>
  <si>
    <t>12/06/2023 10:13</t>
  </si>
  <si>
    <t>379729XXXXXX2004</t>
  </si>
  <si>
    <t>12/06/2023 10:22</t>
  </si>
  <si>
    <t>371544XXXXXX2019</t>
  </si>
  <si>
    <t>15/06/2023 14:56</t>
  </si>
  <si>
    <t>446867XXXXXXX8508</t>
  </si>
  <si>
    <t>15/06/2023 14:58</t>
  </si>
  <si>
    <t>414720XXXXXXX7393</t>
  </si>
  <si>
    <t>16/06/2023 13:47</t>
  </si>
  <si>
    <t>553665XXXXXXX7756</t>
  </si>
  <si>
    <t>19/06/2023 11:20</t>
  </si>
  <si>
    <t>456460XXXXXXX9220</t>
  </si>
  <si>
    <t>19/06/2023 11:57</t>
  </si>
  <si>
    <t>405785XXXXXXX7761</t>
  </si>
  <si>
    <t>19/06/2023 16:57</t>
  </si>
  <si>
    <t>19/06/2023 17:31</t>
  </si>
  <si>
    <t>517805XXXXXXX5495</t>
  </si>
  <si>
    <t>19/06/2023 17:38</t>
  </si>
  <si>
    <t>20/06/2023 13:11</t>
  </si>
  <si>
    <t>425850XXXXXXX8188</t>
  </si>
  <si>
    <t>21/06/2023 10:24</t>
  </si>
  <si>
    <t>21/06/2023 14:52</t>
  </si>
  <si>
    <t>22/06/2023 15:16</t>
  </si>
  <si>
    <t>414720XXXXXXX6399</t>
  </si>
  <si>
    <t>22/06/2023 17:05</t>
  </si>
  <si>
    <t>517805XXXXXXX0235</t>
  </si>
  <si>
    <t>23/06/2023 12:56</t>
  </si>
  <si>
    <t>23/06/2023 13:15</t>
  </si>
  <si>
    <t>23/06/2023 13:17</t>
  </si>
  <si>
    <t>24/06/2023 11:28</t>
  </si>
  <si>
    <t>466763XXXXXXX5790</t>
  </si>
  <si>
    <t>24/06/2023 15:28</t>
  </si>
  <si>
    <t>434956XXXXXXX0769</t>
  </si>
  <si>
    <t>24/06/2023 16:57</t>
  </si>
  <si>
    <t>371296XXXXXX4001</t>
  </si>
  <si>
    <t>24/06/2023 17:11</t>
  </si>
  <si>
    <t>553636XXXXXXX5852</t>
  </si>
  <si>
    <t>26/06/2023 15:40</t>
  </si>
  <si>
    <t>552486XXXXXXX7129</t>
  </si>
  <si>
    <t>26/06/2023 16:05</t>
  </si>
  <si>
    <t>26/06/2023 21:07</t>
  </si>
  <si>
    <t>540477XXXXXXX1686</t>
  </si>
  <si>
    <t>26/06/2023 22:44</t>
  </si>
  <si>
    <t>522832XXXXXXX3508</t>
  </si>
  <si>
    <t>27/06/2023 07:25</t>
  </si>
  <si>
    <t>559800XXXXXXX0067</t>
  </si>
  <si>
    <t>27/06/2023 15:24</t>
  </si>
  <si>
    <t>520048XXXXXXX3428</t>
  </si>
  <si>
    <t>27/06/2023 15:36</t>
  </si>
  <si>
    <t>534696XXXXXXX9947</t>
  </si>
  <si>
    <t>27/06/2023 15:42</t>
  </si>
  <si>
    <t>518941XXXXXXX4750</t>
  </si>
  <si>
    <t>27/06/2023 16:07</t>
  </si>
  <si>
    <t>29/06/2023 13:18</t>
  </si>
  <si>
    <t>553636XXXXXXX2326</t>
  </si>
  <si>
    <t>29/06/2023 20:31</t>
  </si>
  <si>
    <t>440066XXXXXXX5993</t>
  </si>
  <si>
    <t>29/06/2023 23:07</t>
  </si>
  <si>
    <t>553636XXXXXXX2643</t>
  </si>
  <si>
    <t>30/06/2023 13:35</t>
  </si>
  <si>
    <t>30/06/2023 16:15</t>
  </si>
  <si>
    <t>522832XXXXXXX0827</t>
  </si>
  <si>
    <t>30/06/2023 18:08</t>
  </si>
  <si>
    <t>417958XXXXXXX9106</t>
  </si>
  <si>
    <t>30/06/2023 18:22</t>
  </si>
  <si>
    <t>521876XXXXXXX5625</t>
  </si>
  <si>
    <t>30/06/2023 19:57</t>
  </si>
  <si>
    <t>30/06/2023 20:23</t>
  </si>
  <si>
    <t>01/06/2023</t>
  </si>
  <si>
    <t>45916383</t>
  </si>
  <si>
    <t>24.555.442-7</t>
  </si>
  <si>
    <t>24555442</t>
  </si>
  <si>
    <t xml:space="preserve">Filiberto Viillagra Catacora                 </t>
  </si>
  <si>
    <t>mant hotel 1</t>
  </si>
  <si>
    <t>05/06/2023</t>
  </si>
  <si>
    <t>46187581</t>
  </si>
  <si>
    <t>13.987.733-0</t>
  </si>
  <si>
    <t>13987733</t>
  </si>
  <si>
    <t xml:space="preserve">Jaime Escobar                                </t>
  </si>
  <si>
    <t>Tablero Electrico Hotel Pascu</t>
  </si>
  <si>
    <t>1053841654</t>
  </si>
  <si>
    <t>96.637.250-8</t>
  </si>
  <si>
    <t>Banco Santander</t>
  </si>
  <si>
    <t>68537533</t>
  </si>
  <si>
    <t>Recibidas</t>
  </si>
  <si>
    <t xml:space="preserve">AFEX TRANSFERENCIAS Y CAMBIOS </t>
  </si>
  <si>
    <t>06/06/2023</t>
  </si>
  <si>
    <t>46227578</t>
  </si>
  <si>
    <t>16.534.486-3</t>
  </si>
  <si>
    <t>16534486</t>
  </si>
  <si>
    <t xml:space="preserve">Jose Rivas                                   </t>
  </si>
  <si>
    <t>mesas y sillas</t>
  </si>
  <si>
    <t>46212417</t>
  </si>
  <si>
    <t>maders</t>
  </si>
  <si>
    <t>07/06/2023</t>
  </si>
  <si>
    <t>46309906</t>
  </si>
  <si>
    <t>12.823.700-3</t>
  </si>
  <si>
    <t>71486095</t>
  </si>
  <si>
    <t xml:space="preserve">Jose Hernandez Calderon                      </t>
  </si>
  <si>
    <t>cuotas mayo junio 23 Pascual</t>
  </si>
  <si>
    <t>46309739</t>
  </si>
  <si>
    <t>palos</t>
  </si>
  <si>
    <t>11/06/2023</t>
  </si>
  <si>
    <t>46530552</t>
  </si>
  <si>
    <t>techo</t>
  </si>
  <si>
    <t>15/06/2023</t>
  </si>
  <si>
    <t>46738337</t>
  </si>
  <si>
    <t>acrilico filiberto</t>
  </si>
  <si>
    <t>46738299</t>
  </si>
  <si>
    <t>arena filiberto</t>
  </si>
  <si>
    <t>16/06/2023</t>
  </si>
  <si>
    <t>46834524</t>
  </si>
  <si>
    <t>Contabilidad may 23</t>
  </si>
  <si>
    <t>46834329</t>
  </si>
  <si>
    <t>10256461 fact 1591389230</t>
  </si>
  <si>
    <t>46834424</t>
  </si>
  <si>
    <t>fact 2320534049</t>
  </si>
  <si>
    <t>971206092</t>
  </si>
  <si>
    <t>Banco Security</t>
  </si>
  <si>
    <t>SOC HOTELERA ZAMORA RAMIREZ HE</t>
  </si>
  <si>
    <t>18/06/2023</t>
  </si>
  <si>
    <t>46939895</t>
  </si>
  <si>
    <t>19/06/2023</t>
  </si>
  <si>
    <t>46958236</t>
  </si>
  <si>
    <t>trabajos hotel</t>
  </si>
  <si>
    <t>21/06/2023</t>
  </si>
  <si>
    <t>47094276</t>
  </si>
  <si>
    <t>12.814.467-6</t>
  </si>
  <si>
    <t>6596282</t>
  </si>
  <si>
    <t xml:space="preserve">Agrovet Luz Gomez                            </t>
  </si>
  <si>
    <t>factura 347</t>
  </si>
  <si>
    <t>47094034</t>
  </si>
  <si>
    <t>96.982.330-6</t>
  </si>
  <si>
    <t>21066477</t>
  </si>
  <si>
    <t xml:space="preserve">CESPA Ltda                                   </t>
  </si>
  <si>
    <t>Factura 37029</t>
  </si>
  <si>
    <t>22/06/2023</t>
  </si>
  <si>
    <t>47122761</t>
  </si>
  <si>
    <t>fact 1382165</t>
  </si>
  <si>
    <t>990529481</t>
  </si>
  <si>
    <t>23/06/2023</t>
  </si>
  <si>
    <t>47180142</t>
  </si>
  <si>
    <t>Mantenimiento 2023</t>
  </si>
  <si>
    <t>28/06/2023</t>
  </si>
  <si>
    <t>47337754</t>
  </si>
  <si>
    <t>sueldo junio 23</t>
  </si>
  <si>
    <t>47337831</t>
  </si>
  <si>
    <t>47337763</t>
  </si>
  <si>
    <t>47402009</t>
  </si>
  <si>
    <t>Sueldo junio23</t>
  </si>
  <si>
    <t>47337816</t>
  </si>
  <si>
    <t>47338096</t>
  </si>
  <si>
    <t>sueldo jun 23</t>
  </si>
  <si>
    <t>47337786</t>
  </si>
  <si>
    <t>12000087267</t>
  </si>
  <si>
    <t xml:space="preserve">NILDA CCAMA AYMA                             </t>
  </si>
  <si>
    <t>47401696</t>
  </si>
  <si>
    <t>47402032</t>
  </si>
  <si>
    <t>19.889.529-6</t>
  </si>
  <si>
    <t>19889529</t>
  </si>
  <si>
    <t xml:space="preserve">Camila Marrazzo                              </t>
  </si>
  <si>
    <t>47338064</t>
  </si>
  <si>
    <t>25.109.196-K</t>
  </si>
  <si>
    <t>25109196</t>
  </si>
  <si>
    <t xml:space="preserve">Diana Mascaya Zabal                          </t>
  </si>
  <si>
    <t>47337773</t>
  </si>
  <si>
    <t>47401740</t>
  </si>
  <si>
    <t>47337987</t>
  </si>
  <si>
    <t>15.211.994-1</t>
  </si>
  <si>
    <t>15211994</t>
  </si>
  <si>
    <t xml:space="preserve">Jose Torres Torres                           </t>
  </si>
  <si>
    <t>47338045</t>
  </si>
  <si>
    <t>Sueldojun23</t>
  </si>
  <si>
    <t>47338075</t>
  </si>
  <si>
    <t>47338024</t>
  </si>
  <si>
    <t>Sueldo Junio 23</t>
  </si>
  <si>
    <t>47338106</t>
  </si>
  <si>
    <t>29/06/2023</t>
  </si>
  <si>
    <t>47437872</t>
  </si>
  <si>
    <t>MO mantenimiento 23</t>
  </si>
  <si>
    <t>798763568</t>
  </si>
  <si>
    <t>798763619</t>
  </si>
  <si>
    <t>798763527</t>
  </si>
  <si>
    <t>798763468</t>
  </si>
  <si>
    <t>798763485</t>
  </si>
  <si>
    <t>799080040</t>
  </si>
  <si>
    <t>PAGO CREDITO D01210078226 026/060</t>
  </si>
  <si>
    <t>TRANSFER DE AFEX LTDA</t>
  </si>
  <si>
    <t>801507922</t>
  </si>
  <si>
    <t>801774140</t>
  </si>
  <si>
    <t>801856042</t>
  </si>
  <si>
    <t>802425834</t>
  </si>
  <si>
    <t>802425803</t>
  </si>
  <si>
    <t>COMISION POR PLAN CTA CTE (CUOTA 12)</t>
  </si>
  <si>
    <t>4430575</t>
  </si>
  <si>
    <t>12/06/2023</t>
  </si>
  <si>
    <t>804266094</t>
  </si>
  <si>
    <t>805690629</t>
  </si>
  <si>
    <t>805691022</t>
  </si>
  <si>
    <t>806283789</t>
  </si>
  <si>
    <t>806283749</t>
  </si>
  <si>
    <t>806283769</t>
  </si>
  <si>
    <t>TRANSFER DE TURISMO ZAMOR</t>
  </si>
  <si>
    <t>807486105</t>
  </si>
  <si>
    <t>Transfer a CESPA LTDA</t>
  </si>
  <si>
    <t>921066477</t>
  </si>
  <si>
    <t>808489848</t>
  </si>
  <si>
    <t>808808133</t>
  </si>
  <si>
    <t>CARGO COM OP</t>
  </si>
  <si>
    <t>809234092</t>
  </si>
  <si>
    <t>811269630</t>
  </si>
  <si>
    <t>811269623</t>
  </si>
  <si>
    <t>811269651</t>
  </si>
  <si>
    <t>811269637</t>
  </si>
  <si>
    <t>811269537</t>
  </si>
  <si>
    <t>811269519</t>
  </si>
  <si>
    <t>811269564</t>
  </si>
  <si>
    <t>811269555</t>
  </si>
  <si>
    <t>811269606</t>
  </si>
  <si>
    <t>811269617</t>
  </si>
  <si>
    <t>811269589</t>
  </si>
  <si>
    <t>811269597</t>
  </si>
  <si>
    <t>811269728</t>
  </si>
  <si>
    <t>811269689</t>
  </si>
  <si>
    <t>811269678</t>
  </si>
  <si>
    <t>811269667</t>
  </si>
  <si>
    <t>811269708</t>
  </si>
  <si>
    <t>811549243</t>
  </si>
  <si>
    <t>30/06/2023</t>
  </si>
  <si>
    <t>ABONO OP RECIB 62300294414</t>
  </si>
  <si>
    <t>ABONO OP RECIB 62300302794</t>
  </si>
  <si>
    <t>ABONO OP RECIB 62300316797</t>
  </si>
  <si>
    <t>ABONO OP RECIB 62300325526</t>
  </si>
  <si>
    <t>ABONO OP RECIB 62300333760</t>
  </si>
  <si>
    <t>ABONO OP RECIB 09009098969</t>
  </si>
  <si>
    <t>CARGO COMP DIVI 09001600136</t>
  </si>
  <si>
    <t>ABONO OP RECIB 62300343693</t>
  </si>
  <si>
    <t>UNIFICADO ENTEL SA SANTIAGO</t>
  </si>
  <si>
    <t>MP *MERCADO LIB SANTIAGO</t>
  </si>
  <si>
    <t>2206 24430993171091262014127</t>
  </si>
  <si>
    <t>MSFT * E0300NXFJI</t>
  </si>
  <si>
    <t>US$ 9,82</t>
  </si>
  <si>
    <t>2906 24492163179000019622261</t>
  </si>
  <si>
    <t>US$ 90</t>
  </si>
  <si>
    <t>0307 24692163182102919224439</t>
  </si>
  <si>
    <t>US$ 54</t>
  </si>
  <si>
    <t>TRANSFERENCIA A BCI/MACH PARA Soc Hoteler Zamora Ramire z Hn</t>
  </si>
  <si>
    <t>vestuario</t>
  </si>
  <si>
    <t xml:space="preserve">mantenimiento anual </t>
  </si>
  <si>
    <t>01-6-2023</t>
  </si>
  <si>
    <t>1505 00165240</t>
  </si>
  <si>
    <t>15/05/2023</t>
  </si>
  <si>
    <t>MONTO CANCELADO</t>
  </si>
  <si>
    <t>1005 10594067</t>
  </si>
  <si>
    <t>1505 11387672</t>
  </si>
  <si>
    <t>TRANSPORTE APOQUIND SANTIAGO</t>
  </si>
  <si>
    <t>1505 11425392</t>
  </si>
  <si>
    <t>RESTAURANT ADOBE S.P. DE ATAC</t>
  </si>
  <si>
    <t>1505 10315512</t>
  </si>
  <si>
    <t>13/05/2023</t>
  </si>
  <si>
    <t>PETROBRAS MIGUEL GR CALAMA</t>
  </si>
  <si>
    <t>1505 11530705</t>
  </si>
  <si>
    <t>1505 11530814</t>
  </si>
  <si>
    <t>1505 18625308</t>
  </si>
  <si>
    <t>TAXIS DE TURISMO AE SANTIAGO</t>
  </si>
  <si>
    <t>1505 09850796</t>
  </si>
  <si>
    <t>MERCADOPAGO*SPLITTE LAS CONDES</t>
  </si>
  <si>
    <t>LAS CONDES</t>
  </si>
  <si>
    <t>2305 83509557</t>
  </si>
  <si>
    <t>MERPAGO*MERCADOLIBR LO ESPEJO</t>
  </si>
  <si>
    <t>LO ESPEJO</t>
  </si>
  <si>
    <t>0206 10499913</t>
  </si>
  <si>
    <t>0506 38494195</t>
  </si>
  <si>
    <t>MERPAGO*SPLITTERMP5 SANTIAGO</t>
  </si>
  <si>
    <t>0606 11904835</t>
  </si>
  <si>
    <t>ENTEL RECARGA ONLIN SANTIAGO</t>
  </si>
  <si>
    <t>1205 00000000</t>
  </si>
  <si>
    <t>2205 00000000</t>
  </si>
  <si>
    <t>TRASPASO DEUDA INTERNACIONAL</t>
  </si>
  <si>
    <t>2905 00000000</t>
  </si>
  <si>
    <t>29/05/2023</t>
  </si>
  <si>
    <t>0206 00000000</t>
  </si>
  <si>
    <t>02/06/2023</t>
  </si>
  <si>
    <t>0806 00000000</t>
  </si>
  <si>
    <t>08/06/2023</t>
  </si>
  <si>
    <t>Materiales electrico tablero</t>
  </si>
  <si>
    <t>mascara 3M</t>
  </si>
  <si>
    <t>COPEC CALAMA 448682</t>
  </si>
  <si>
    <t>448682</t>
  </si>
  <si>
    <t>SOC COM Y DISTRIB JIUSAN GROUP LTDA</t>
  </si>
  <si>
    <t>COPEC RUTA 27 959434</t>
  </si>
  <si>
    <t>959434</t>
  </si>
  <si>
    <t>COMERCIAL MALLKU LIMITADA</t>
  </si>
  <si>
    <t>303430</t>
  </si>
  <si>
    <t>90445 y 90446</t>
  </si>
  <si>
    <t>932810</t>
  </si>
  <si>
    <t>316610</t>
  </si>
  <si>
    <t>JUMBO PORTAL CALA 945934</t>
  </si>
  <si>
    <t>945934</t>
  </si>
  <si>
    <t>JUMBO PORTAL CALA 959910</t>
  </si>
  <si>
    <t>959910</t>
  </si>
  <si>
    <t>JUMBO PORTAL CALA 966470</t>
  </si>
  <si>
    <t>966470</t>
  </si>
  <si>
    <t>HIP LIDER CALAMA 336930</t>
  </si>
  <si>
    <t>336930</t>
  </si>
  <si>
    <t>HIP LIDER CALAMA 371634</t>
  </si>
  <si>
    <t>371634</t>
  </si>
  <si>
    <t>HIP LIDER CALAMA 412346</t>
  </si>
  <si>
    <t>412346</t>
  </si>
  <si>
    <t>CA 12 FALS 590854</t>
  </si>
  <si>
    <t>590854</t>
  </si>
  <si>
    <t>20/06/2023</t>
  </si>
  <si>
    <t>COPEC RUTA 27 600394</t>
  </si>
  <si>
    <t>600394</t>
  </si>
  <si>
    <t>FERRETERIA SAN PE 479606</t>
  </si>
  <si>
    <t>479606</t>
  </si>
  <si>
    <t>FERRETERÍA SAN PEDRO CRISTIAN MANUEL CRUZ CRUZ</t>
  </si>
  <si>
    <t>FERRETERIA PEREZ 767004</t>
  </si>
  <si>
    <t>767004</t>
  </si>
  <si>
    <t>FERRETERÍA PÉRES Y REYES LTDA.</t>
  </si>
  <si>
    <t>27/06/2023</t>
  </si>
  <si>
    <t>268022</t>
  </si>
  <si>
    <t>DISTRIB. COMERCIAL ADMINIST. REPRESENTAC. Y SERVICIOS SPA</t>
  </si>
  <si>
    <t>695122</t>
  </si>
  <si>
    <t>WILSON ALFARO GUT 660714</t>
  </si>
  <si>
    <t>660714</t>
  </si>
  <si>
    <t>WILSON ALFARO GUT 662550</t>
  </si>
  <si>
    <t>662550</t>
  </si>
  <si>
    <t>JUMBO PORTAL CALA 870394</t>
  </si>
  <si>
    <t>870394</t>
  </si>
  <si>
    <t>JUMBO PORTAL CALA 17666</t>
  </si>
  <si>
    <t>17666</t>
  </si>
  <si>
    <t>JUMBO PORTAL CALA 884750</t>
  </si>
  <si>
    <t>884750</t>
  </si>
  <si>
    <t>HIP LIDER CALAMA 168546</t>
  </si>
  <si>
    <t>168546</t>
  </si>
  <si>
    <t>HIP LIDER CALAMA 179742</t>
  </si>
  <si>
    <t>179742</t>
  </si>
  <si>
    <t>HIP LIDER CALAMA 184810</t>
  </si>
  <si>
    <t>184810</t>
  </si>
  <si>
    <t>SODIMAC CALAMA 502630</t>
  </si>
  <si>
    <t>502630</t>
  </si>
  <si>
    <t>HIP LIDER CALAMA 770074</t>
  </si>
  <si>
    <t>770074</t>
  </si>
  <si>
    <t>CA 12 FALS 902146</t>
  </si>
  <si>
    <t>902146</t>
  </si>
  <si>
    <t>COPEC RUTA 27 128758</t>
  </si>
  <si>
    <t>128758</t>
  </si>
  <si>
    <t>COPEC RUTA 27 508174</t>
  </si>
  <si>
    <t>508174</t>
  </si>
  <si>
    <t>GIRO CAJ AUTOM, 15:38, 31/05</t>
  </si>
  <si>
    <t>GIRO CAJ AUTOM, 14:23, 03/06</t>
  </si>
  <si>
    <t>GIRO CAJ AUTOM, 13:21, 04/06</t>
  </si>
  <si>
    <t>LAVAPARABRISAS NISSAN</t>
  </si>
  <si>
    <t>MATERIALES PARA JOSÉ LUIS (SILLAS HABS)</t>
  </si>
  <si>
    <t>MARCO ANTONIO CORIA AYLLON</t>
  </si>
  <si>
    <t>COLOCACIÓN DE ALARMAS - CINTA ADHESIVA DOBLE</t>
  </si>
  <si>
    <t xml:space="preserve">1 TURNO REEMPLAZO MUCAMA - BOLETA HONORARIOS </t>
  </si>
  <si>
    <t>CELIA JUANA LLUSCO PERCA</t>
  </si>
  <si>
    <t>VARA EUCALIPTUS</t>
  </si>
  <si>
    <t>SOCIEDAD COMERCIAL RAIVNE LTDA.</t>
  </si>
  <si>
    <t>FIERRO ESTRIADO - TRABAJOS JOSÉ LUIS TECHO</t>
  </si>
  <si>
    <t>DAVID FERNANDEZ ARAMAYO</t>
  </si>
  <si>
    <t>COLA FRIA 1 KG</t>
  </si>
  <si>
    <t>SOC. PROVEEDORES AGROPECUARIOS LTDA.</t>
  </si>
  <si>
    <t>COLACIONES CIERRE HOTEL MUCAMA JUANI - BOLETA HONORARIOS</t>
  </si>
  <si>
    <t>JUANY ESTELO CRUZ</t>
  </si>
  <si>
    <t>LIJA Y BROCHA</t>
  </si>
  <si>
    <t xml:space="preserve">FERRETERA PERES Y REYES LTDA.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</si>
</sst>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66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167" fontId="8" fillId="45" borderId="1" xfId="1" applyNumberFormat="1" applyFont="1" applyFill="1" applyBorder="1" applyAlignment="1">
      <alignment horizontal="right"/>
    </xf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8" fillId="4" borderId="1" xfId="1" applyNumberFormat="1" applyFont="1" applyFill="1" applyBorder="1"/>
    <xf numFmtId="167" fontId="17" fillId="0" borderId="0" xfId="0" applyNumberFormat="1" applyFont="1" applyAlignment="1">
      <alignment horizontal="center"/>
    </xf>
    <xf numFmtId="167" fontId="8" fillId="7" borderId="1" xfId="1" applyNumberFormat="1" applyFont="1" applyFill="1" applyBorder="1"/>
    <xf numFmtId="0" fontId="49" fillId="40" borderId="29" xfId="0" applyFont="1" applyFill="1" applyBorder="1" applyAlignment="1">
      <alignment horizontal="left" vertical="center" wrapText="1"/>
    </xf>
    <xf numFmtId="41" fontId="49" fillId="40" borderId="0" xfId="49" applyFont="1" applyFill="1" applyAlignment="1">
      <alignment horizontal="left" vertical="center" wrapText="1"/>
    </xf>
    <xf numFmtId="0" fontId="43" fillId="0" borderId="22" xfId="0" applyFont="1" applyBorder="1" applyAlignment="1">
      <alignment horizontal="right" vertical="center" wrapText="1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51"/>
  <sheetViews>
    <sheetView topLeftCell="A13" workbookViewId="0">
      <selection activeCell="E6" sqref="E6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765</v>
      </c>
    </row>
    <row r="2" spans="2:8" x14ac:dyDescent="0.25">
      <c r="B2" s="6" t="s">
        <v>14</v>
      </c>
      <c r="C2" s="6"/>
      <c r="D2" s="66">
        <v>799</v>
      </c>
      <c r="F2" s="266"/>
    </row>
    <row r="3" spans="2:8" ht="15.75" x14ac:dyDescent="0.25">
      <c r="B3" s="6" t="s">
        <v>20</v>
      </c>
      <c r="C3" s="6"/>
      <c r="D3" s="32">
        <v>31500</v>
      </c>
      <c r="F3" s="215"/>
    </row>
    <row r="4" spans="2:8" x14ac:dyDescent="0.25">
      <c r="B4" s="6" t="s">
        <v>13</v>
      </c>
      <c r="C4" s="6"/>
      <c r="D4" s="6">
        <f>Jun!J115</f>
        <v>70</v>
      </c>
      <c r="E4" s="61">
        <f>+S!M113</f>
        <v>70</v>
      </c>
    </row>
    <row r="5" spans="2:8" x14ac:dyDescent="0.25">
      <c r="B5" s="6" t="s">
        <v>15</v>
      </c>
      <c r="C5" s="6"/>
      <c r="D5" s="113">
        <f>D4/(16*10)</f>
        <v>0.4375</v>
      </c>
      <c r="E5" s="113">
        <f>E4/(16*10)</f>
        <v>0.4375</v>
      </c>
      <c r="G5" s="199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11233177.928709056</v>
      </c>
      <c r="D8" s="8">
        <f>C8/D4</f>
        <v>160473.97041012938</v>
      </c>
      <c r="E8" s="5">
        <f>+D8/D2</f>
        <v>200.8435174094235</v>
      </c>
      <c r="F8" s="5"/>
      <c r="H8" s="195"/>
    </row>
    <row r="9" spans="2:8" x14ac:dyDescent="0.25">
      <c r="B9" t="s">
        <v>7</v>
      </c>
      <c r="C9" s="1">
        <f>Jun!V48/(1.038)</f>
        <v>4163581.4643545272</v>
      </c>
      <c r="D9" s="9">
        <f>C9/$C$8</f>
        <v>0.37065036188143208</v>
      </c>
    </row>
    <row r="10" spans="2:8" x14ac:dyDescent="0.25">
      <c r="B10" t="s">
        <v>197</v>
      </c>
      <c r="C10" s="1">
        <f>Jun!V81/(1.038)</f>
        <v>3713559.7302504815</v>
      </c>
      <c r="D10" s="9">
        <f>C10/$C$8</f>
        <v>0.3305885256886742</v>
      </c>
    </row>
    <row r="11" spans="2:8" x14ac:dyDescent="0.25">
      <c r="B11" t="s">
        <v>61</v>
      </c>
      <c r="C11" s="1">
        <f>Jun!V111/(1.038)</f>
        <v>3356036.7341040466</v>
      </c>
      <c r="D11" s="9">
        <f>C11/$C$8</f>
        <v>0.29876111242989367</v>
      </c>
      <c r="E11" s="1"/>
    </row>
    <row r="13" spans="2:8" x14ac:dyDescent="0.25">
      <c r="B13" s="6" t="s">
        <v>8</v>
      </c>
      <c r="C13" s="8">
        <f>SUM(C14:C21)</f>
        <v>8788929.1799999997</v>
      </c>
      <c r="D13" s="8">
        <f>C13/D4</f>
        <v>125556.13114285714</v>
      </c>
      <c r="E13" s="5">
        <f>C13+C22+C27+C30</f>
        <v>27601187.18</v>
      </c>
      <c r="F13" s="71"/>
      <c r="G13" s="83"/>
    </row>
    <row r="14" spans="2:8" x14ac:dyDescent="0.25">
      <c r="B14" t="str">
        <f>'BCI FondRendir'!B252</f>
        <v>Comisión Bco</v>
      </c>
      <c r="C14" s="1">
        <f>'BCI FondRendir'!F252</f>
        <v>53321</v>
      </c>
      <c r="D14" s="5">
        <f>C14/$D$4</f>
        <v>761.7285714285714</v>
      </c>
      <c r="E14" s="5"/>
    </row>
    <row r="15" spans="2:8" x14ac:dyDescent="0.25">
      <c r="B15" t="str">
        <f>'BCI FondRendir'!B253</f>
        <v>Comisión Booking</v>
      </c>
      <c r="C15" s="1">
        <f>+'BCI FondRendir'!F253</f>
        <v>3025159</v>
      </c>
      <c r="D15" s="5">
        <f t="shared" ref="D15:D23" si="0">C15/$D$4</f>
        <v>43216.557142857142</v>
      </c>
      <c r="E15" s="5"/>
    </row>
    <row r="16" spans="2:8" x14ac:dyDescent="0.25">
      <c r="B16" t="str">
        <f>'BCI FondRendir'!B254</f>
        <v>Comisión Expedia</v>
      </c>
      <c r="C16" s="1">
        <f>+'BCI FondRendir'!F254</f>
        <v>280949</v>
      </c>
      <c r="D16" s="5">
        <f t="shared" si="0"/>
        <v>4013.5571428571429</v>
      </c>
      <c r="E16" s="5"/>
    </row>
    <row r="17" spans="2:7" x14ac:dyDescent="0.25">
      <c r="B17" t="str">
        <f>'BCI FondRendir'!B255</f>
        <v>Comisión otras</v>
      </c>
      <c r="C17" s="1">
        <f>+'BCI FondRendir'!F255</f>
        <v>122902.18</v>
      </c>
      <c r="D17" s="5">
        <f t="shared" si="0"/>
        <v>1755.7454285714284</v>
      </c>
      <c r="E17" s="5"/>
    </row>
    <row r="18" spans="2:7" x14ac:dyDescent="0.25">
      <c r="B18" t="str">
        <f>'BCI FondRendir'!B256</f>
        <v>Costos Directos</v>
      </c>
      <c r="C18" s="1">
        <f>+'BCI FondRendir'!F256</f>
        <v>2595201</v>
      </c>
      <c r="D18" s="5">
        <f t="shared" si="0"/>
        <v>37074.300000000003</v>
      </c>
      <c r="E18" s="5"/>
    </row>
    <row r="19" spans="2:7" x14ac:dyDescent="0.25">
      <c r="C19" s="1">
        <f>+'BCI FondRendir'!F257</f>
        <v>0</v>
      </c>
      <c r="D19" s="5">
        <f t="shared" si="0"/>
        <v>0</v>
      </c>
      <c r="E19" s="5"/>
    </row>
    <row r="20" spans="2:7" x14ac:dyDescent="0.25">
      <c r="B20" t="s">
        <v>140</v>
      </c>
      <c r="C20" s="1">
        <f>'BCI FondRendir'!F263</f>
        <v>2711397</v>
      </c>
      <c r="D20" s="5">
        <f>C20/$D$4</f>
        <v>38734.242857142854</v>
      </c>
      <c r="E20" s="5"/>
    </row>
    <row r="21" spans="2:7" x14ac:dyDescent="0.25">
      <c r="B21" t="s">
        <v>53</v>
      </c>
      <c r="C21" s="1">
        <f>'BCI FondRendir'!H269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18251330</v>
      </c>
      <c r="D22" s="8">
        <f>C22/D4</f>
        <v>260733.28571428571</v>
      </c>
      <c r="E22" s="5"/>
      <c r="F22" s="5"/>
    </row>
    <row r="23" spans="2:7" x14ac:dyDescent="0.25">
      <c r="B23" t="s">
        <v>30</v>
      </c>
      <c r="C23" s="1">
        <f>'BCI FondRendir'!F264-F23</f>
        <v>11626335</v>
      </c>
      <c r="D23" s="5">
        <f t="shared" si="0"/>
        <v>166090.5</v>
      </c>
      <c r="F23" s="155"/>
    </row>
    <row r="24" spans="2:7" x14ac:dyDescent="0.25">
      <c r="B24" t="str">
        <f>'BCI FondRendir'!B259</f>
        <v>Gastos Operación</v>
      </c>
      <c r="C24" s="1">
        <f>+'BCI FondRendir'!F259</f>
        <v>4379670</v>
      </c>
      <c r="D24" s="5">
        <f>C24/$D$4</f>
        <v>62566.714285714283</v>
      </c>
      <c r="F24" s="5"/>
      <c r="G24" s="5"/>
    </row>
    <row r="25" spans="2:7" x14ac:dyDescent="0.25">
      <c r="B25" t="s">
        <v>21</v>
      </c>
      <c r="C25" s="14"/>
      <c r="D25" s="5">
        <f t="shared" ref="D25:D26" si="1">C25/$D$4</f>
        <v>0</v>
      </c>
      <c r="F25" s="83"/>
    </row>
    <row r="26" spans="2:7" x14ac:dyDescent="0.25">
      <c r="B26" t="s">
        <v>39</v>
      </c>
      <c r="C26" s="1">
        <f>'BCI FondRendir'!F258</f>
        <v>2245325</v>
      </c>
      <c r="D26" s="5">
        <f t="shared" si="1"/>
        <v>32076.071428571428</v>
      </c>
    </row>
    <row r="27" spans="2:7" x14ac:dyDescent="0.25">
      <c r="B27" s="6" t="s">
        <v>18</v>
      </c>
      <c r="C27" s="8">
        <f>SUM(C28:C29)</f>
        <v>560928</v>
      </c>
      <c r="D27" s="8">
        <f>C27/D4</f>
        <v>8013.2571428571428</v>
      </c>
    </row>
    <row r="28" spans="2:7" x14ac:dyDescent="0.25">
      <c r="B28" t="s">
        <v>19</v>
      </c>
      <c r="C28" s="1">
        <f>+'BCI FondRendir'!F262</f>
        <v>560928</v>
      </c>
    </row>
    <row r="29" spans="2:7" x14ac:dyDescent="0.25">
      <c r="C29" s="1"/>
    </row>
    <row r="30" spans="2:7" x14ac:dyDescent="0.25">
      <c r="B30" s="6" t="s">
        <v>11</v>
      </c>
      <c r="C30" s="7">
        <f>SUM(C31:C32)</f>
        <v>0</v>
      </c>
      <c r="D30" s="8">
        <f>C30/D4</f>
        <v>0</v>
      </c>
      <c r="E30" s="5"/>
    </row>
    <row r="31" spans="2:7" x14ac:dyDescent="0.25">
      <c r="B31" t="s">
        <v>11</v>
      </c>
      <c r="C31" s="1">
        <f>'BCI FondRendir'!F261</f>
        <v>0</v>
      </c>
    </row>
    <row r="32" spans="2:7" x14ac:dyDescent="0.25">
      <c r="B32" t="s">
        <v>97</v>
      </c>
      <c r="C32" s="1"/>
    </row>
    <row r="33" spans="2:13" x14ac:dyDescent="0.25">
      <c r="B33" t="str">
        <f>'BCI FondRendir'!B260</f>
        <v>Impuestos</v>
      </c>
      <c r="C33" s="1">
        <f>+'BCI FondRendir'!F260</f>
        <v>2354019</v>
      </c>
      <c r="D33" s="5">
        <f>C33/$D$4</f>
        <v>33628.842857142859</v>
      </c>
    </row>
    <row r="35" spans="2:13" x14ac:dyDescent="0.25">
      <c r="B35" s="2" t="s">
        <v>198</v>
      </c>
      <c r="C35" s="10">
        <f>C8-C13-C22-C30-C27</f>
        <v>-16368009.251290943</v>
      </c>
      <c r="E35" s="155">
        <f>+C17+C18+C24+C31</f>
        <v>7097773.1799999997</v>
      </c>
    </row>
    <row r="36" spans="2:13" x14ac:dyDescent="0.25">
      <c r="B36" s="2" t="s">
        <v>32</v>
      </c>
      <c r="C36" s="10">
        <f>C33</f>
        <v>2354019</v>
      </c>
      <c r="D36" s="10">
        <f>C35*0.25</f>
        <v>-4092002.3128227359</v>
      </c>
      <c r="E36" s="155">
        <f>+E35/1.19*0.19</f>
        <v>1133257.9026890758</v>
      </c>
    </row>
    <row r="37" spans="2:13" x14ac:dyDescent="0.25">
      <c r="B37" s="2" t="s">
        <v>85</v>
      </c>
      <c r="C37" s="10">
        <f>'BCI FondRendir'!G269</f>
        <v>1840390.92</v>
      </c>
    </row>
    <row r="38" spans="2:13" x14ac:dyDescent="0.25">
      <c r="B38" s="2" t="s">
        <v>86</v>
      </c>
      <c r="C38" s="10">
        <f>Jun!F126</f>
        <v>765043.30252100853</v>
      </c>
      <c r="D38" s="5">
        <f>+C38-C37</f>
        <v>-1075347.6174789914</v>
      </c>
    </row>
    <row r="39" spans="2:13" x14ac:dyDescent="0.25">
      <c r="B39" s="15" t="s">
        <v>16</v>
      </c>
      <c r="C39" s="16">
        <f>C35-D36</f>
        <v>-12276006.938468207</v>
      </c>
    </row>
    <row r="40" spans="2:13" x14ac:dyDescent="0.25">
      <c r="B40" s="15" t="s">
        <v>102</v>
      </c>
      <c r="C40" s="10">
        <f>C8-C13-C22</f>
        <v>-15807081.251290943</v>
      </c>
      <c r="J40" s="70"/>
      <c r="K40" s="70"/>
      <c r="L40" s="70"/>
      <c r="M40" s="70"/>
    </row>
    <row r="41" spans="2:13" x14ac:dyDescent="0.25">
      <c r="C41" s="17" t="s">
        <v>42</v>
      </c>
      <c r="D41" s="17" t="s">
        <v>43</v>
      </c>
      <c r="E41" s="17" t="s">
        <v>175</v>
      </c>
      <c r="F41" s="17" t="s">
        <v>40</v>
      </c>
      <c r="G41" s="17" t="s">
        <v>41</v>
      </c>
      <c r="J41" s="71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79"/>
    </row>
    <row r="46" spans="2:13" x14ac:dyDescent="0.25">
      <c r="B46" s="2" t="s">
        <v>184</v>
      </c>
      <c r="C46" s="10"/>
      <c r="D46" s="10"/>
      <c r="E46" s="10"/>
      <c r="F46" s="10"/>
      <c r="G46" s="10">
        <f t="shared" ref="G46:G47" si="2">F46*$D$3</f>
        <v>0</v>
      </c>
    </row>
    <row r="47" spans="2:13" x14ac:dyDescent="0.25">
      <c r="B47" s="2" t="s">
        <v>185</v>
      </c>
      <c r="C47" s="10"/>
      <c r="D47" s="10"/>
      <c r="E47" s="10"/>
      <c r="F47" s="10"/>
      <c r="G47" s="10">
        <f t="shared" si="2"/>
        <v>0</v>
      </c>
    </row>
    <row r="48" spans="2:13" x14ac:dyDescent="0.25">
      <c r="B48" s="2" t="s">
        <v>186</v>
      </c>
      <c r="C48" s="10"/>
      <c r="D48" s="10"/>
      <c r="E48" s="10"/>
      <c r="F48" s="10"/>
      <c r="G48" s="10"/>
      <c r="L48" s="155"/>
    </row>
    <row r="49" spans="2:12" x14ac:dyDescent="0.25">
      <c r="B49" s="2" t="s">
        <v>187</v>
      </c>
      <c r="C49" s="10"/>
      <c r="D49" s="10"/>
      <c r="E49" s="10"/>
      <c r="F49" s="10"/>
      <c r="G49" s="10"/>
      <c r="L49" s="155"/>
    </row>
    <row r="50" spans="2:12" x14ac:dyDescent="0.25">
      <c r="B50" s="78" t="s">
        <v>81</v>
      </c>
      <c r="C50" s="79">
        <f>SUM(C42:C49)</f>
        <v>0</v>
      </c>
      <c r="D50" s="79">
        <f>SUM(D42:D49)</f>
        <v>0</v>
      </c>
      <c r="E50" s="79">
        <f>SUM(E42:E49)</f>
        <v>0</v>
      </c>
      <c r="F50" s="79"/>
      <c r="G50" s="79"/>
    </row>
    <row r="51" spans="2:12" x14ac:dyDescent="0.25">
      <c r="B51" s="78"/>
      <c r="C51" s="79"/>
      <c r="D51" s="79">
        <f>D50*D3</f>
        <v>0</v>
      </c>
      <c r="E51" s="79"/>
      <c r="F51" s="79"/>
      <c r="G51" s="79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79"/>
  <sheetViews>
    <sheetView topLeftCell="A66" zoomScaleNormal="100" workbookViewId="0">
      <selection activeCell="I83" sqref="I83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6"/>
      <c r="B1" s="356" t="s">
        <v>191</v>
      </c>
      <c r="C1" s="357"/>
      <c r="D1" s="358"/>
      <c r="E1" s="156"/>
      <c r="F1" s="156"/>
      <c r="G1" s="156"/>
      <c r="H1" s="157"/>
      <c r="I1" s="157"/>
      <c r="J1" s="156"/>
      <c r="K1" s="361" t="s">
        <v>78</v>
      </c>
      <c r="L1" s="361"/>
      <c r="M1" s="361" t="s">
        <v>79</v>
      </c>
      <c r="N1" s="361"/>
      <c r="O1" s="361" t="s">
        <v>80</v>
      </c>
      <c r="P1" s="361"/>
      <c r="Q1" s="361" t="s">
        <v>113</v>
      </c>
      <c r="R1" s="361"/>
      <c r="S1" s="156"/>
      <c r="T1" s="156"/>
      <c r="U1" s="160"/>
      <c r="V1" s="156"/>
      <c r="W1" s="156"/>
      <c r="X1" s="156"/>
      <c r="Y1" s="156"/>
    </row>
    <row r="2" spans="1:31" ht="30" customHeight="1" x14ac:dyDescent="0.2">
      <c r="A2" s="156" t="s">
        <v>72</v>
      </c>
      <c r="B2" s="156" t="s">
        <v>188</v>
      </c>
      <c r="C2" s="156" t="s">
        <v>189</v>
      </c>
      <c r="D2" s="156" t="s">
        <v>190</v>
      </c>
      <c r="E2" s="156" t="s">
        <v>0</v>
      </c>
      <c r="F2" s="156" t="s">
        <v>44</v>
      </c>
      <c r="G2" s="156" t="s">
        <v>73</v>
      </c>
      <c r="H2" s="157" t="s">
        <v>1</v>
      </c>
      <c r="I2" s="157" t="s">
        <v>2</v>
      </c>
      <c r="J2" s="157" t="s">
        <v>3</v>
      </c>
      <c r="K2" s="158" t="s">
        <v>74</v>
      </c>
      <c r="L2" s="159" t="s">
        <v>48</v>
      </c>
      <c r="M2" s="158" t="s">
        <v>74</v>
      </c>
      <c r="N2" s="158" t="s">
        <v>48</v>
      </c>
      <c r="O2" s="158" t="s">
        <v>74</v>
      </c>
      <c r="P2" s="158" t="s">
        <v>48</v>
      </c>
      <c r="Q2" s="158" t="s">
        <v>74</v>
      </c>
      <c r="R2" s="158" t="s">
        <v>48</v>
      </c>
      <c r="S2" s="156" t="s">
        <v>75</v>
      </c>
      <c r="T2" s="156" t="s">
        <v>77</v>
      </c>
      <c r="U2" s="160" t="s">
        <v>45</v>
      </c>
      <c r="V2" s="156" t="s">
        <v>114</v>
      </c>
      <c r="W2" s="156" t="s">
        <v>44</v>
      </c>
      <c r="X2" s="198" t="s">
        <v>6</v>
      </c>
      <c r="Y2" s="156" t="s">
        <v>6</v>
      </c>
    </row>
    <row r="3" spans="1:31" ht="15" customHeight="1" x14ac:dyDescent="0.25">
      <c r="A3" s="171">
        <v>7261</v>
      </c>
      <c r="B3" s="197">
        <v>1219</v>
      </c>
      <c r="C3" s="197"/>
      <c r="D3" s="197"/>
      <c r="E3" s="172" t="s">
        <v>311</v>
      </c>
      <c r="F3" s="172" t="s">
        <v>173</v>
      </c>
      <c r="G3" s="172">
        <v>3053826027</v>
      </c>
      <c r="H3" s="173">
        <v>45080</v>
      </c>
      <c r="I3" s="173">
        <v>45081</v>
      </c>
      <c r="J3" s="172">
        <v>1</v>
      </c>
      <c r="K3" s="174"/>
      <c r="L3" s="175"/>
      <c r="M3" s="174"/>
      <c r="N3" s="174"/>
      <c r="O3" s="174"/>
      <c r="P3" s="174"/>
      <c r="Q3" s="174"/>
      <c r="R3" s="174">
        <v>188.53</v>
      </c>
      <c r="S3" s="112">
        <f t="shared" ref="S3" si="0">L3+N3+P3+R3</f>
        <v>188.53</v>
      </c>
      <c r="T3" s="112">
        <f>M3+O3+K3+Q3</f>
        <v>0</v>
      </c>
      <c r="U3" s="110">
        <f>IF(J3=0,(S3+T3/EERR!$D$2/1.19),(S3+T3/EERR!$D$2/1.19)/J3)</f>
        <v>188.53</v>
      </c>
      <c r="V3" s="112">
        <f>T3+S3*EERR!$D$2</f>
        <v>150635.47</v>
      </c>
      <c r="W3" s="27">
        <f ca="1">SUMIF(S!$A$5:$J$152,Jun!G3,S!$M$5:$M$152)</f>
        <v>1</v>
      </c>
      <c r="X3" s="177">
        <f>SUMIF(T!$A$4:$A$371,B3,T!$B$4:$B$371)+SUMIF(T!$A$4:$A$371,C3,T!$B$4:$B$371)+SUMIF(T!$A$4:$A$371,D3,T!$B$4:$B$371)+(K3+O3)+(L3+P3)*EERR!$D$2</f>
        <v>150635.47</v>
      </c>
      <c r="Y3" s="178">
        <f>X3/EERR!$D$2</f>
        <v>188.53</v>
      </c>
      <c r="Z3" s="184">
        <f t="shared" ref="Z3:Z77" si="1">+X3-V3</f>
        <v>0</v>
      </c>
      <c r="AA3" s="240">
        <f ca="1">SUMIF(S!$A$5:$J$152,Jun!G3,S!$I$5:$I$152)*EERR!$D$2*1.19</f>
        <v>179256.20929999999</v>
      </c>
      <c r="AB3" s="240">
        <f ca="1">IF(X3-AA3&lt;1000,0,X3-AA3)</f>
        <v>0</v>
      </c>
      <c r="AC3" s="240"/>
      <c r="AD3" s="240">
        <f>+X3/1.19</f>
        <v>126584.42857142858</v>
      </c>
      <c r="AE3" s="245">
        <f ca="1">AD3/W3/EERR!D2</f>
        <v>158.42857142857144</v>
      </c>
    </row>
    <row r="4" spans="1:31" ht="15" customHeight="1" x14ac:dyDescent="0.25">
      <c r="A4" s="171">
        <v>7272</v>
      </c>
      <c r="B4" s="197">
        <v>1262</v>
      </c>
      <c r="C4" s="197"/>
      <c r="D4" s="197"/>
      <c r="E4" s="172" t="s">
        <v>466</v>
      </c>
      <c r="F4" s="172" t="s">
        <v>173</v>
      </c>
      <c r="G4" s="172">
        <v>2233818993</v>
      </c>
      <c r="H4" s="173">
        <v>45096</v>
      </c>
      <c r="I4" s="173">
        <v>45102</v>
      </c>
      <c r="J4" s="172">
        <v>6</v>
      </c>
      <c r="K4" s="174"/>
      <c r="L4" s="175"/>
      <c r="M4" s="174"/>
      <c r="N4" s="174">
        <v>1185.06</v>
      </c>
      <c r="O4" s="174"/>
      <c r="P4" s="174"/>
      <c r="Q4" s="174"/>
      <c r="R4" s="174"/>
      <c r="S4" s="112">
        <f t="shared" ref="S4:S11" si="2">L4+N4+P4+R4</f>
        <v>1185.06</v>
      </c>
      <c r="T4" s="112">
        <f t="shared" ref="T4:T11" si="3">M4+O4+K4+Q4</f>
        <v>0</v>
      </c>
      <c r="U4" s="110">
        <f>IF(J4=0,(S4+T4/EERR!$D$2/1.19),(S4+T4/EERR!$D$2/1.19)/J4)</f>
        <v>197.51</v>
      </c>
      <c r="V4" s="112">
        <f>T4+S4*EERR!$D$2</f>
        <v>946862.94</v>
      </c>
      <c r="W4" s="27">
        <f ca="1">SUMIF(S!$A$5:$J$152,Jun!G4,S!$M$5:$M$152)</f>
        <v>6</v>
      </c>
      <c r="X4" s="177">
        <f>SUMIF(T!$A$4:$A$371,B4,T!$B$4:$B$371)+SUMIF(T!$A$4:$A$371,C4,T!$B$4:$B$371)+SUMIF(T!$A$4:$A$371,D4,T!$B$4:$B$371)+(K4+O4)+(L4+P4)*EERR!$D$2</f>
        <v>946862.94</v>
      </c>
      <c r="Y4" s="178">
        <f>X4/EERR!$D$2</f>
        <v>1185.06</v>
      </c>
      <c r="Z4" s="184">
        <f t="shared" si="1"/>
        <v>0</v>
      </c>
      <c r="AA4" s="240">
        <f ca="1">SUMIF(S!$A$5:$J$152,Jun!G4,S!$I$5:$I$152)*EERR!$D$2*1.19</f>
        <v>1126766.8986</v>
      </c>
      <c r="AB4" s="240"/>
      <c r="AC4" s="240"/>
      <c r="AD4" s="240"/>
      <c r="AE4" s="245"/>
    </row>
    <row r="5" spans="1:31" ht="15" customHeight="1" x14ac:dyDescent="0.25">
      <c r="A5" s="171">
        <v>1715</v>
      </c>
      <c r="B5" s="197">
        <v>1264</v>
      </c>
      <c r="C5" s="197"/>
      <c r="D5" s="197"/>
      <c r="E5" s="172" t="s">
        <v>470</v>
      </c>
      <c r="F5" s="172" t="s">
        <v>173</v>
      </c>
      <c r="G5" s="172">
        <v>3276497505</v>
      </c>
      <c r="H5" s="173">
        <v>45098</v>
      </c>
      <c r="I5" s="173">
        <v>45103</v>
      </c>
      <c r="J5" s="172">
        <v>5</v>
      </c>
      <c r="K5" s="174"/>
      <c r="L5" s="175"/>
      <c r="M5" s="174">
        <v>892501</v>
      </c>
      <c r="N5" s="174"/>
      <c r="O5" s="174"/>
      <c r="P5" s="174"/>
      <c r="Q5" s="174"/>
      <c r="R5" s="174"/>
      <c r="S5" s="112">
        <f t="shared" si="2"/>
        <v>0</v>
      </c>
      <c r="T5" s="112">
        <f t="shared" si="3"/>
        <v>892501</v>
      </c>
      <c r="U5" s="110">
        <f>IF(J5=0,(S5+T5/EERR!$D$2/1.19),(S5+T5/EERR!$D$2/1.19)/J5)</f>
        <v>187.73487868238661</v>
      </c>
      <c r="V5" s="112">
        <f>T5+S5*EERR!$D$2</f>
        <v>892501</v>
      </c>
      <c r="W5" s="27">
        <f ca="1">SUMIF(S!$A$5:$J$152,Jun!G5,S!$M$5:$M$152)</f>
        <v>5</v>
      </c>
      <c r="X5" s="177">
        <f>SUMIF(T!$A$4:$A$371,B5,T!$B$4:$B$371)+SUMIF(T!$A$4:$A$371,C5,T!$B$4:$B$371)+SUMIF(T!$A$4:$A$371,D5,T!$B$4:$B$371)+(K5+O5)+(L5+P5)*EERR!$D$2</f>
        <v>892501</v>
      </c>
      <c r="Y5" s="178">
        <f>X5/EERR!$D$2</f>
        <v>1117.0225281602002</v>
      </c>
      <c r="Z5" s="184">
        <f t="shared" si="1"/>
        <v>0</v>
      </c>
      <c r="AA5" s="240">
        <f ca="1">SUMIF(S!$A$5:$J$152,Jun!G5,S!$I$5:$I$152)*EERR!$D$2*1.19</f>
        <v>896281.04649999994</v>
      </c>
      <c r="AB5" s="240">
        <f t="shared" ref="AB5:AB50" ca="1" si="4">IF(X5-AA5&lt;1000,0,X5-AA5)</f>
        <v>0</v>
      </c>
    </row>
    <row r="6" spans="1:31" ht="15" customHeight="1" x14ac:dyDescent="0.25">
      <c r="A6" s="171">
        <v>7274</v>
      </c>
      <c r="B6" s="197">
        <v>1246</v>
      </c>
      <c r="C6" s="197">
        <v>1267</v>
      </c>
      <c r="D6" s="197"/>
      <c r="E6" s="172" t="s">
        <v>473</v>
      </c>
      <c r="F6" s="172" t="s">
        <v>173</v>
      </c>
      <c r="G6" s="172">
        <v>3117102667</v>
      </c>
      <c r="H6" s="173">
        <v>45099</v>
      </c>
      <c r="I6" s="173">
        <v>45101</v>
      </c>
      <c r="J6" s="172">
        <v>2</v>
      </c>
      <c r="K6" s="174"/>
      <c r="L6" s="175"/>
      <c r="M6" s="174"/>
      <c r="N6" s="174">
        <v>197.51</v>
      </c>
      <c r="O6" s="174"/>
      <c r="P6" s="174"/>
      <c r="Q6" s="174"/>
      <c r="R6" s="174">
        <v>197.51</v>
      </c>
      <c r="S6" s="112">
        <f t="shared" si="2"/>
        <v>395.02</v>
      </c>
      <c r="T6" s="112">
        <f t="shared" si="3"/>
        <v>0</v>
      </c>
      <c r="U6" s="110">
        <f>IF(J6=0,(S6+T6/EERR!$D$2/1.19),(S6+T6/EERR!$D$2/1.19)/J6)</f>
        <v>197.51</v>
      </c>
      <c r="V6" s="112">
        <f>T6+S6*EERR!$D$2</f>
        <v>315620.98</v>
      </c>
      <c r="W6" s="27">
        <f ca="1">SUMIF(S!$A$5:$J$152,Jun!G6,S!$M$5:$M$152)</f>
        <v>2</v>
      </c>
      <c r="X6" s="177">
        <f>SUMIF(T!$A$4:$A$371,B6,T!$B$4:$B$371)+SUMIF(T!$A$4:$A$371,C6,T!$B$4:$B$371)+SUMIF(T!$A$4:$A$371,D6,T!$B$4:$B$371)+(K6+O6)+(L6+P6)*EERR!$D$2</f>
        <v>315620.98</v>
      </c>
      <c r="Y6" s="178">
        <f>X6/EERR!$D$2</f>
        <v>395.02</v>
      </c>
      <c r="Z6" s="184">
        <f t="shared" si="1"/>
        <v>0</v>
      </c>
      <c r="AA6" s="240">
        <f ca="1">SUMIF(S!$A$5:$J$152,Jun!G6,S!$I$5:$I$152)*EERR!$D$2*1.19</f>
        <v>375588.96619999997</v>
      </c>
      <c r="AB6" s="240">
        <f t="shared" ca="1" si="4"/>
        <v>0</v>
      </c>
      <c r="AC6" s="214"/>
      <c r="AD6" s="214"/>
    </row>
    <row r="7" spans="1:31" ht="15" customHeight="1" x14ac:dyDescent="0.25">
      <c r="A7" s="171">
        <v>7273</v>
      </c>
      <c r="B7" s="197">
        <v>1261</v>
      </c>
      <c r="C7" s="197">
        <v>1268</v>
      </c>
      <c r="D7" s="197"/>
      <c r="E7" s="172" t="s">
        <v>474</v>
      </c>
      <c r="F7" s="172" t="s">
        <v>173</v>
      </c>
      <c r="G7" s="172">
        <v>2415249757</v>
      </c>
      <c r="H7" s="173">
        <v>45099</v>
      </c>
      <c r="I7" s="173">
        <v>45101</v>
      </c>
      <c r="J7" s="172">
        <v>2</v>
      </c>
      <c r="K7" s="174"/>
      <c r="L7" s="175"/>
      <c r="M7" s="174"/>
      <c r="N7" s="174">
        <v>188.53</v>
      </c>
      <c r="O7" s="174"/>
      <c r="P7" s="174"/>
      <c r="Q7" s="174"/>
      <c r="R7" s="174">
        <v>188.53</v>
      </c>
      <c r="S7" s="112">
        <f t="shared" si="2"/>
        <v>377.06</v>
      </c>
      <c r="T7" s="112">
        <f t="shared" si="3"/>
        <v>0</v>
      </c>
      <c r="U7" s="110">
        <f>IF(J7=0,(S7+T7/EERR!$D$2/1.19),(S7+T7/EERR!$D$2/1.19)/J7)</f>
        <v>188.53</v>
      </c>
      <c r="V7" s="112">
        <f>T7+S7*EERR!$D$2</f>
        <v>301270.94</v>
      </c>
      <c r="W7" s="27">
        <f ca="1">SUMIF(S!$A$5:$J$152,Jun!G7,S!$M$5:$M$152)</f>
        <v>2</v>
      </c>
      <c r="X7" s="177">
        <f>SUMIF(T!$A$4:$A$371,B7,T!$B$4:$B$371)+SUMIF(T!$A$4:$A$371,C7,T!$B$4:$B$371)+SUMIF(T!$A$4:$A$371,D7,T!$B$4:$B$371)+(K7+O7)+(L7+P7)*EERR!$D$2</f>
        <v>301270.94</v>
      </c>
      <c r="Y7" s="178">
        <f>X7/EERR!$D$2</f>
        <v>377.06</v>
      </c>
      <c r="Z7" s="184">
        <f t="shared" si="1"/>
        <v>0</v>
      </c>
      <c r="AA7" s="240">
        <f ca="1">SUMIF(S!$A$5:$J$152,Jun!G7,S!$I$5:$I$152)*EERR!$D$2*1.19</f>
        <v>358512.41859999998</v>
      </c>
      <c r="AB7" s="240">
        <f t="shared" ca="1" si="4"/>
        <v>0</v>
      </c>
      <c r="AC7" s="214"/>
      <c r="AD7" s="214"/>
    </row>
    <row r="8" spans="1:31" ht="15" customHeight="1" x14ac:dyDescent="0.25">
      <c r="A8" s="171">
        <v>7277</v>
      </c>
      <c r="B8" s="197">
        <v>1250</v>
      </c>
      <c r="C8" s="197">
        <v>1272</v>
      </c>
      <c r="D8" s="197"/>
      <c r="E8" s="172" t="s">
        <v>480</v>
      </c>
      <c r="F8" s="172" t="s">
        <v>173</v>
      </c>
      <c r="G8" s="172">
        <v>3991970263</v>
      </c>
      <c r="H8" s="173">
        <v>45101</v>
      </c>
      <c r="I8" s="173">
        <v>45107</v>
      </c>
      <c r="J8" s="172">
        <v>6</v>
      </c>
      <c r="K8" s="174"/>
      <c r="L8" s="175"/>
      <c r="M8" s="174"/>
      <c r="N8" s="174">
        <v>942.65</v>
      </c>
      <c r="O8" s="174"/>
      <c r="P8" s="174"/>
      <c r="Q8" s="174"/>
      <c r="R8" s="174">
        <v>188.53</v>
      </c>
      <c r="S8" s="112">
        <f t="shared" si="2"/>
        <v>1131.18</v>
      </c>
      <c r="T8" s="112">
        <f t="shared" si="3"/>
        <v>0</v>
      </c>
      <c r="U8" s="110">
        <f>IF(J8=0,(S8+T8/EERR!$D$2/1.19),(S8+T8/EERR!$D$2/1.19)/J8)</f>
        <v>188.53</v>
      </c>
      <c r="V8" s="112">
        <f>T8+S8*EERR!$D$2</f>
        <v>903812.82000000007</v>
      </c>
      <c r="W8" s="27">
        <f ca="1">SUMIF(S!$A$5:$J$152,Jun!G8,S!$M$5:$M$152)</f>
        <v>6</v>
      </c>
      <c r="X8" s="177">
        <f>SUMIF(T!$A$4:$A$371,B8,T!$B$4:$B$371)+SUMIF(T!$A$4:$A$371,C8,T!$B$4:$B$371)+SUMIF(T!$A$4:$A$371,D8,T!$B$4:$B$371)+(K8+O8)+(L8+P8)*EERR!$D$2</f>
        <v>903812.82</v>
      </c>
      <c r="Y8" s="178">
        <f>X8/EERR!$D$2</f>
        <v>1131.1799999999998</v>
      </c>
      <c r="Z8" s="184">
        <f t="shared" si="1"/>
        <v>0</v>
      </c>
      <c r="AA8" s="240">
        <f ca="1">SUMIF(S!$A$5:$J$152,Jun!G8,S!$I$5:$I$152)*EERR!$D$2*1.19</f>
        <v>1075537.2557999999</v>
      </c>
      <c r="AB8" s="240">
        <f t="shared" ca="1" si="4"/>
        <v>0</v>
      </c>
      <c r="AC8" s="214"/>
      <c r="AD8" s="214"/>
    </row>
    <row r="9" spans="1:31" ht="15" customHeight="1" x14ac:dyDescent="0.25">
      <c r="A9" s="171">
        <v>7278</v>
      </c>
      <c r="B9" s="197">
        <v>1252</v>
      </c>
      <c r="C9" s="197"/>
      <c r="D9" s="197"/>
      <c r="E9" s="172" t="s">
        <v>483</v>
      </c>
      <c r="F9" s="172" t="s">
        <v>173</v>
      </c>
      <c r="G9" s="172">
        <v>3533811001</v>
      </c>
      <c r="H9" s="173">
        <v>45102</v>
      </c>
      <c r="I9" s="173">
        <v>45103</v>
      </c>
      <c r="J9" s="172">
        <v>1</v>
      </c>
      <c r="K9" s="174"/>
      <c r="L9" s="175"/>
      <c r="M9" s="174"/>
      <c r="N9" s="174"/>
      <c r="O9" s="174"/>
      <c r="P9" s="174"/>
      <c r="Q9" s="174"/>
      <c r="R9" s="174">
        <v>188.53</v>
      </c>
      <c r="S9" s="112">
        <f t="shared" si="2"/>
        <v>188.53</v>
      </c>
      <c r="T9" s="112">
        <f t="shared" si="3"/>
        <v>0</v>
      </c>
      <c r="U9" s="110">
        <f>IF(J9=0,(S9+T9/EERR!$D$2/1.19),(S9+T9/EERR!$D$2/1.19)/J9)</f>
        <v>188.53</v>
      </c>
      <c r="V9" s="112">
        <f>T9+S9*EERR!$D$2</f>
        <v>150635.47</v>
      </c>
      <c r="W9" s="27">
        <f ca="1">SUMIF(S!$A$5:$J$152,Jun!G9,S!$M$5:$M$152)</f>
        <v>1</v>
      </c>
      <c r="X9" s="177">
        <f>SUMIF(T!$A$4:$A$371,B9,T!$B$4:$B$371)+SUMIF(T!$A$4:$A$371,C9,T!$B$4:$B$371)+SUMIF(T!$A$4:$A$371,D9,T!$B$4:$B$371)+(K9+O9)+(L9+P9)*EERR!$D$2</f>
        <v>150635.47</v>
      </c>
      <c r="Y9" s="178">
        <f>X9/EERR!$D$2</f>
        <v>188.53</v>
      </c>
      <c r="Z9" s="184">
        <f t="shared" si="1"/>
        <v>0</v>
      </c>
      <c r="AA9" s="240">
        <f ca="1">SUMIF(S!$A$5:$J$152,Jun!G9,S!$I$5:$I$152)*EERR!$D$2*1.19</f>
        <v>179256.20929999999</v>
      </c>
      <c r="AB9" s="240">
        <f t="shared" ca="1" si="4"/>
        <v>0</v>
      </c>
      <c r="AC9" s="214"/>
      <c r="AD9" s="214"/>
    </row>
    <row r="10" spans="1:31" ht="15" customHeight="1" x14ac:dyDescent="0.25">
      <c r="A10" s="171">
        <v>1725</v>
      </c>
      <c r="B10" s="197">
        <v>1255</v>
      </c>
      <c r="C10" s="197">
        <v>1288</v>
      </c>
      <c r="D10" s="197"/>
      <c r="E10" s="172" t="s">
        <v>487</v>
      </c>
      <c r="F10" s="172" t="s">
        <v>173</v>
      </c>
      <c r="G10" s="172">
        <v>3708407385</v>
      </c>
      <c r="H10" s="173">
        <v>45107</v>
      </c>
      <c r="I10" s="173">
        <v>45109</v>
      </c>
      <c r="J10" s="172">
        <v>2</v>
      </c>
      <c r="K10" s="174"/>
      <c r="L10" s="175"/>
      <c r="M10" s="174">
        <v>179680</v>
      </c>
      <c r="N10" s="174"/>
      <c r="O10" s="174"/>
      <c r="P10" s="174"/>
      <c r="Q10" s="174">
        <v>179507</v>
      </c>
      <c r="R10" s="174"/>
      <c r="S10" s="112">
        <f t="shared" si="2"/>
        <v>0</v>
      </c>
      <c r="T10" s="112">
        <f t="shared" si="3"/>
        <v>359187</v>
      </c>
      <c r="U10" s="110">
        <f>IF(J10=0,(S10+T10/EERR!$D$2/1.19),(S10+T10/EERR!$D$2/1.19)/J10)</f>
        <v>188.88474037925559</v>
      </c>
      <c r="V10" s="112">
        <f>T10+S10*EERR!$D$2</f>
        <v>359187</v>
      </c>
      <c r="W10" s="27">
        <f ca="1">SUMIF(S!$A$5:$J$152,Jun!G10,S!$M$5:$M$152)</f>
        <v>2</v>
      </c>
      <c r="X10" s="177">
        <f>SUMIF(T!$A$4:$A$371,B10,T!$B$4:$B$371)+SUMIF(T!$A$4:$A$371,C10,T!$B$4:$B$371)+SUMIF(T!$A$4:$A$371,D10,T!$B$4:$B$371)+(K10+O10)+(L10+P10)*EERR!$D$2</f>
        <v>359187</v>
      </c>
      <c r="Y10" s="178">
        <f>X10/EERR!$D$2</f>
        <v>449.54568210262829</v>
      </c>
      <c r="Z10" s="184">
        <f t="shared" si="1"/>
        <v>0</v>
      </c>
      <c r="AA10" s="240">
        <f ca="1">SUMIF(S!$A$5:$J$152,Jun!G10,S!$I$5:$I$152)*EERR!$D$2*1.19</f>
        <v>358512.41859999998</v>
      </c>
      <c r="AB10" s="240">
        <f t="shared" ca="1" si="4"/>
        <v>0</v>
      </c>
      <c r="AC10" s="214"/>
      <c r="AD10" s="214"/>
    </row>
    <row r="11" spans="1:31" ht="15" customHeight="1" x14ac:dyDescent="0.25">
      <c r="A11" s="171">
        <v>7283</v>
      </c>
      <c r="B11" s="197">
        <v>1256</v>
      </c>
      <c r="C11" s="197">
        <v>1293</v>
      </c>
      <c r="D11" s="197"/>
      <c r="E11" s="172" t="s">
        <v>488</v>
      </c>
      <c r="F11" s="172" t="s">
        <v>173</v>
      </c>
      <c r="G11" s="172">
        <v>2816618181</v>
      </c>
      <c r="H11" s="173">
        <v>45107</v>
      </c>
      <c r="I11" s="173">
        <v>45109</v>
      </c>
      <c r="J11" s="172">
        <v>2</v>
      </c>
      <c r="K11" s="174"/>
      <c r="L11" s="175"/>
      <c r="M11" s="174"/>
      <c r="N11" s="174">
        <v>188.53</v>
      </c>
      <c r="O11" s="174"/>
      <c r="P11" s="174"/>
      <c r="Q11" s="174"/>
      <c r="R11" s="174">
        <v>188.53</v>
      </c>
      <c r="S11" s="112">
        <f t="shared" si="2"/>
        <v>377.06</v>
      </c>
      <c r="T11" s="112">
        <f t="shared" si="3"/>
        <v>0</v>
      </c>
      <c r="U11" s="110">
        <f>IF(J11=0,(S11+T11/EERR!$D$2/1.19),(S11+T11/EERR!$D$2/1.19)/J11)</f>
        <v>188.53</v>
      </c>
      <c r="V11" s="112">
        <f>T11+S11*EERR!$D$2</f>
        <v>301270.94</v>
      </c>
      <c r="W11" s="27">
        <f ca="1">SUMIF(S!$A$5:$J$152,Jun!G11,S!$M$5:$M$152)</f>
        <v>2</v>
      </c>
      <c r="X11" s="177">
        <f>SUMIF(T!$A$4:$A$371,B11,T!$B$4:$B$371)+SUMIF(T!$A$4:$A$371,C11,T!$B$4:$B$371)+SUMIF(T!$A$4:$A$371,D11,T!$B$4:$B$371)+(K11+O11)+(L11+P11)*EERR!$D$2</f>
        <v>301270.94</v>
      </c>
      <c r="Y11" s="178">
        <f>X11/EERR!$D$2</f>
        <v>377.06</v>
      </c>
      <c r="Z11" s="184">
        <f t="shared" si="1"/>
        <v>0</v>
      </c>
      <c r="AA11" s="240">
        <f ca="1">SUMIF(S!$A$5:$J$152,Jun!G11,S!$I$5:$I$152)*EERR!$D$2*1.19</f>
        <v>358512.41859999998</v>
      </c>
      <c r="AB11" s="240"/>
      <c r="AC11" s="214"/>
      <c r="AD11" s="214"/>
    </row>
    <row r="12" spans="1:31" ht="15" customHeight="1" x14ac:dyDescent="0.25">
      <c r="A12" s="171"/>
      <c r="B12" s="197"/>
      <c r="C12" s="197"/>
      <c r="D12" s="197"/>
      <c r="E12" s="172"/>
      <c r="F12" s="172"/>
      <c r="G12" s="172"/>
      <c r="H12" s="173"/>
      <c r="I12" s="173"/>
      <c r="J12" s="172"/>
      <c r="K12" s="174"/>
      <c r="L12" s="175"/>
      <c r="M12" s="174"/>
      <c r="N12" s="174"/>
      <c r="O12" s="174"/>
      <c r="P12" s="174"/>
      <c r="Q12" s="174"/>
      <c r="R12" s="174"/>
      <c r="S12" s="112"/>
      <c r="T12" s="112"/>
      <c r="U12" s="110"/>
      <c r="V12" s="112"/>
      <c r="W12" s="27">
        <f ca="1">SUMIF(S!$A$5:$J$152,Jun!G12,S!$M$5:$M$152)</f>
        <v>0</v>
      </c>
      <c r="X12" s="177">
        <f>SUMIF(T!$A$4:$A$371,B12,T!$B$4:$B$371)+SUMIF(T!$A$4:$A$371,C12,T!$B$4:$B$371)+SUMIF(T!$A$4:$A$371,D12,T!$B$4:$B$371)+(K12+O12)+(L12+P12)*EERR!$D$2</f>
        <v>0</v>
      </c>
      <c r="Y12" s="178">
        <f>X12/EERR!$D$2</f>
        <v>0</v>
      </c>
      <c r="Z12" s="184">
        <f t="shared" si="1"/>
        <v>0</v>
      </c>
      <c r="AA12" s="240">
        <f ca="1">SUMIF(S!$A$5:$J$152,Jun!G12,S!$I$5:$I$152)*EERR!$D$2*1.19</f>
        <v>0</v>
      </c>
      <c r="AB12" s="240">
        <f t="shared" ca="1" si="4"/>
        <v>0</v>
      </c>
      <c r="AC12" s="214"/>
      <c r="AD12" s="214"/>
    </row>
    <row r="13" spans="1:31" ht="15" customHeight="1" x14ac:dyDescent="0.25">
      <c r="A13" s="171"/>
      <c r="B13" s="197"/>
      <c r="C13" s="197"/>
      <c r="D13" s="197"/>
      <c r="E13" s="172"/>
      <c r="F13" s="172"/>
      <c r="G13" s="172"/>
      <c r="H13" s="173"/>
      <c r="I13" s="173"/>
      <c r="J13" s="172"/>
      <c r="K13" s="174"/>
      <c r="L13" s="175"/>
      <c r="M13" s="174"/>
      <c r="N13" s="174"/>
      <c r="O13" s="174"/>
      <c r="P13" s="174"/>
      <c r="Q13" s="174"/>
      <c r="R13" s="174"/>
      <c r="S13" s="112"/>
      <c r="T13" s="112"/>
      <c r="U13" s="110"/>
      <c r="V13" s="112"/>
      <c r="W13" s="27">
        <f ca="1">SUMIF(S!$A$5:$J$152,Jun!G13,S!$M$5:$M$152)</f>
        <v>0</v>
      </c>
      <c r="X13" s="177">
        <f>SUMIF(T!$A$4:$A$371,B13,T!$B$4:$B$371)+SUMIF(T!$A$4:$A$371,C13,T!$B$4:$B$371)+SUMIF(T!$A$4:$A$371,D13,T!$B$4:$B$371)+(K13+O13)+(L13+P13)*EERR!$D$2</f>
        <v>0</v>
      </c>
      <c r="Y13" s="178">
        <f>X13/EERR!$D$2</f>
        <v>0</v>
      </c>
      <c r="Z13" s="184">
        <f t="shared" si="1"/>
        <v>0</v>
      </c>
      <c r="AA13" s="240">
        <f ca="1">SUMIF(S!$A$5:$J$152,Jun!G13,S!$I$5:$I$152)*EERR!$D$2*1.19</f>
        <v>0</v>
      </c>
      <c r="AB13" s="240">
        <f t="shared" ca="1" si="4"/>
        <v>0</v>
      </c>
      <c r="AC13" s="214"/>
      <c r="AD13" s="214"/>
    </row>
    <row r="14" spans="1:31" ht="15" customHeight="1" x14ac:dyDescent="0.25">
      <c r="A14" s="171"/>
      <c r="B14" s="197"/>
      <c r="C14" s="197"/>
      <c r="D14" s="197"/>
      <c r="E14" s="172"/>
      <c r="F14" s="172"/>
      <c r="G14" s="172"/>
      <c r="H14" s="173"/>
      <c r="I14" s="173"/>
      <c r="J14" s="172"/>
      <c r="K14" s="174"/>
      <c r="L14" s="175"/>
      <c r="M14" s="174"/>
      <c r="N14" s="174"/>
      <c r="O14" s="174"/>
      <c r="P14" s="174"/>
      <c r="Q14" s="174"/>
      <c r="R14" s="174"/>
      <c r="S14" s="112"/>
      <c r="T14" s="112"/>
      <c r="U14" s="110"/>
      <c r="V14" s="112"/>
      <c r="W14" s="27">
        <f ca="1">SUMIF(S!$A$5:$J$152,Jun!G14,S!$M$5:$M$152)</f>
        <v>0</v>
      </c>
      <c r="X14" s="177">
        <f>SUMIF(T!$A$4:$A$371,B14,T!$B$4:$B$371)+SUMIF(T!$A$4:$A$371,C14,T!$B$4:$B$371)+SUMIF(T!$A$4:$A$371,D14,T!$B$4:$B$371)+(K14+O14)+(L14+P14)*EERR!$D$2</f>
        <v>0</v>
      </c>
      <c r="Y14" s="178">
        <f>X14/EERR!$D$2</f>
        <v>0</v>
      </c>
      <c r="Z14" s="184">
        <f t="shared" si="1"/>
        <v>0</v>
      </c>
      <c r="AA14" s="240">
        <f ca="1">SUMIF(S!$A$5:$J$152,Jun!G14,S!$I$5:$I$152)*EERR!$D$2*1.19</f>
        <v>0</v>
      </c>
      <c r="AB14" s="240">
        <f t="shared" ca="1" si="4"/>
        <v>0</v>
      </c>
      <c r="AC14" s="214"/>
      <c r="AD14" s="214"/>
    </row>
    <row r="15" spans="1:31" ht="15" customHeight="1" x14ac:dyDescent="0.25">
      <c r="A15" s="171"/>
      <c r="B15" s="197"/>
      <c r="C15" s="197"/>
      <c r="D15" s="197"/>
      <c r="E15" s="172"/>
      <c r="F15" s="172"/>
      <c r="G15" s="172"/>
      <c r="H15" s="173"/>
      <c r="I15" s="173"/>
      <c r="J15" s="172"/>
      <c r="K15" s="174"/>
      <c r="L15" s="175"/>
      <c r="M15" s="174"/>
      <c r="N15" s="174"/>
      <c r="O15" s="174"/>
      <c r="P15" s="174"/>
      <c r="Q15" s="174"/>
      <c r="R15" s="174"/>
      <c r="S15" s="112"/>
      <c r="T15" s="112"/>
      <c r="U15" s="110"/>
      <c r="V15" s="112"/>
      <c r="W15" s="27">
        <f ca="1">SUMIF(S!$A$5:$J$152,Jun!G15,S!$M$5:$M$152)</f>
        <v>0</v>
      </c>
      <c r="X15" s="177">
        <f>SUMIF(T!$A$4:$A$371,B15,T!$B$4:$B$371)+SUMIF(T!$A$4:$A$371,C15,T!$B$4:$B$371)+SUMIF(T!$A$4:$A$371,D15,T!$B$4:$B$371)+(K15+O15)+(L15+P15)*EERR!$D$2</f>
        <v>0</v>
      </c>
      <c r="Y15" s="178">
        <f>X15/EERR!$D$2</f>
        <v>0</v>
      </c>
      <c r="Z15" s="184">
        <f t="shared" si="1"/>
        <v>0</v>
      </c>
      <c r="AA15" s="240">
        <f ca="1">SUMIF(S!$A$5:$J$152,Jun!G15,S!$I$5:$I$152)*EERR!$D$2*1.19</f>
        <v>0</v>
      </c>
      <c r="AB15" s="240">
        <f t="shared" ca="1" si="4"/>
        <v>0</v>
      </c>
      <c r="AC15" s="214"/>
      <c r="AD15" s="214"/>
    </row>
    <row r="16" spans="1:31" ht="15" customHeight="1" x14ac:dyDescent="0.25">
      <c r="A16" s="171"/>
      <c r="B16" s="197"/>
      <c r="C16" s="197"/>
      <c r="D16" s="197"/>
      <c r="E16" s="172"/>
      <c r="F16" s="172"/>
      <c r="G16" s="172"/>
      <c r="H16" s="173"/>
      <c r="I16" s="173"/>
      <c r="J16" s="172"/>
      <c r="K16" s="174"/>
      <c r="L16" s="175"/>
      <c r="M16" s="174"/>
      <c r="N16" s="174"/>
      <c r="O16" s="174"/>
      <c r="P16" s="174"/>
      <c r="Q16" s="174"/>
      <c r="R16" s="174"/>
      <c r="S16" s="112"/>
      <c r="T16" s="112"/>
      <c r="U16" s="110"/>
      <c r="V16" s="112"/>
      <c r="W16" s="27">
        <f ca="1">SUMIF(S!$A$5:$J$152,Jun!G16,S!$M$5:$M$152)</f>
        <v>0</v>
      </c>
      <c r="X16" s="177">
        <f>SUMIF(T!$A$4:$A$371,B16,T!$B$4:$B$371)+SUMIF(T!$A$4:$A$371,C16,T!$B$4:$B$371)+SUMIF(T!$A$4:$A$371,D16,T!$B$4:$B$371)+(K16+O16)+(L16+P16)*EERR!$D$2</f>
        <v>0</v>
      </c>
      <c r="Y16" s="178">
        <f>X16/EERR!$D$2</f>
        <v>0</v>
      </c>
      <c r="Z16" s="184">
        <f t="shared" si="1"/>
        <v>0</v>
      </c>
      <c r="AA16" s="240">
        <f ca="1">SUMIF(S!$A$5:$J$152,Jun!G16,S!$I$5:$I$152)*EERR!$D$2*1.19</f>
        <v>0</v>
      </c>
      <c r="AB16" s="240">
        <f t="shared" ca="1" si="4"/>
        <v>0</v>
      </c>
    </row>
    <row r="17" spans="1:28" ht="15" customHeight="1" x14ac:dyDescent="0.25">
      <c r="A17" s="171"/>
      <c r="B17" s="197"/>
      <c r="C17" s="197"/>
      <c r="D17" s="197"/>
      <c r="E17" s="172"/>
      <c r="F17" s="172"/>
      <c r="G17" s="172"/>
      <c r="H17" s="173"/>
      <c r="I17" s="173"/>
      <c r="J17" s="172"/>
      <c r="K17" s="174"/>
      <c r="L17" s="175"/>
      <c r="M17" s="174"/>
      <c r="N17" s="174"/>
      <c r="O17" s="174"/>
      <c r="P17" s="174"/>
      <c r="Q17" s="174"/>
      <c r="R17" s="174"/>
      <c r="S17" s="112"/>
      <c r="T17" s="112"/>
      <c r="U17" s="110"/>
      <c r="V17" s="112"/>
      <c r="W17" s="27">
        <f ca="1">SUMIF(S!$A$5:$J$152,Jun!G17,S!$M$5:$M$152)</f>
        <v>0</v>
      </c>
      <c r="X17" s="177">
        <f>SUMIF(T!$A$4:$A$371,B17,T!$B$4:$B$371)+SUMIF(T!$A$4:$A$371,C17,T!$B$4:$B$371)+SUMIF(T!$A$4:$A$371,D17,T!$B$4:$B$371)+(K17+O17)+(L17+P17)*EERR!$D$2</f>
        <v>0</v>
      </c>
      <c r="Y17" s="178">
        <f>X17/EERR!$D$2</f>
        <v>0</v>
      </c>
      <c r="Z17" s="184">
        <f t="shared" si="1"/>
        <v>0</v>
      </c>
      <c r="AA17" s="240">
        <f ca="1">SUMIF(S!$A$5:$J$152,Jun!G17,S!$I$5:$I$152)*EERR!$D$2*1.19</f>
        <v>0</v>
      </c>
      <c r="AB17" s="240">
        <f t="shared" ca="1" si="4"/>
        <v>0</v>
      </c>
    </row>
    <row r="18" spans="1:28" ht="15" customHeight="1" x14ac:dyDescent="0.25">
      <c r="A18" s="171"/>
      <c r="B18" s="197"/>
      <c r="C18" s="197"/>
      <c r="D18" s="197"/>
      <c r="E18" s="172"/>
      <c r="F18" s="172"/>
      <c r="G18" s="172"/>
      <c r="H18" s="173"/>
      <c r="I18" s="173"/>
      <c r="J18" s="172"/>
      <c r="K18" s="174"/>
      <c r="L18" s="175"/>
      <c r="M18" s="174"/>
      <c r="N18" s="174"/>
      <c r="O18" s="174"/>
      <c r="P18" s="174"/>
      <c r="Q18" s="174"/>
      <c r="R18" s="174"/>
      <c r="S18" s="112"/>
      <c r="T18" s="112"/>
      <c r="U18" s="110"/>
      <c r="V18" s="112"/>
      <c r="W18" s="27">
        <f ca="1">SUMIF(S!$A$5:$J$152,Jun!G18,S!$M$5:$M$152)</f>
        <v>0</v>
      </c>
      <c r="X18" s="177">
        <f>SUMIF(T!$A$4:$A$371,B18,T!$B$4:$B$371)+SUMIF(T!$A$4:$A$371,C18,T!$B$4:$B$371)+SUMIF(T!$A$4:$A$371,D18,T!$B$4:$B$371)+(K18+O18)+(L18+P18)*EERR!$D$2</f>
        <v>0</v>
      </c>
      <c r="Y18" s="178">
        <f>X18/EERR!$D$2</f>
        <v>0</v>
      </c>
      <c r="Z18" s="184">
        <f t="shared" si="1"/>
        <v>0</v>
      </c>
      <c r="AA18" s="240">
        <f ca="1">SUMIF(S!$A$5:$J$152,Jun!G18,S!$I$5:$I$152)*EERR!$D$2*1.19</f>
        <v>0</v>
      </c>
      <c r="AB18" s="240">
        <f t="shared" ca="1" si="4"/>
        <v>0</v>
      </c>
    </row>
    <row r="19" spans="1:28" ht="15" customHeight="1" x14ac:dyDescent="0.25">
      <c r="A19" s="171"/>
      <c r="B19" s="197"/>
      <c r="C19" s="197"/>
      <c r="D19" s="197"/>
      <c r="E19" s="172"/>
      <c r="F19" s="172"/>
      <c r="G19" s="172"/>
      <c r="H19" s="173"/>
      <c r="I19" s="173"/>
      <c r="J19" s="172"/>
      <c r="K19" s="174"/>
      <c r="L19" s="175"/>
      <c r="M19" s="174"/>
      <c r="N19" s="174"/>
      <c r="O19" s="174"/>
      <c r="P19" s="174"/>
      <c r="Q19" s="174"/>
      <c r="R19" s="174"/>
      <c r="S19" s="112"/>
      <c r="T19" s="112"/>
      <c r="U19" s="110"/>
      <c r="V19" s="112"/>
      <c r="W19" s="27">
        <f ca="1">SUMIF(S!$A$5:$J$152,Jun!G19,S!$M$5:$M$152)</f>
        <v>0</v>
      </c>
      <c r="X19" s="177">
        <f>SUMIF(T!$A$4:$A$371,B19,T!$B$4:$B$371)+SUMIF(T!$A$4:$A$371,C19,T!$B$4:$B$371)+SUMIF(T!$A$4:$A$371,D19,T!$B$4:$B$371)+(K19+O19)+(L19+P19)*EERR!$D$2</f>
        <v>0</v>
      </c>
      <c r="Y19" s="178">
        <f>X19/EERR!$D$2</f>
        <v>0</v>
      </c>
      <c r="Z19" s="184">
        <f t="shared" si="1"/>
        <v>0</v>
      </c>
      <c r="AA19" s="240">
        <f ca="1">SUMIF(S!$A$5:$J$152,Jun!G19,S!$I$5:$I$152)*EERR!$D$2*1.19</f>
        <v>0</v>
      </c>
      <c r="AB19" s="240">
        <f t="shared" ca="1" si="4"/>
        <v>0</v>
      </c>
    </row>
    <row r="20" spans="1:28" ht="15" customHeight="1" x14ac:dyDescent="0.25">
      <c r="A20" s="171"/>
      <c r="B20" s="197"/>
      <c r="C20" s="197"/>
      <c r="D20" s="197"/>
      <c r="E20" s="172"/>
      <c r="F20" s="172"/>
      <c r="G20" s="172"/>
      <c r="H20" s="173"/>
      <c r="I20" s="173"/>
      <c r="J20" s="172"/>
      <c r="K20" s="174"/>
      <c r="L20" s="175"/>
      <c r="M20" s="174"/>
      <c r="N20" s="174"/>
      <c r="O20" s="174"/>
      <c r="P20" s="174"/>
      <c r="Q20" s="174"/>
      <c r="R20" s="174"/>
      <c r="S20" s="112"/>
      <c r="T20" s="112"/>
      <c r="U20" s="110"/>
      <c r="V20" s="112"/>
      <c r="W20" s="27">
        <f ca="1">SUMIF(S!$A$5:$J$152,Jun!G20,S!$M$5:$M$152)</f>
        <v>0</v>
      </c>
      <c r="X20" s="177">
        <f>SUMIF(T!$A$4:$A$371,B20,T!$B$4:$B$371)+SUMIF(T!$A$4:$A$371,C20,T!$B$4:$B$371)+SUMIF(T!$A$4:$A$371,D20,T!$B$4:$B$371)+(K20+O20)+(L20+P20)*EERR!$D$2</f>
        <v>0</v>
      </c>
      <c r="Y20" s="178">
        <f>X20/EERR!$D$2</f>
        <v>0</v>
      </c>
      <c r="Z20" s="184">
        <f t="shared" si="1"/>
        <v>0</v>
      </c>
      <c r="AA20" s="240">
        <f ca="1">SUMIF(S!$A$5:$J$152,Jun!G20,S!$I$5:$I$152)*EERR!$D$2*1.19</f>
        <v>0</v>
      </c>
      <c r="AB20" s="240">
        <f t="shared" ca="1" si="4"/>
        <v>0</v>
      </c>
    </row>
    <row r="21" spans="1:28" ht="15" customHeight="1" x14ac:dyDescent="0.25">
      <c r="A21" s="171"/>
      <c r="B21" s="197"/>
      <c r="C21" s="197"/>
      <c r="D21" s="197"/>
      <c r="E21" s="172"/>
      <c r="F21" s="172"/>
      <c r="G21" s="172"/>
      <c r="H21" s="173"/>
      <c r="I21" s="173"/>
      <c r="J21" s="172"/>
      <c r="K21" s="174"/>
      <c r="L21" s="175"/>
      <c r="M21" s="174"/>
      <c r="N21" s="174"/>
      <c r="O21" s="174"/>
      <c r="P21" s="174"/>
      <c r="Q21" s="174"/>
      <c r="R21" s="174"/>
      <c r="S21" s="112"/>
      <c r="T21" s="112"/>
      <c r="U21" s="110"/>
      <c r="V21" s="112"/>
      <c r="W21" s="27">
        <f ca="1">SUMIF(S!$A$5:$J$152,Jun!G21,S!$M$5:$M$152)</f>
        <v>0</v>
      </c>
      <c r="X21" s="177">
        <f>SUMIF(T!$A$4:$A$371,B21,T!$B$4:$B$371)+SUMIF(T!$A$4:$A$371,C21,T!$B$4:$B$371)+SUMIF(T!$A$4:$A$371,D21,T!$B$4:$B$371)+(K21+O21)+(L21+P21)*EERR!$D$2</f>
        <v>0</v>
      </c>
      <c r="Y21" s="178">
        <f>X21/EERR!$D$2</f>
        <v>0</v>
      </c>
      <c r="Z21" s="184">
        <f t="shared" si="1"/>
        <v>0</v>
      </c>
      <c r="AA21" s="240">
        <f ca="1">SUMIF(S!$A$5:$J$152,Jun!G21,S!$I$5:$I$152)*EERR!$D$2*1.19</f>
        <v>0</v>
      </c>
      <c r="AB21" s="240">
        <f t="shared" ca="1" si="4"/>
        <v>0</v>
      </c>
    </row>
    <row r="22" spans="1:28" ht="15" customHeight="1" x14ac:dyDescent="0.25">
      <c r="A22" s="171"/>
      <c r="B22" s="197"/>
      <c r="C22" s="197"/>
      <c r="D22" s="197"/>
      <c r="E22" s="172"/>
      <c r="F22" s="172"/>
      <c r="G22" s="172"/>
      <c r="H22" s="173"/>
      <c r="I22" s="173"/>
      <c r="J22" s="172"/>
      <c r="K22" s="174"/>
      <c r="L22" s="175"/>
      <c r="M22" s="174"/>
      <c r="N22" s="174"/>
      <c r="O22" s="174"/>
      <c r="P22" s="174"/>
      <c r="Q22" s="174"/>
      <c r="R22" s="174"/>
      <c r="S22" s="112"/>
      <c r="T22" s="112"/>
      <c r="U22" s="110"/>
      <c r="V22" s="112"/>
      <c r="W22" s="27">
        <f ca="1">SUMIF(S!$A$5:$J$152,Jun!G22,S!$M$5:$M$152)</f>
        <v>0</v>
      </c>
      <c r="X22" s="177">
        <f>SUMIF(T!$A$4:$A$371,B22,T!$B$4:$B$371)+SUMIF(T!$A$4:$A$371,C22,T!$B$4:$B$371)+SUMIF(T!$A$4:$A$371,D22,T!$B$4:$B$371)+(K22+O22)+(L22+P22)*EERR!$D$2</f>
        <v>0</v>
      </c>
      <c r="Y22" s="178">
        <f>X22/EERR!$D$2</f>
        <v>0</v>
      </c>
      <c r="Z22" s="184">
        <f t="shared" si="1"/>
        <v>0</v>
      </c>
      <c r="AA22" s="240"/>
      <c r="AB22" s="240"/>
    </row>
    <row r="23" spans="1:28" ht="15" customHeight="1" x14ac:dyDescent="0.25">
      <c r="A23" s="171"/>
      <c r="B23" s="197"/>
      <c r="C23" s="197"/>
      <c r="D23" s="197"/>
      <c r="E23" s="172"/>
      <c r="F23" s="172"/>
      <c r="G23" s="172"/>
      <c r="H23" s="173"/>
      <c r="I23" s="173"/>
      <c r="J23" s="172"/>
      <c r="K23" s="174"/>
      <c r="L23" s="175"/>
      <c r="M23" s="174"/>
      <c r="N23" s="352"/>
      <c r="O23" s="174"/>
      <c r="P23" s="174"/>
      <c r="Q23" s="174"/>
      <c r="R23" s="174"/>
      <c r="S23" s="112"/>
      <c r="T23" s="112"/>
      <c r="U23" s="110"/>
      <c r="V23" s="112"/>
      <c r="W23" s="27">
        <f ca="1">SUMIF(S!$A$5:$J$152,Jun!G23,S!$M$5:$M$152)</f>
        <v>0</v>
      </c>
      <c r="X23" s="177">
        <f>SUMIF(T!$A$4:$A$371,B23,T!$B$4:$B$371)+SUMIF(T!$A$4:$A$371,C23,T!$B$4:$B$371)+SUMIF(T!$A$4:$A$371,D23,T!$B$4:$B$371)+(K23+O23)+(L23+P23)*EERR!$D$2</f>
        <v>0</v>
      </c>
      <c r="Y23" s="178">
        <f>X23/EERR!$D$2</f>
        <v>0</v>
      </c>
      <c r="Z23" s="351">
        <f t="shared" si="1"/>
        <v>0</v>
      </c>
      <c r="AA23" s="240"/>
      <c r="AB23" s="240"/>
    </row>
    <row r="24" spans="1:28" ht="15" customHeight="1" x14ac:dyDescent="0.25">
      <c r="A24" s="171"/>
      <c r="B24" s="197"/>
      <c r="C24" s="197"/>
      <c r="D24" s="197"/>
      <c r="E24" s="172"/>
      <c r="F24" s="172"/>
      <c r="G24" s="172"/>
      <c r="H24" s="173"/>
      <c r="I24" s="173"/>
      <c r="J24" s="172"/>
      <c r="K24" s="174"/>
      <c r="L24" s="175"/>
      <c r="M24" s="174"/>
      <c r="N24" s="174"/>
      <c r="O24" s="174"/>
      <c r="P24" s="174"/>
      <c r="Q24" s="174"/>
      <c r="R24" s="174"/>
      <c r="S24" s="112"/>
      <c r="T24" s="112"/>
      <c r="U24" s="110"/>
      <c r="V24" s="112"/>
      <c r="W24" s="27">
        <f ca="1">SUMIF(S!$A$5:$J$152,Jun!G24,S!$M$5:$M$152)</f>
        <v>0</v>
      </c>
      <c r="X24" s="177">
        <f>SUMIF(T!$A$4:$A$371,B24,T!$B$4:$B$371)+SUMIF(T!$A$4:$A$371,C24,T!$B$4:$B$371)+SUMIF(T!$A$4:$A$371,D24,T!$B$4:$B$371)+(K24+O24)+(L24+P24)*EERR!$D$2</f>
        <v>0</v>
      </c>
      <c r="Y24" s="178">
        <f>X24/EERR!$D$2</f>
        <v>0</v>
      </c>
      <c r="Z24" s="184">
        <f t="shared" si="1"/>
        <v>0</v>
      </c>
      <c r="AA24" s="240"/>
      <c r="AB24" s="240"/>
    </row>
    <row r="25" spans="1:28" ht="15" customHeight="1" x14ac:dyDescent="0.25">
      <c r="A25" s="171"/>
      <c r="B25" s="197"/>
      <c r="C25" s="197"/>
      <c r="D25" s="197"/>
      <c r="E25" s="172"/>
      <c r="F25" s="172"/>
      <c r="G25" s="172"/>
      <c r="H25" s="173"/>
      <c r="I25" s="173"/>
      <c r="J25" s="172"/>
      <c r="K25" s="174"/>
      <c r="L25" s="175"/>
      <c r="M25" s="174"/>
      <c r="N25" s="174"/>
      <c r="O25" s="174"/>
      <c r="P25" s="174"/>
      <c r="Q25" s="174"/>
      <c r="R25" s="174"/>
      <c r="S25" s="112"/>
      <c r="T25" s="112"/>
      <c r="U25" s="110"/>
      <c r="V25" s="112"/>
      <c r="W25" s="27">
        <f ca="1">SUMIF(S!$A$5:$J$152,Jun!G25,S!$M$5:$M$152)</f>
        <v>0</v>
      </c>
      <c r="X25" s="177">
        <f>SUMIF(T!$A$4:$A$371,B25,T!$B$4:$B$371)+SUMIF(T!$A$4:$A$371,C25,T!$B$4:$B$371)+SUMIF(T!$A$4:$A$371,D25,T!$B$4:$B$371)+(K25+O25)+(L25+P25)*EERR!$D$2</f>
        <v>0</v>
      </c>
      <c r="Y25" s="178">
        <f>X25/EERR!$D$2</f>
        <v>0</v>
      </c>
      <c r="Z25" s="184">
        <f t="shared" si="1"/>
        <v>0</v>
      </c>
      <c r="AA25" s="240"/>
      <c r="AB25" s="240"/>
    </row>
    <row r="26" spans="1:28" ht="15" customHeight="1" x14ac:dyDescent="0.25">
      <c r="A26" s="171"/>
      <c r="B26" s="197"/>
      <c r="C26" s="197"/>
      <c r="D26" s="197"/>
      <c r="E26" s="172"/>
      <c r="F26" s="172"/>
      <c r="G26" s="172"/>
      <c r="H26" s="173"/>
      <c r="I26" s="173"/>
      <c r="J26" s="172"/>
      <c r="K26" s="174"/>
      <c r="L26" s="175"/>
      <c r="M26" s="174"/>
      <c r="N26" s="174"/>
      <c r="O26" s="174"/>
      <c r="P26" s="174"/>
      <c r="Q26" s="174"/>
      <c r="R26" s="174"/>
      <c r="S26" s="112"/>
      <c r="T26" s="112"/>
      <c r="U26" s="110"/>
      <c r="V26" s="112"/>
      <c r="W26" s="27">
        <f ca="1">SUMIF(S!$A$5:$J$152,Jun!G26,S!$M$5:$M$152)</f>
        <v>0</v>
      </c>
      <c r="X26" s="177">
        <f>SUMIF(T!$A$4:$A$371,B26,T!$B$4:$B$371)+SUMIF(T!$A$4:$A$371,C26,T!$B$4:$B$371)+SUMIF(T!$A$4:$A$371,D26,T!$B$4:$B$371)+(K26+O26)+(L26+P26)*EERR!$D$2</f>
        <v>0</v>
      </c>
      <c r="Y26" s="178">
        <f>X26/EERR!$D$2</f>
        <v>0</v>
      </c>
      <c r="Z26" s="184">
        <f t="shared" si="1"/>
        <v>0</v>
      </c>
      <c r="AA26" s="240"/>
      <c r="AB26" s="240"/>
    </row>
    <row r="27" spans="1:28" ht="15" customHeight="1" x14ac:dyDescent="0.25">
      <c r="A27" s="171"/>
      <c r="B27" s="197"/>
      <c r="C27" s="197"/>
      <c r="D27" s="197"/>
      <c r="E27" s="172"/>
      <c r="F27" s="172"/>
      <c r="G27" s="172"/>
      <c r="H27" s="173"/>
      <c r="I27" s="173"/>
      <c r="J27" s="172"/>
      <c r="K27" s="174"/>
      <c r="L27" s="175"/>
      <c r="M27" s="174"/>
      <c r="N27" s="174"/>
      <c r="O27" s="174"/>
      <c r="P27" s="174"/>
      <c r="Q27" s="174"/>
      <c r="R27" s="174"/>
      <c r="S27" s="112"/>
      <c r="T27" s="112"/>
      <c r="U27" s="110"/>
      <c r="V27" s="112"/>
      <c r="W27" s="27">
        <f ca="1">SUMIF(S!$A$5:$J$152,Jun!G27,S!$M$5:$M$152)</f>
        <v>0</v>
      </c>
      <c r="X27" s="177">
        <f>SUMIF(T!$A$4:$A$371,B27,T!$B$4:$B$371)+SUMIF(T!$A$4:$A$371,C27,T!$B$4:$B$371)+SUMIF(T!$A$4:$A$371,D27,T!$B$4:$B$371)+(K27+O27)+(L27+P27)*EERR!$D$2</f>
        <v>0</v>
      </c>
      <c r="Y27" s="178">
        <f>X27/EERR!$D$2</f>
        <v>0</v>
      </c>
      <c r="Z27" s="184">
        <f t="shared" si="1"/>
        <v>0</v>
      </c>
      <c r="AA27" s="240"/>
      <c r="AB27" s="240"/>
    </row>
    <row r="28" spans="1:28" ht="15" customHeight="1" x14ac:dyDescent="0.25">
      <c r="A28" s="171"/>
      <c r="B28" s="197"/>
      <c r="C28" s="197"/>
      <c r="D28" s="197"/>
      <c r="E28" s="172"/>
      <c r="F28" s="172"/>
      <c r="G28" s="172"/>
      <c r="H28" s="173"/>
      <c r="I28" s="173"/>
      <c r="J28" s="172"/>
      <c r="K28" s="174"/>
      <c r="L28" s="175"/>
      <c r="M28" s="174"/>
      <c r="N28" s="174"/>
      <c r="O28" s="174"/>
      <c r="P28" s="174"/>
      <c r="Q28" s="174"/>
      <c r="R28" s="174"/>
      <c r="S28" s="112"/>
      <c r="T28" s="112"/>
      <c r="U28" s="110"/>
      <c r="V28" s="112"/>
      <c r="W28" s="27">
        <f ca="1">SUMIF(S!$A$5:$J$152,Jun!G28,S!$M$5:$M$152)</f>
        <v>0</v>
      </c>
      <c r="X28" s="177">
        <f>SUMIF(T!$A$4:$A$371,B28,T!$B$4:$B$371)+SUMIF(T!$A$4:$A$371,C28,T!$B$4:$B$371)+SUMIF(T!$A$4:$A$371,D28,T!$B$4:$B$371)+(K28+O28)+(L28+P28)*EERR!$D$2</f>
        <v>0</v>
      </c>
      <c r="Y28" s="178">
        <f>X28/EERR!$D$2</f>
        <v>0</v>
      </c>
      <c r="Z28" s="184">
        <f t="shared" si="1"/>
        <v>0</v>
      </c>
      <c r="AA28" s="240"/>
      <c r="AB28" s="240"/>
    </row>
    <row r="29" spans="1:28" ht="15" customHeight="1" x14ac:dyDescent="0.25">
      <c r="A29" s="171"/>
      <c r="B29" s="197"/>
      <c r="C29" s="197"/>
      <c r="D29" s="197"/>
      <c r="E29" s="172"/>
      <c r="F29" s="172"/>
      <c r="G29" s="172"/>
      <c r="H29" s="173"/>
      <c r="I29" s="173"/>
      <c r="J29" s="172"/>
      <c r="K29" s="174"/>
      <c r="L29" s="175"/>
      <c r="M29" s="174"/>
      <c r="N29" s="174"/>
      <c r="O29" s="174"/>
      <c r="P29" s="174"/>
      <c r="Q29" s="174"/>
      <c r="R29" s="174"/>
      <c r="S29" s="112"/>
      <c r="T29" s="112"/>
      <c r="U29" s="110"/>
      <c r="V29" s="112"/>
      <c r="W29" s="27">
        <f ca="1">SUMIF(S!$A$5:$J$152,Jun!G29,S!$M$5:$M$152)</f>
        <v>0</v>
      </c>
      <c r="X29" s="177">
        <f>SUMIF(T!$A$4:$A$371,B29,T!$B$4:$B$371)+SUMIF(T!$A$4:$A$371,C29,T!$B$4:$B$371)+SUMIF(T!$A$4:$A$371,D29,T!$B$4:$B$371)+(K29+O29)+(L29+P29)*EERR!$D$2</f>
        <v>0</v>
      </c>
      <c r="Y29" s="178">
        <f>X29/EERR!$D$2</f>
        <v>0</v>
      </c>
      <c r="Z29" s="184">
        <f t="shared" si="1"/>
        <v>0</v>
      </c>
      <c r="AA29" s="240"/>
      <c r="AB29" s="240"/>
    </row>
    <row r="30" spans="1:28" ht="15" customHeight="1" x14ac:dyDescent="0.25">
      <c r="A30" s="171"/>
      <c r="B30" s="197"/>
      <c r="C30" s="197"/>
      <c r="D30" s="197"/>
      <c r="E30" s="172"/>
      <c r="F30" s="172"/>
      <c r="G30" s="172"/>
      <c r="H30" s="173"/>
      <c r="I30" s="173"/>
      <c r="J30" s="172"/>
      <c r="K30" s="174"/>
      <c r="L30" s="175"/>
      <c r="M30" s="174"/>
      <c r="N30" s="174"/>
      <c r="O30" s="174"/>
      <c r="P30" s="174"/>
      <c r="Q30" s="174"/>
      <c r="R30" s="174"/>
      <c r="S30" s="112"/>
      <c r="T30" s="112"/>
      <c r="U30" s="110"/>
      <c r="V30" s="112"/>
      <c r="W30" s="27">
        <f ca="1">SUMIF(S!$A$5:$J$152,Jun!G30,S!$M$5:$M$152)</f>
        <v>0</v>
      </c>
      <c r="X30" s="177">
        <f>SUMIF(T!$A$4:$A$371,B30,T!$B$4:$B$371)+SUMIF(T!$A$4:$A$371,C30,T!$B$4:$B$371)+SUMIF(T!$A$4:$A$371,D30,T!$B$4:$B$371)+(K30+O30)+(L30+P30)*EERR!$D$2</f>
        <v>0</v>
      </c>
      <c r="Y30" s="178">
        <f>X30/EERR!$D$2</f>
        <v>0</v>
      </c>
      <c r="Z30" s="184">
        <f t="shared" si="1"/>
        <v>0</v>
      </c>
      <c r="AA30" s="240">
        <f ca="1">SUMIF(S!$A$5:$J$152,Jun!G30,S!$I$5:$I$152)*EERR!$D$2*1.19</f>
        <v>0</v>
      </c>
      <c r="AB30" s="240">
        <f t="shared" ca="1" si="4"/>
        <v>0</v>
      </c>
    </row>
    <row r="31" spans="1:28" ht="15" customHeight="1" x14ac:dyDescent="0.25">
      <c r="A31" s="171"/>
      <c r="B31" s="197"/>
      <c r="C31" s="197"/>
      <c r="D31" s="197"/>
      <c r="E31" s="172"/>
      <c r="F31" s="172"/>
      <c r="G31" s="172"/>
      <c r="H31" s="173"/>
      <c r="I31" s="173"/>
      <c r="J31" s="172"/>
      <c r="K31" s="174"/>
      <c r="L31" s="175"/>
      <c r="M31" s="174"/>
      <c r="N31" s="174"/>
      <c r="O31" s="174"/>
      <c r="P31" s="174"/>
      <c r="Q31" s="174"/>
      <c r="R31" s="174"/>
      <c r="S31" s="112"/>
      <c r="T31" s="112"/>
      <c r="U31" s="110"/>
      <c r="V31" s="112"/>
      <c r="W31" s="27">
        <f ca="1">SUMIF(S!$A$5:$J$152,Jun!G31,S!$M$5:$M$152)</f>
        <v>0</v>
      </c>
      <c r="X31" s="177">
        <f>SUMIF(T!$A$4:$A$371,B31,T!$B$4:$B$371)+SUMIF(T!$A$4:$A$371,C31,T!$B$4:$B$371)+SUMIF(T!$A$4:$A$371,D31,T!$B$4:$B$371)+(K31+O31)+(L31+P31)*EERR!$D$2</f>
        <v>0</v>
      </c>
      <c r="Y31" s="178">
        <f>X31/EERR!$D$2</f>
        <v>0</v>
      </c>
      <c r="Z31" s="351">
        <f t="shared" si="1"/>
        <v>0</v>
      </c>
      <c r="AA31" s="240">
        <f ca="1">SUMIF(S!$A$5:$J$152,Jun!G31,S!$I$5:$I$152)*EERR!$D$2*1.19</f>
        <v>0</v>
      </c>
      <c r="AB31" s="240">
        <f t="shared" ca="1" si="4"/>
        <v>0</v>
      </c>
    </row>
    <row r="32" spans="1:28" ht="15" customHeight="1" x14ac:dyDescent="0.25">
      <c r="A32" s="171"/>
      <c r="B32" s="197"/>
      <c r="C32" s="197"/>
      <c r="D32" s="197"/>
      <c r="E32" s="172"/>
      <c r="F32" s="172"/>
      <c r="G32" s="172"/>
      <c r="H32" s="173"/>
      <c r="I32" s="173"/>
      <c r="J32" s="172"/>
      <c r="K32" s="174"/>
      <c r="L32" s="175"/>
      <c r="M32" s="174"/>
      <c r="N32" s="174"/>
      <c r="O32" s="174"/>
      <c r="P32" s="174"/>
      <c r="Q32" s="174"/>
      <c r="R32" s="174"/>
      <c r="S32" s="112"/>
      <c r="T32" s="112"/>
      <c r="U32" s="110"/>
      <c r="V32" s="112"/>
      <c r="W32" s="27">
        <f ca="1">SUMIF(S!$A$5:$J$152,Jun!G32,S!$M$5:$M$152)</f>
        <v>0</v>
      </c>
      <c r="X32" s="177">
        <f>SUMIF(T!$A$4:$A$371,B32,T!$B$4:$B$371)+SUMIF(T!$A$4:$A$371,C32,T!$B$4:$B$371)+SUMIF(T!$A$4:$A$371,D32,T!$B$4:$B$371)+(K32+O32)+(L32+P32)*EERR!$D$2</f>
        <v>0</v>
      </c>
      <c r="Y32" s="178">
        <f>X32/EERR!$D$2</f>
        <v>0</v>
      </c>
      <c r="Z32" s="184">
        <f t="shared" ref="Z32:Z43" si="5">+X32-V32</f>
        <v>0</v>
      </c>
      <c r="AA32" s="240">
        <f ca="1">SUMIF(S!$A$5:$J$152,Jun!G32,S!$I$5:$I$152)*EERR!$D$2*1.19</f>
        <v>0</v>
      </c>
      <c r="AB32" s="240"/>
    </row>
    <row r="33" spans="1:28" ht="15" customHeight="1" x14ac:dyDescent="0.25">
      <c r="A33" s="171"/>
      <c r="B33" s="197"/>
      <c r="C33" s="197"/>
      <c r="D33" s="197"/>
      <c r="E33" s="172"/>
      <c r="F33" s="172"/>
      <c r="G33" s="172"/>
      <c r="H33" s="173"/>
      <c r="I33" s="173"/>
      <c r="J33" s="172"/>
      <c r="K33" s="174"/>
      <c r="L33" s="175"/>
      <c r="M33" s="174"/>
      <c r="N33" s="174"/>
      <c r="O33" s="174"/>
      <c r="P33" s="174"/>
      <c r="Q33" s="174"/>
      <c r="R33" s="174"/>
      <c r="S33" s="112"/>
      <c r="T33" s="112"/>
      <c r="U33" s="110"/>
      <c r="V33" s="112"/>
      <c r="W33" s="27">
        <f ca="1">SUMIF(S!$A$5:$J$152,Jun!G33,S!$M$5:$M$152)</f>
        <v>0</v>
      </c>
      <c r="X33" s="177">
        <f>SUMIF(T!$A$4:$A$371,B33,T!$B$4:$B$371)+SUMIF(T!$A$4:$A$371,C33,T!$B$4:$B$371)+SUMIF(T!$A$4:$A$371,D33,T!$B$4:$B$371)+(K33+O33)+(L33+P33)*EERR!$D$2</f>
        <v>0</v>
      </c>
      <c r="Y33" s="178">
        <f>X33/EERR!$D$2</f>
        <v>0</v>
      </c>
      <c r="Z33" s="184">
        <f t="shared" si="5"/>
        <v>0</v>
      </c>
      <c r="AA33" s="240">
        <f ca="1">SUMIF(S!$A$5:$J$152,Jun!G33,S!$I$5:$I$152)*EERR!$D$2*1.19</f>
        <v>0</v>
      </c>
      <c r="AB33" s="240"/>
    </row>
    <row r="34" spans="1:28" ht="15" customHeight="1" x14ac:dyDescent="0.25">
      <c r="A34" s="171"/>
      <c r="B34" s="197"/>
      <c r="C34" s="197"/>
      <c r="D34" s="197"/>
      <c r="E34" s="172"/>
      <c r="F34" s="172"/>
      <c r="G34" s="172"/>
      <c r="H34" s="173"/>
      <c r="I34" s="173"/>
      <c r="J34" s="172"/>
      <c r="K34" s="174"/>
      <c r="L34" s="175"/>
      <c r="M34" s="174"/>
      <c r="N34" s="174"/>
      <c r="O34" s="174"/>
      <c r="P34" s="174"/>
      <c r="Q34" s="174"/>
      <c r="R34" s="174"/>
      <c r="S34" s="112"/>
      <c r="T34" s="112"/>
      <c r="U34" s="110"/>
      <c r="V34" s="112"/>
      <c r="W34" s="27">
        <f ca="1">SUMIF(S!$A$5:$J$152,Jun!G34,S!$M$5:$M$152)</f>
        <v>0</v>
      </c>
      <c r="X34" s="177">
        <f>SUMIF(T!$A$4:$A$371,B34,T!$B$4:$B$371)+SUMIF(T!$A$4:$A$371,C34,T!$B$4:$B$371)+SUMIF(T!$A$4:$A$371,D34,T!$B$4:$B$371)+(K34+O34)+(L34+P34)*EERR!$D$2</f>
        <v>0</v>
      </c>
      <c r="Y34" s="178">
        <f>X34/EERR!$D$2</f>
        <v>0</v>
      </c>
      <c r="Z34" s="184">
        <f t="shared" si="5"/>
        <v>0</v>
      </c>
      <c r="AA34" s="240">
        <f ca="1">SUMIF(S!$A$5:$J$152,Jun!G34,S!$I$5:$I$152)*EERR!$D$2*1.19</f>
        <v>0</v>
      </c>
      <c r="AB34" s="240"/>
    </row>
    <row r="35" spans="1:28" ht="15" customHeight="1" x14ac:dyDescent="0.25">
      <c r="A35" s="171"/>
      <c r="B35" s="197"/>
      <c r="C35" s="197"/>
      <c r="D35" s="197"/>
      <c r="E35" s="172"/>
      <c r="F35" s="172"/>
      <c r="G35" s="172"/>
      <c r="H35" s="173"/>
      <c r="I35" s="173"/>
      <c r="J35" s="172"/>
      <c r="K35" s="174"/>
      <c r="L35" s="175"/>
      <c r="M35" s="174"/>
      <c r="N35" s="174"/>
      <c r="O35" s="174"/>
      <c r="P35" s="174"/>
      <c r="Q35" s="174"/>
      <c r="R35" s="174"/>
      <c r="S35" s="112"/>
      <c r="T35" s="112"/>
      <c r="U35" s="110"/>
      <c r="V35" s="112"/>
      <c r="W35" s="27">
        <f ca="1">SUMIF(S!$A$5:$J$152,Jun!G35,S!$M$5:$M$152)</f>
        <v>0</v>
      </c>
      <c r="X35" s="177">
        <f>SUMIF(T!$A$4:$A$371,B35,T!$B$4:$B$371)+SUMIF(T!$A$4:$A$371,C35,T!$B$4:$B$371)+SUMIF(T!$A$4:$A$371,D35,T!$B$4:$B$371)+(K35+O35)+(L35+P35)*EERR!$D$2</f>
        <v>0</v>
      </c>
      <c r="Y35" s="178">
        <f>X35/EERR!$D$2</f>
        <v>0</v>
      </c>
      <c r="Z35" s="184">
        <f t="shared" si="5"/>
        <v>0</v>
      </c>
      <c r="AA35" s="240">
        <f ca="1">SUMIF(S!$A$5:$J$152,Jun!G35,S!$I$5:$I$152)*EERR!$D$2*1.19</f>
        <v>0</v>
      </c>
      <c r="AB35" s="240"/>
    </row>
    <row r="36" spans="1:28" ht="15" customHeight="1" x14ac:dyDescent="0.25">
      <c r="A36" s="171"/>
      <c r="B36" s="197"/>
      <c r="C36" s="197"/>
      <c r="D36" s="197"/>
      <c r="E36" s="172"/>
      <c r="F36" s="172"/>
      <c r="G36" s="172"/>
      <c r="H36" s="173"/>
      <c r="I36" s="173"/>
      <c r="J36" s="172"/>
      <c r="K36" s="174"/>
      <c r="L36" s="175"/>
      <c r="M36" s="174"/>
      <c r="N36" s="174"/>
      <c r="O36" s="174"/>
      <c r="P36" s="174"/>
      <c r="Q36" s="174"/>
      <c r="R36" s="174"/>
      <c r="S36" s="112"/>
      <c r="T36" s="112"/>
      <c r="U36" s="110"/>
      <c r="V36" s="112"/>
      <c r="W36" s="27">
        <f ca="1">SUMIF(S!$A$5:$J$152,Jun!G36,S!$M$5:$M$152)</f>
        <v>0</v>
      </c>
      <c r="X36" s="177">
        <f>SUMIF(T!$A$4:$A$371,B36,T!$B$4:$B$371)+SUMIF(T!$A$4:$A$371,C36,T!$B$4:$B$371)+SUMIF(T!$A$4:$A$371,D36,T!$B$4:$B$371)+(K36+O36)+(L36+P36)*EERR!$D$2</f>
        <v>0</v>
      </c>
      <c r="Y36" s="178">
        <f>X36/EERR!$D$2</f>
        <v>0</v>
      </c>
      <c r="Z36" s="184">
        <f t="shared" si="5"/>
        <v>0</v>
      </c>
      <c r="AA36" s="240">
        <f ca="1">SUMIF(S!$A$5:$J$152,Jun!G36,S!$I$5:$I$152)*EERR!$D$2*1.19</f>
        <v>0</v>
      </c>
      <c r="AB36" s="240"/>
    </row>
    <row r="37" spans="1:28" ht="15" customHeight="1" x14ac:dyDescent="0.25">
      <c r="A37" s="171"/>
      <c r="B37" s="197"/>
      <c r="C37" s="197"/>
      <c r="D37" s="197"/>
      <c r="E37" s="172"/>
      <c r="F37" s="172"/>
      <c r="G37" s="172"/>
      <c r="H37" s="173"/>
      <c r="I37" s="173"/>
      <c r="J37" s="172"/>
      <c r="K37" s="174"/>
      <c r="L37" s="175"/>
      <c r="M37" s="174"/>
      <c r="N37" s="174"/>
      <c r="O37" s="174"/>
      <c r="P37" s="174"/>
      <c r="Q37" s="174"/>
      <c r="R37" s="174"/>
      <c r="S37" s="112"/>
      <c r="T37" s="112"/>
      <c r="U37" s="110"/>
      <c r="V37" s="112"/>
      <c r="W37" s="27">
        <f ca="1">SUMIF(S!$A$5:$J$152,Jun!G37,S!$M$5:$M$152)</f>
        <v>0</v>
      </c>
      <c r="X37" s="177">
        <f>SUMIF(T!$A$4:$A$371,B37,T!$B$4:$B$371)+SUMIF(T!$A$4:$A$371,C37,T!$B$4:$B$371)+SUMIF(T!$A$4:$A$371,D37,T!$B$4:$B$371)+(K37+O37)+(L37+P37)*EERR!$D$2</f>
        <v>0</v>
      </c>
      <c r="Y37" s="178">
        <f>X37/EERR!$D$2</f>
        <v>0</v>
      </c>
      <c r="Z37" s="184">
        <f t="shared" si="5"/>
        <v>0</v>
      </c>
      <c r="AA37" s="240">
        <f ca="1">SUMIF(S!$A$5:$J$152,Jun!G37,S!$I$5:$I$152)*EERR!$D$2*1.19</f>
        <v>0</v>
      </c>
      <c r="AB37" s="240"/>
    </row>
    <row r="38" spans="1:28" ht="15" customHeight="1" x14ac:dyDescent="0.25">
      <c r="A38" s="171"/>
      <c r="B38" s="197"/>
      <c r="C38" s="197"/>
      <c r="D38" s="197"/>
      <c r="E38" s="172"/>
      <c r="F38" s="172"/>
      <c r="G38" s="172"/>
      <c r="H38" s="173"/>
      <c r="I38" s="173"/>
      <c r="J38" s="172"/>
      <c r="K38" s="174"/>
      <c r="L38" s="175"/>
      <c r="M38" s="174"/>
      <c r="N38" s="174"/>
      <c r="O38" s="174"/>
      <c r="P38" s="174"/>
      <c r="Q38" s="174"/>
      <c r="R38" s="174"/>
      <c r="S38" s="112"/>
      <c r="T38" s="112"/>
      <c r="U38" s="110"/>
      <c r="V38" s="112"/>
      <c r="W38" s="27">
        <f ca="1">SUMIF(S!$A$5:$J$152,Jun!G38,S!$M$5:$M$152)</f>
        <v>0</v>
      </c>
      <c r="X38" s="177">
        <f>SUMIF(T!$A$4:$A$371,B38,T!$B$4:$B$371)+SUMIF(T!$A$4:$A$371,C38,T!$B$4:$B$371)+SUMIF(T!$A$4:$A$371,D38,T!$B$4:$B$371)+(K38+O38)+(L38+P38)*EERR!$D$2</f>
        <v>0</v>
      </c>
      <c r="Y38" s="178">
        <f>X38/EERR!$D$2</f>
        <v>0</v>
      </c>
      <c r="Z38" s="184">
        <f t="shared" si="5"/>
        <v>0</v>
      </c>
      <c r="AA38" s="240">
        <f ca="1">SUMIF(S!$A$5:$J$152,Jun!G38,S!$I$5:$I$152)*EERR!$D$2*1.19</f>
        <v>0</v>
      </c>
      <c r="AB38" s="240"/>
    </row>
    <row r="39" spans="1:28" ht="15" customHeight="1" x14ac:dyDescent="0.25">
      <c r="A39" s="171"/>
      <c r="B39" s="197"/>
      <c r="C39" s="197"/>
      <c r="D39" s="197"/>
      <c r="E39" s="172"/>
      <c r="F39" s="172"/>
      <c r="G39" s="172"/>
      <c r="H39" s="173"/>
      <c r="I39" s="173"/>
      <c r="J39" s="172"/>
      <c r="K39" s="174"/>
      <c r="L39" s="175"/>
      <c r="M39" s="174"/>
      <c r="N39" s="174"/>
      <c r="O39" s="174"/>
      <c r="P39" s="174"/>
      <c r="Q39" s="174"/>
      <c r="R39" s="174"/>
      <c r="S39" s="112"/>
      <c r="T39" s="112"/>
      <c r="U39" s="110"/>
      <c r="V39" s="112"/>
      <c r="W39" s="27">
        <f ca="1">SUMIF(S!$A$5:$J$152,Jun!G39,S!$M$5:$M$152)</f>
        <v>0</v>
      </c>
      <c r="X39" s="177">
        <f>SUMIF(T!$A$4:$A$371,B39,T!$B$4:$B$371)+SUMIF(T!$A$4:$A$371,C39,T!$B$4:$B$371)+SUMIF(T!$A$4:$A$371,D39,T!$B$4:$B$371)+(K39+O39)+(L39+P39)*EERR!$D$2</f>
        <v>0</v>
      </c>
      <c r="Y39" s="178">
        <f>X39/EERR!$D$2</f>
        <v>0</v>
      </c>
      <c r="Z39" s="184">
        <f t="shared" si="5"/>
        <v>0</v>
      </c>
      <c r="AA39" s="240">
        <f ca="1">SUMIF(S!$A$5:$J$152,Jun!G39,S!$I$5:$I$152)*EERR!$D$2*1.19</f>
        <v>0</v>
      </c>
      <c r="AB39" s="240"/>
    </row>
    <row r="40" spans="1:28" ht="15" customHeight="1" x14ac:dyDescent="0.25">
      <c r="A40" s="171"/>
      <c r="B40" s="197"/>
      <c r="C40" s="197"/>
      <c r="D40" s="197"/>
      <c r="E40" s="172"/>
      <c r="F40" s="172"/>
      <c r="G40" s="172"/>
      <c r="H40" s="173"/>
      <c r="I40" s="173"/>
      <c r="J40" s="172"/>
      <c r="K40" s="174"/>
      <c r="L40" s="175"/>
      <c r="M40" s="174"/>
      <c r="N40" s="174"/>
      <c r="O40" s="174"/>
      <c r="P40" s="174"/>
      <c r="Q40" s="174"/>
      <c r="R40" s="174"/>
      <c r="S40" s="112"/>
      <c r="T40" s="112"/>
      <c r="U40" s="110"/>
      <c r="V40" s="112"/>
      <c r="W40" s="27">
        <f ca="1">SUMIF(S!$A$5:$J$152,Jun!G40,S!$M$5:$M$152)</f>
        <v>0</v>
      </c>
      <c r="X40" s="177">
        <f>SUMIF(T!$A$4:$A$371,B40,T!$B$4:$B$371)+SUMIF(T!$A$4:$A$371,C40,T!$B$4:$B$371)+SUMIF(T!$A$4:$A$371,D40,T!$B$4:$B$371)+(K40+O40)+(L40+P40)*EERR!$D$2</f>
        <v>0</v>
      </c>
      <c r="Y40" s="178">
        <f>X40/EERR!$D$2</f>
        <v>0</v>
      </c>
      <c r="Z40" s="184">
        <f t="shared" si="5"/>
        <v>0</v>
      </c>
      <c r="AA40" s="240">
        <f ca="1">SUMIF(S!$A$5:$J$152,Jun!G40,S!$I$5:$I$152)*EERR!$D$2*1.19</f>
        <v>0</v>
      </c>
      <c r="AB40" s="240"/>
    </row>
    <row r="41" spans="1:28" ht="15" customHeight="1" x14ac:dyDescent="0.25">
      <c r="A41" s="171"/>
      <c r="B41" s="197"/>
      <c r="C41" s="197"/>
      <c r="D41" s="197"/>
      <c r="E41" s="172"/>
      <c r="F41" s="172"/>
      <c r="G41" s="172"/>
      <c r="H41" s="173"/>
      <c r="I41" s="173"/>
      <c r="J41" s="172"/>
      <c r="K41" s="174"/>
      <c r="L41" s="175"/>
      <c r="M41" s="174"/>
      <c r="N41" s="174"/>
      <c r="O41" s="174"/>
      <c r="P41" s="174"/>
      <c r="Q41" s="174"/>
      <c r="R41" s="174"/>
      <c r="S41" s="112"/>
      <c r="T41" s="112"/>
      <c r="U41" s="110"/>
      <c r="V41" s="112"/>
      <c r="W41" s="27">
        <f ca="1">SUMIF(S!$A$5:$J$152,Jun!G41,S!$M$5:$M$152)</f>
        <v>0</v>
      </c>
      <c r="X41" s="177">
        <f>SUMIF(T!$A$4:$A$371,B41,T!$B$4:$B$371)+SUMIF(T!$A$4:$A$371,C41,T!$B$4:$B$371)+SUMIF(T!$A$4:$A$371,D41,T!$B$4:$B$371)+(K41+O41)+(L41+P41)*EERR!$D$2</f>
        <v>0</v>
      </c>
      <c r="Y41" s="178">
        <f>X41/EERR!$D$2</f>
        <v>0</v>
      </c>
      <c r="Z41" s="184">
        <f t="shared" si="5"/>
        <v>0</v>
      </c>
      <c r="AA41" s="240">
        <f ca="1">SUMIF(S!$A$5:$J$152,Jun!G41,S!$I$5:$I$152)*EERR!$D$2*1.19</f>
        <v>0</v>
      </c>
      <c r="AB41" s="240"/>
    </row>
    <row r="42" spans="1:28" ht="15" customHeight="1" x14ac:dyDescent="0.25">
      <c r="A42" s="171"/>
      <c r="B42" s="197"/>
      <c r="C42" s="197"/>
      <c r="D42" s="197"/>
      <c r="E42" s="172"/>
      <c r="F42" s="172"/>
      <c r="G42" s="172"/>
      <c r="H42" s="173"/>
      <c r="I42" s="173"/>
      <c r="J42" s="172"/>
      <c r="K42" s="174"/>
      <c r="L42" s="175"/>
      <c r="M42" s="174"/>
      <c r="N42" s="174"/>
      <c r="O42" s="174"/>
      <c r="P42" s="174"/>
      <c r="Q42" s="174"/>
      <c r="R42" s="174"/>
      <c r="S42" s="112"/>
      <c r="T42" s="112"/>
      <c r="U42" s="110"/>
      <c r="V42" s="112"/>
      <c r="W42" s="27">
        <f ca="1">SUMIF(S!$A$5:$J$152,Jun!G42,S!$M$5:$M$152)</f>
        <v>0</v>
      </c>
      <c r="X42" s="177">
        <f>SUMIF(T!$A$4:$A$371,B42,T!$B$4:$B$371)+SUMIF(T!$A$4:$A$371,C42,T!$B$4:$B$371)+SUMIF(T!$A$4:$A$371,D42,T!$B$4:$B$371)+(K42+O42)+(L42+P42)*EERR!$D$2</f>
        <v>0</v>
      </c>
      <c r="Y42" s="178">
        <f>X42/EERR!$D$2</f>
        <v>0</v>
      </c>
      <c r="Z42" s="184">
        <f t="shared" si="5"/>
        <v>0</v>
      </c>
      <c r="AA42" s="240">
        <f ca="1">SUMIF(S!$A$5:$J$152,Jun!G42,S!$I$5:$I$152)*EERR!$D$2*1.19</f>
        <v>0</v>
      </c>
      <c r="AB42" s="240"/>
    </row>
    <row r="43" spans="1:28" ht="15" customHeight="1" x14ac:dyDescent="0.25">
      <c r="A43" s="171"/>
      <c r="B43" s="197"/>
      <c r="C43" s="197"/>
      <c r="D43" s="197"/>
      <c r="E43" s="172"/>
      <c r="F43" s="172"/>
      <c r="G43" s="172"/>
      <c r="H43" s="173"/>
      <c r="I43" s="173"/>
      <c r="J43" s="172"/>
      <c r="K43" s="174"/>
      <c r="L43" s="175"/>
      <c r="M43" s="174"/>
      <c r="N43" s="174"/>
      <c r="O43" s="174"/>
      <c r="P43" s="174"/>
      <c r="Q43" s="174"/>
      <c r="R43" s="174"/>
      <c r="S43" s="112"/>
      <c r="T43" s="112"/>
      <c r="U43" s="110"/>
      <c r="V43" s="112"/>
      <c r="W43" s="27">
        <f ca="1">SUMIF(S!$A$5:$J$152,Jun!G43,S!$M$5:$M$152)</f>
        <v>0</v>
      </c>
      <c r="X43" s="177">
        <f>SUMIF(T!$A$4:$A$371,B43,T!$B$4:$B$371)+SUMIF(T!$A$4:$A$371,C43,T!$B$4:$B$371)+SUMIF(T!$A$4:$A$371,D43,T!$B$4:$B$371)+(K43+O43)+(L43+P43)*EERR!$D$2</f>
        <v>0</v>
      </c>
      <c r="Y43" s="178">
        <f>X43/EERR!$D$2</f>
        <v>0</v>
      </c>
      <c r="Z43" s="184">
        <f t="shared" si="5"/>
        <v>0</v>
      </c>
      <c r="AA43" s="240">
        <f ca="1">SUMIF(S!$A$5:$J$152,Jun!G43,S!$I$5:$I$152)*EERR!$D$2*1.19</f>
        <v>0</v>
      </c>
      <c r="AB43" s="240"/>
    </row>
    <row r="44" spans="1:28" ht="15" customHeight="1" x14ac:dyDescent="0.25">
      <c r="A44" s="171"/>
      <c r="B44" s="197"/>
      <c r="C44" s="197"/>
      <c r="D44" s="197"/>
      <c r="E44" s="172"/>
      <c r="F44" s="172"/>
      <c r="G44" s="172"/>
      <c r="H44" s="173"/>
      <c r="I44" s="173"/>
      <c r="J44" s="172"/>
      <c r="K44" s="174"/>
      <c r="L44" s="175"/>
      <c r="M44" s="174"/>
      <c r="N44" s="174"/>
      <c r="O44" s="174"/>
      <c r="P44" s="174"/>
      <c r="Q44" s="174"/>
      <c r="R44" s="174"/>
      <c r="S44" s="112"/>
      <c r="T44" s="112"/>
      <c r="U44" s="110"/>
      <c r="V44" s="112"/>
      <c r="X44" s="177"/>
      <c r="Y44" s="178"/>
      <c r="Z44" s="184"/>
      <c r="AA44" s="240"/>
      <c r="AB44" s="240"/>
    </row>
    <row r="45" spans="1:28" ht="15" customHeight="1" x14ac:dyDescent="0.25">
      <c r="A45" s="171"/>
      <c r="B45" s="197"/>
      <c r="C45" s="197"/>
      <c r="D45" s="197"/>
      <c r="E45" s="172"/>
      <c r="F45" s="172"/>
      <c r="G45" s="172"/>
      <c r="H45" s="173"/>
      <c r="I45" s="173"/>
      <c r="J45" s="172"/>
      <c r="K45" s="174"/>
      <c r="L45" s="175"/>
      <c r="M45" s="174"/>
      <c r="N45" s="174"/>
      <c r="O45" s="174"/>
      <c r="P45" s="174"/>
      <c r="Q45" s="174"/>
      <c r="R45" s="174"/>
      <c r="S45" s="112"/>
      <c r="T45" s="112"/>
      <c r="U45" s="110"/>
      <c r="V45" s="112"/>
      <c r="X45" s="177"/>
      <c r="Y45" s="178"/>
      <c r="Z45" s="184"/>
      <c r="AA45" s="240"/>
      <c r="AB45" s="240"/>
    </row>
    <row r="46" spans="1:28" ht="15" customHeight="1" x14ac:dyDescent="0.25">
      <c r="A46" s="171"/>
      <c r="B46" s="197"/>
      <c r="C46" s="197"/>
      <c r="D46" s="197"/>
      <c r="E46" s="172"/>
      <c r="F46" s="172"/>
      <c r="G46" s="172"/>
      <c r="H46" s="173"/>
      <c r="I46" s="173"/>
      <c r="J46" s="172"/>
      <c r="K46" s="174"/>
      <c r="L46" s="175"/>
      <c r="M46" s="174"/>
      <c r="N46" s="174"/>
      <c r="O46" s="174"/>
      <c r="P46" s="174"/>
      <c r="Q46" s="174"/>
      <c r="R46" s="174"/>
      <c r="S46" s="112"/>
      <c r="T46" s="112"/>
      <c r="U46" s="110"/>
      <c r="V46" s="112"/>
      <c r="X46" s="177"/>
      <c r="Y46" s="178"/>
      <c r="Z46" s="184"/>
      <c r="AA46" s="240"/>
      <c r="AB46" s="240"/>
    </row>
    <row r="47" spans="1:28" ht="15" customHeight="1" x14ac:dyDescent="0.25">
      <c r="A47" s="171"/>
      <c r="B47" s="197"/>
      <c r="C47" s="197"/>
      <c r="D47" s="197"/>
      <c r="E47" s="172"/>
      <c r="F47" s="172"/>
      <c r="G47" s="172"/>
      <c r="H47" s="173"/>
      <c r="I47" s="173"/>
      <c r="J47" s="172"/>
      <c r="K47" s="174"/>
      <c r="L47" s="175"/>
      <c r="M47" s="174"/>
      <c r="N47" s="174"/>
      <c r="O47" s="174"/>
      <c r="P47" s="174"/>
      <c r="Q47" s="174"/>
      <c r="R47" s="174"/>
      <c r="S47" s="112">
        <f t="shared" ref="S47" si="6">L47+N47+P47+R47</f>
        <v>0</v>
      </c>
      <c r="T47" s="112">
        <f t="shared" ref="T47" si="7">M47+O47+K47+Q47</f>
        <v>0</v>
      </c>
      <c r="U47" s="110">
        <f>IF(J47=0,(S47+T47/EERR!$D$2/1.19),(S47+T47/EERR!$D$2/1.19)/J47)</f>
        <v>0</v>
      </c>
      <c r="V47" s="112">
        <f>T47+S47*EERR!$D$2</f>
        <v>0</v>
      </c>
      <c r="W47" s="27">
        <f ca="1">SUMIF(S!$A$5:$J$152,Jun!G47,S!$M$5:$M$152)</f>
        <v>0</v>
      </c>
      <c r="X47" s="335">
        <f>SUMIF(T!$A$4:$A$371,B47,T!$B$4:$B$371)+SUMIF(T!$A$4:$A$371,C47,T!$B$4:$B$371)+SUMIF(T!$A$4:$A$371,D47,T!$B$4:$B$371)+(K47+O47)+(L47+P47)*EERR!$D$2</f>
        <v>0</v>
      </c>
      <c r="Y47" s="177">
        <f>X47/EERR!$D$2</f>
        <v>0</v>
      </c>
      <c r="Z47" s="184">
        <f t="shared" si="1"/>
        <v>0</v>
      </c>
      <c r="AA47" s="240">
        <f ca="1">SUMIF(S!$A$5:$J$152,Jun!G47,S!$I$5:$I$152)*EERR!$D$2*1.19</f>
        <v>0</v>
      </c>
      <c r="AB47" s="240">
        <f t="shared" ca="1" si="4"/>
        <v>0</v>
      </c>
    </row>
    <row r="48" spans="1:28" ht="12.75" x14ac:dyDescent="0.2">
      <c r="A48" s="156"/>
      <c r="B48" s="156"/>
      <c r="C48" s="156"/>
      <c r="D48" s="156"/>
      <c r="E48" s="156"/>
      <c r="F48" s="156"/>
      <c r="G48" s="156"/>
      <c r="H48" s="161"/>
      <c r="I48" s="161"/>
      <c r="J48" s="162">
        <f t="shared" ref="J48:R48" si="8">SUM(J3:J47)</f>
        <v>27</v>
      </c>
      <c r="K48" s="162">
        <f t="shared" si="8"/>
        <v>0</v>
      </c>
      <c r="L48" s="162">
        <f t="shared" si="8"/>
        <v>0</v>
      </c>
      <c r="M48" s="162">
        <f t="shared" si="8"/>
        <v>1072181</v>
      </c>
      <c r="N48" s="162">
        <f t="shared" si="8"/>
        <v>2702.28</v>
      </c>
      <c r="O48" s="162">
        <f t="shared" si="8"/>
        <v>0</v>
      </c>
      <c r="P48" s="162">
        <f t="shared" si="8"/>
        <v>0</v>
      </c>
      <c r="Q48" s="162">
        <f t="shared" si="8"/>
        <v>179507</v>
      </c>
      <c r="R48" s="162">
        <f t="shared" si="8"/>
        <v>1140.1599999999999</v>
      </c>
      <c r="S48" s="162">
        <f>SUM(S3:S47)</f>
        <v>3842.4400000000005</v>
      </c>
      <c r="T48" s="162">
        <f>SUM(T3:T47)</f>
        <v>1251688</v>
      </c>
      <c r="U48" s="162">
        <f>IF(J48=0,(S48+T48/EERR!$D$2/1.19),(S48+T48/EERR!$D$2/1.19)/J48)</f>
        <v>191.06977311742389</v>
      </c>
      <c r="V48" s="162">
        <f>SUM(V3:V47)</f>
        <v>4321797.5599999996</v>
      </c>
      <c r="W48" s="162">
        <f ca="1">SUM(W3:W47)</f>
        <v>27</v>
      </c>
      <c r="X48" s="334">
        <f>SUM(X3:X47)</f>
        <v>4321797.5599999996</v>
      </c>
      <c r="Y48" s="162">
        <f>SUM(Y3:Y47)</f>
        <v>5409.0082102628285</v>
      </c>
      <c r="Z48" s="184">
        <f t="shared" si="1"/>
        <v>0</v>
      </c>
      <c r="AA48" s="240">
        <f ca="1">SUMIF(S!$A$5:$J$152,Jun!G48,S!$I$5:$I$152)*EERR!$D$2*1.19</f>
        <v>0</v>
      </c>
      <c r="AB48" s="240"/>
    </row>
    <row r="49" spans="1:31" x14ac:dyDescent="0.25">
      <c r="A49" s="171">
        <v>1711</v>
      </c>
      <c r="B49" s="197">
        <v>1221</v>
      </c>
      <c r="C49" s="197">
        <v>1239</v>
      </c>
      <c r="D49" s="197"/>
      <c r="E49" s="172" t="s">
        <v>462</v>
      </c>
      <c r="F49" s="172" t="s">
        <v>255</v>
      </c>
      <c r="G49" s="183" t="s">
        <v>461</v>
      </c>
      <c r="H49" s="173">
        <v>45078</v>
      </c>
      <c r="I49" s="173">
        <v>45081</v>
      </c>
      <c r="J49" s="172">
        <v>3</v>
      </c>
      <c r="K49" s="174"/>
      <c r="L49" s="175"/>
      <c r="M49" s="174">
        <v>363542</v>
      </c>
      <c r="N49" s="174"/>
      <c r="O49" s="174"/>
      <c r="P49" s="174"/>
      <c r="Q49" s="174">
        <v>182970</v>
      </c>
      <c r="R49" s="174"/>
      <c r="S49" s="112">
        <f t="shared" ref="S49" si="9">L49+N49+P49+R49</f>
        <v>0</v>
      </c>
      <c r="T49" s="112">
        <f t="shared" ref="T49" si="10">M49+O49+K49+Q49</f>
        <v>546512</v>
      </c>
      <c r="U49" s="110">
        <f>IF(J49=0,(S49+T49/EERR!$D$2/1.19),(S49+T49/EERR!$D$2/1.19)/J49)</f>
        <v>191.59523634234668</v>
      </c>
      <c r="V49" s="112">
        <f>T49+S49*EERR!$D$2</f>
        <v>546512</v>
      </c>
      <c r="W49" s="27">
        <f ca="1">SUMIF(S!$A$5:$J$152,Jun!G49,S!$M$5:$M$152)</f>
        <v>3</v>
      </c>
      <c r="X49" s="177">
        <f>SUMIF(T!$A$4:$A$371,B49,T!$B$4:$B$371)+SUMIF(T!$A$4:$A$371,C49,T!$B$4:$B$371)+SUMIF(T!$A$4:$A$371,D49,T!$B$4:$B$371)+(K49+O49)+(L49+P49)*EERR!$D$2</f>
        <v>546512</v>
      </c>
      <c r="Y49" s="178">
        <f>X49/EERR!$D$2</f>
        <v>683.99499374217771</v>
      </c>
      <c r="Z49" s="184">
        <f t="shared" si="1"/>
        <v>0</v>
      </c>
      <c r="AA49" s="240">
        <f ca="1">SUMIF(S!$A$5:$J$152,Jun!G49,S!$I$5:$I$152)*EERR!$D$2*1.19</f>
        <v>541961.69999999995</v>
      </c>
      <c r="AB49" s="240">
        <f t="shared" ca="1" si="4"/>
        <v>4550.3000000000466</v>
      </c>
    </row>
    <row r="50" spans="1:31" x14ac:dyDescent="0.25">
      <c r="A50" s="171">
        <v>1713</v>
      </c>
      <c r="B50" s="197">
        <v>1236</v>
      </c>
      <c r="C50" s="197"/>
      <c r="D50" s="197"/>
      <c r="E50" s="172" t="s">
        <v>465</v>
      </c>
      <c r="F50" s="172" t="s">
        <v>255</v>
      </c>
      <c r="G50" s="183" t="s">
        <v>464</v>
      </c>
      <c r="H50" s="173">
        <v>45080</v>
      </c>
      <c r="I50" s="173">
        <v>45081</v>
      </c>
      <c r="J50" s="172">
        <v>1</v>
      </c>
      <c r="K50" s="174"/>
      <c r="L50" s="175"/>
      <c r="M50" s="174"/>
      <c r="N50" s="174"/>
      <c r="O50" s="174"/>
      <c r="P50" s="174"/>
      <c r="Q50" s="174">
        <v>181771</v>
      </c>
      <c r="R50" s="174"/>
      <c r="S50" s="112">
        <f t="shared" ref="S50:S80" si="11">L50+N50+P50+R50</f>
        <v>0</v>
      </c>
      <c r="T50" s="112">
        <f t="shared" ref="T50:T80" si="12">M50+O50+K50+Q50</f>
        <v>181771</v>
      </c>
      <c r="U50" s="110">
        <f>IF(J50=0,(S50+T50/EERR!$D$2/1.19),(S50+T50/EERR!$D$2/1.19)/J50)</f>
        <v>191.17489298598039</v>
      </c>
      <c r="V50" s="112">
        <f>T50+S50*EERR!$D$2</f>
        <v>181771</v>
      </c>
      <c r="W50" s="27">
        <f ca="1">SUMIF(S!$A$5:$J$152,Jun!G50,S!$M$5:$M$152)</f>
        <v>1</v>
      </c>
      <c r="X50" s="177">
        <f>SUMIF(T!$A$4:$A$371,B50,T!$B$4:$B$371)+SUMIF(T!$A$4:$A$371,C50,T!$B$4:$B$371)+SUMIF(T!$A$4:$A$371,D50,T!$B$4:$B$371)+(K50+O50)+(L50+P50)*EERR!$D$2</f>
        <v>181771</v>
      </c>
      <c r="Y50" s="178">
        <f>X50/EERR!$D$2</f>
        <v>227.49812265331664</v>
      </c>
      <c r="Z50" s="184">
        <f t="shared" si="1"/>
        <v>0</v>
      </c>
      <c r="AA50" s="240">
        <f ca="1">SUMIF(S!$A$5:$J$152,Jun!G50,S!$I$5:$I$152)*EERR!$D$2*1.19</f>
        <v>180653.9</v>
      </c>
      <c r="AB50" s="240">
        <f t="shared" ca="1" si="4"/>
        <v>1117.1000000000058</v>
      </c>
    </row>
    <row r="51" spans="1:31" x14ac:dyDescent="0.25">
      <c r="A51" s="171">
        <v>7271</v>
      </c>
      <c r="B51" s="197">
        <v>1241</v>
      </c>
      <c r="C51" s="197">
        <v>1260</v>
      </c>
      <c r="D51" s="197"/>
      <c r="E51" s="172" t="s">
        <v>468</v>
      </c>
      <c r="F51" s="172" t="s">
        <v>255</v>
      </c>
      <c r="G51" s="183" t="s">
        <v>467</v>
      </c>
      <c r="H51" s="173">
        <v>45096</v>
      </c>
      <c r="I51" s="173">
        <v>45101</v>
      </c>
      <c r="J51" s="172">
        <v>5</v>
      </c>
      <c r="K51" s="174"/>
      <c r="L51" s="175"/>
      <c r="M51" s="174"/>
      <c r="N51" s="350">
        <v>760</v>
      </c>
      <c r="O51" s="174"/>
      <c r="P51" s="174"/>
      <c r="Q51" s="174"/>
      <c r="R51" s="174">
        <v>190</v>
      </c>
      <c r="S51" s="112">
        <f t="shared" si="11"/>
        <v>950</v>
      </c>
      <c r="T51" s="112">
        <f t="shared" si="12"/>
        <v>0</v>
      </c>
      <c r="U51" s="110">
        <f>IF(J51=0,(S51+T51/EERR!$D$2/1.19),(S51+T51/EERR!$D$2/1.19)/J51)</f>
        <v>190</v>
      </c>
      <c r="V51" s="112">
        <f>T51+S51*EERR!$D$2</f>
        <v>759050</v>
      </c>
      <c r="W51" s="27">
        <f ca="1">SUMIF(S!$A$5:$J$152,Jun!G51,S!$M$5:$M$152)</f>
        <v>5</v>
      </c>
      <c r="X51" s="177">
        <f>SUMIF(T!$A$4:$A$371,B51,T!$B$4:$B$371)+SUMIF(T!$A$4:$A$371,C51,T!$B$4:$B$371)+SUMIF(T!$A$4:$A$371,D51,T!$B$4:$B$371)+(K51+O51)+(L51+P51)*EERR!$D$2</f>
        <v>759050</v>
      </c>
      <c r="Y51" s="178">
        <f>X51/EERR!$D$2</f>
        <v>950</v>
      </c>
      <c r="Z51" s="184">
        <f t="shared" si="1"/>
        <v>0</v>
      </c>
      <c r="AA51" s="240">
        <f ca="1">SUMIF(S!$A$5:$J$152,Jun!G51,S!$I$5:$I$152)*EERR!$D$2*1.19</f>
        <v>903269.5</v>
      </c>
      <c r="AB51" s="240">
        <f t="shared" ref="AB51:AB110" ca="1" si="13">IF(X51-AA51&lt;1000,0,X51-AA51)</f>
        <v>0</v>
      </c>
    </row>
    <row r="52" spans="1:31" x14ac:dyDescent="0.25">
      <c r="A52" s="171">
        <v>1717</v>
      </c>
      <c r="B52" s="197">
        <v>1251</v>
      </c>
      <c r="C52" s="197">
        <v>1265</v>
      </c>
      <c r="D52" s="197"/>
      <c r="E52" s="172" t="s">
        <v>472</v>
      </c>
      <c r="F52" s="172" t="s">
        <v>255</v>
      </c>
      <c r="G52" s="183" t="s">
        <v>471</v>
      </c>
      <c r="H52" s="173">
        <v>45098</v>
      </c>
      <c r="I52" s="173">
        <v>45102</v>
      </c>
      <c r="J52" s="172">
        <v>4</v>
      </c>
      <c r="K52" s="174"/>
      <c r="L52" s="175"/>
      <c r="M52" s="174">
        <v>539676</v>
      </c>
      <c r="N52" s="174"/>
      <c r="O52" s="174"/>
      <c r="P52" s="174"/>
      <c r="Q52" s="174">
        <v>177986</v>
      </c>
      <c r="R52" s="174"/>
      <c r="S52" s="112">
        <f t="shared" si="11"/>
        <v>0</v>
      </c>
      <c r="T52" s="112">
        <f t="shared" si="12"/>
        <v>717662</v>
      </c>
      <c r="U52" s="110">
        <f>IF(J52=0,(S52+T52/EERR!$D$2/1.19),(S52+T52/EERR!$D$2/1.19)/J52)</f>
        <v>188.69753157833847</v>
      </c>
      <c r="V52" s="112">
        <f>T52+S52*EERR!$D$2</f>
        <v>717662</v>
      </c>
      <c r="W52" s="27">
        <f ca="1">SUMIF(S!$A$5:$J$152,Jun!G52,S!$M$5:$M$152)</f>
        <v>4</v>
      </c>
      <c r="X52" s="177">
        <f>SUMIF(T!$A$4:$A$371,B52,T!$B$4:$B$371)+SUMIF(T!$A$4:$A$371,C52,T!$B$4:$B$371)+SUMIF(T!$A$4:$A$371,D52,T!$B$4:$B$371)+(K52+O52)+(L52+P52)*EERR!$D$2</f>
        <v>717662</v>
      </c>
      <c r="Y52" s="178">
        <f>X52/EERR!$D$2</f>
        <v>898.20025031289106</v>
      </c>
      <c r="Z52" s="184">
        <f t="shared" si="1"/>
        <v>0</v>
      </c>
      <c r="AA52" s="240">
        <f ca="1">SUMIF(S!$A$5:$J$152,Jun!G52,S!$I$5:$I$152)*EERR!$D$2*1.19</f>
        <v>722615.6</v>
      </c>
      <c r="AB52" s="240">
        <f t="shared" ca="1" si="13"/>
        <v>0</v>
      </c>
    </row>
    <row r="53" spans="1:31" x14ac:dyDescent="0.25">
      <c r="A53" s="171">
        <v>1718</v>
      </c>
      <c r="B53" s="197">
        <v>1249</v>
      </c>
      <c r="C53" s="197">
        <v>1269</v>
      </c>
      <c r="D53" s="197"/>
      <c r="E53" s="172" t="s">
        <v>479</v>
      </c>
      <c r="F53" s="172" t="s">
        <v>255</v>
      </c>
      <c r="G53" s="183" t="s">
        <v>478</v>
      </c>
      <c r="H53" s="173">
        <v>45100</v>
      </c>
      <c r="I53" s="173">
        <v>45103</v>
      </c>
      <c r="J53" s="172">
        <v>3</v>
      </c>
      <c r="K53" s="174"/>
      <c r="L53" s="175"/>
      <c r="M53" s="174">
        <v>362619</v>
      </c>
      <c r="N53" s="174"/>
      <c r="O53" s="174"/>
      <c r="P53" s="174"/>
      <c r="Q53" s="174">
        <v>179404</v>
      </c>
      <c r="R53" s="174"/>
      <c r="S53" s="112">
        <f t="shared" si="11"/>
        <v>0</v>
      </c>
      <c r="T53" s="112">
        <f t="shared" si="12"/>
        <v>542023</v>
      </c>
      <c r="U53" s="110">
        <f>IF(J53=0,(S53+T53/EERR!$D$2/1.19),(S53+T53/EERR!$D$2/1.19)/J53)</f>
        <v>190.0214904484948</v>
      </c>
      <c r="V53" s="112">
        <f>T53+S53*EERR!$D$2</f>
        <v>542023</v>
      </c>
      <c r="W53" s="27">
        <f ca="1">SUMIF(S!$A$5:$J$152,Jun!G53,S!$M$5:$M$152)</f>
        <v>3</v>
      </c>
      <c r="X53" s="177">
        <f>SUMIF(T!$A$4:$A$371,B53,T!$B$4:$B$371)+SUMIF(T!$A$4:$A$371,C53,T!$B$4:$B$371)+SUMIF(T!$A$4:$A$371,D53,T!$B$4:$B$371)+(K53+O53)+(L53+P53)*EERR!$D$2</f>
        <v>542023</v>
      </c>
      <c r="Y53" s="178">
        <f>X53/EERR!$D$2</f>
        <v>678.37672090112642</v>
      </c>
      <c r="Z53" s="184">
        <f t="shared" si="1"/>
        <v>0</v>
      </c>
      <c r="AA53" s="240">
        <f ca="1">SUMIF(S!$A$5:$J$152,Jun!G53,S!$I$5:$I$152)*EERR!$D$2*1.19</f>
        <v>541961.69999999995</v>
      </c>
      <c r="AB53" s="240">
        <f t="shared" ca="1" si="13"/>
        <v>0</v>
      </c>
    </row>
    <row r="54" spans="1:31" x14ac:dyDescent="0.25">
      <c r="A54" s="171">
        <v>1720</v>
      </c>
      <c r="B54" s="197">
        <v>1258</v>
      </c>
      <c r="C54" s="197">
        <v>1273</v>
      </c>
      <c r="D54" s="197"/>
      <c r="E54" s="172" t="s">
        <v>482</v>
      </c>
      <c r="F54" s="172" t="s">
        <v>255</v>
      </c>
      <c r="G54" s="183" t="s">
        <v>481</v>
      </c>
      <c r="H54" s="173">
        <v>45101</v>
      </c>
      <c r="I54" s="173">
        <v>45103</v>
      </c>
      <c r="J54" s="172">
        <v>2</v>
      </c>
      <c r="K54" s="174"/>
      <c r="L54" s="175"/>
      <c r="M54" s="174">
        <v>182015</v>
      </c>
      <c r="N54" s="174"/>
      <c r="O54" s="174"/>
      <c r="P54" s="174"/>
      <c r="Q54" s="174">
        <v>179376</v>
      </c>
      <c r="R54" s="174"/>
      <c r="S54" s="112">
        <f t="shared" si="11"/>
        <v>0</v>
      </c>
      <c r="T54" s="112">
        <f t="shared" si="12"/>
        <v>361391</v>
      </c>
      <c r="U54" s="110">
        <f>IF(J54=0,(S54+T54/EERR!$D$2/1.19),(S54+T54/EERR!$D$2/1.19)/J54)</f>
        <v>190.04375216920309</v>
      </c>
      <c r="V54" s="112">
        <f>T54+S54*EERR!$D$2</f>
        <v>361391</v>
      </c>
      <c r="W54" s="27">
        <f ca="1">SUMIF(S!$A$5:$J$152,Jun!G54,S!$M$5:$M$152)</f>
        <v>2</v>
      </c>
      <c r="X54" s="177">
        <f>SUMIF(T!$A$4:$A$371,B54,T!$B$4:$B$371)+SUMIF(T!$A$4:$A$371,C54,T!$B$4:$B$371)+SUMIF(T!$A$4:$A$371,D54,T!$B$4:$B$371)+(K54+O54)+(L54+P54)*EERR!$D$2</f>
        <v>361391</v>
      </c>
      <c r="Y54" s="178">
        <f>X54/EERR!$D$2</f>
        <v>452.30413016270336</v>
      </c>
      <c r="Z54" s="184">
        <f t="shared" si="1"/>
        <v>0</v>
      </c>
      <c r="AA54" s="240">
        <f ca="1">SUMIF(S!$A$5:$J$152,Jun!G54,S!$I$5:$I$152)*EERR!$D$2*1.19</f>
        <v>361307.8</v>
      </c>
      <c r="AB54" s="240">
        <f t="shared" ca="1" si="13"/>
        <v>0</v>
      </c>
    </row>
    <row r="55" spans="1:31" x14ac:dyDescent="0.25">
      <c r="A55" s="171">
        <v>7279</v>
      </c>
      <c r="B55" s="197">
        <v>1253</v>
      </c>
      <c r="C55" s="197">
        <v>1277</v>
      </c>
      <c r="D55" s="197"/>
      <c r="E55" s="172" t="s">
        <v>485</v>
      </c>
      <c r="F55" s="172" t="s">
        <v>255</v>
      </c>
      <c r="G55" s="183" t="s">
        <v>484</v>
      </c>
      <c r="H55" s="173">
        <v>45103</v>
      </c>
      <c r="I55" s="173">
        <v>45107</v>
      </c>
      <c r="J55" s="172">
        <v>4</v>
      </c>
      <c r="K55" s="174"/>
      <c r="L55" s="175"/>
      <c r="M55" s="174"/>
      <c r="N55" s="174">
        <v>558</v>
      </c>
      <c r="O55" s="174"/>
      <c r="P55" s="174"/>
      <c r="Q55" s="174"/>
      <c r="R55" s="174">
        <v>186</v>
      </c>
      <c r="S55" s="112">
        <f t="shared" si="11"/>
        <v>744</v>
      </c>
      <c r="T55" s="112">
        <f t="shared" si="12"/>
        <v>0</v>
      </c>
      <c r="U55" s="110">
        <f>IF(J55=0,(S55+T55/EERR!$D$2/1.19),(S55+T55/EERR!$D$2/1.19)/J55)</f>
        <v>186</v>
      </c>
      <c r="V55" s="112">
        <f>T55+S55*EERR!$D$2</f>
        <v>594456</v>
      </c>
      <c r="W55" s="27">
        <f ca="1">SUMIF(S!$A$5:$J$152,Jun!G55,S!$M$5:$M$152)</f>
        <v>4</v>
      </c>
      <c r="X55" s="177">
        <f>SUMIF(T!$A$4:$A$371,B55,T!$B$4:$B$371)+SUMIF(T!$A$4:$A$371,C55,T!$B$4:$B$371)+SUMIF(T!$A$4:$A$371,D55,T!$B$4:$B$371)+(K55+O55)+(L55+P55)*EERR!$D$2</f>
        <v>594456</v>
      </c>
      <c r="Y55" s="178">
        <f>X55/EERR!$D$2</f>
        <v>744</v>
      </c>
      <c r="Z55" s="184">
        <f t="shared" si="1"/>
        <v>0</v>
      </c>
      <c r="AA55" s="240">
        <f ca="1">SUMIF(S!$A$5:$J$152,Jun!G55,S!$I$5:$I$152)*EERR!$D$2*1.19</f>
        <v>707402.64</v>
      </c>
      <c r="AB55" s="240">
        <f t="shared" ca="1" si="13"/>
        <v>0</v>
      </c>
    </row>
    <row r="56" spans="1:31" x14ac:dyDescent="0.25">
      <c r="A56" s="171">
        <v>7282</v>
      </c>
      <c r="B56" s="197">
        <v>1286</v>
      </c>
      <c r="C56" s="197"/>
      <c r="D56" s="197"/>
      <c r="E56" s="172" t="s">
        <v>486</v>
      </c>
      <c r="F56" s="172" t="s">
        <v>255</v>
      </c>
      <c r="G56" s="183" t="s">
        <v>489</v>
      </c>
      <c r="H56" s="173">
        <v>45107</v>
      </c>
      <c r="I56" s="173">
        <v>45108</v>
      </c>
      <c r="J56" s="172">
        <v>1</v>
      </c>
      <c r="K56" s="174"/>
      <c r="L56" s="175"/>
      <c r="M56" s="174"/>
      <c r="N56" s="174"/>
      <c r="O56" s="174"/>
      <c r="P56" s="174"/>
      <c r="Q56" s="174"/>
      <c r="R56" s="174">
        <v>190</v>
      </c>
      <c r="S56" s="112">
        <f t="shared" si="11"/>
        <v>190</v>
      </c>
      <c r="T56" s="112">
        <f t="shared" si="12"/>
        <v>0</v>
      </c>
      <c r="U56" s="110">
        <f>IF(J56=0,(S56+T56/EERR!$D$2/1.19),(S56+T56/EERR!$D$2/1.19)/J56)</f>
        <v>190</v>
      </c>
      <c r="V56" s="112">
        <f>T56+S56*EERR!$D$2</f>
        <v>151810</v>
      </c>
      <c r="W56" s="27">
        <f ca="1">SUMIF(S!$A$5:$J$152,Jun!G56,S!$M$5:$M$152)</f>
        <v>1</v>
      </c>
      <c r="X56" s="177">
        <f>SUMIF(T!$A$4:$A$371,B56,T!$B$4:$B$371)+SUMIF(T!$A$4:$A$371,C56,T!$B$4:$B$371)+SUMIF(T!$A$4:$A$371,D56,T!$B$4:$B$371)+(K56+O56)+(L56+P56)*EERR!$D$2</f>
        <v>151810</v>
      </c>
      <c r="Y56" s="178">
        <f>X56/EERR!$D$2</f>
        <v>190</v>
      </c>
      <c r="Z56" s="184">
        <f t="shared" si="1"/>
        <v>0</v>
      </c>
      <c r="AA56" s="240">
        <f ca="1">SUMIF(S!$A$5:$J$152,Jun!G56,S!$I$5:$I$152)*EERR!$D$2*1.19</f>
        <v>180653.9</v>
      </c>
      <c r="AB56" s="240">
        <f t="shared" ca="1" si="13"/>
        <v>0</v>
      </c>
    </row>
    <row r="57" spans="1:31" x14ac:dyDescent="0.25">
      <c r="A57" s="171"/>
      <c r="B57" s="197"/>
      <c r="C57" s="197"/>
      <c r="D57" s="197"/>
      <c r="E57" s="172"/>
      <c r="F57" s="172"/>
      <c r="G57" s="183"/>
      <c r="H57" s="173"/>
      <c r="I57" s="173"/>
      <c r="J57" s="172"/>
      <c r="K57" s="174"/>
      <c r="L57" s="175"/>
      <c r="M57" s="174"/>
      <c r="N57" s="174"/>
      <c r="O57" s="174"/>
      <c r="P57" s="174"/>
      <c r="Q57" s="174"/>
      <c r="R57" s="174"/>
      <c r="S57" s="112"/>
      <c r="T57" s="112"/>
      <c r="U57" s="110"/>
      <c r="V57" s="112"/>
      <c r="W57" s="27">
        <f ca="1">SUMIF(S!$A$5:$J$152,Jun!G57,S!$M$5:$M$152)</f>
        <v>0</v>
      </c>
      <c r="X57" s="177">
        <f>SUMIF(T!$A$4:$A$371,B57,T!$B$4:$B$371)+SUMIF(T!$A$4:$A$371,C57,T!$B$4:$B$371)+SUMIF(T!$A$4:$A$371,D57,T!$B$4:$B$371)+(K57+O57)+(L57+P57)*EERR!$D$2</f>
        <v>0</v>
      </c>
      <c r="Y57" s="178">
        <f>X57/EERR!$D$2</f>
        <v>0</v>
      </c>
      <c r="Z57" s="184">
        <f t="shared" si="1"/>
        <v>0</v>
      </c>
      <c r="AA57" s="240">
        <f ca="1">SUMIF(S!$A$5:$J$152,Jun!G57,S!$I$5:$I$152)*EERR!$D$2*1.19</f>
        <v>0</v>
      </c>
      <c r="AB57" s="240">
        <f t="shared" ca="1" si="13"/>
        <v>0</v>
      </c>
    </row>
    <row r="58" spans="1:31" x14ac:dyDescent="0.25">
      <c r="A58" s="171"/>
      <c r="B58" s="197"/>
      <c r="C58" s="197"/>
      <c r="D58" s="197"/>
      <c r="E58" s="172"/>
      <c r="F58" s="172"/>
      <c r="G58" s="183"/>
      <c r="H58" s="173"/>
      <c r="I58" s="173"/>
      <c r="J58" s="172"/>
      <c r="K58" s="174"/>
      <c r="L58" s="175"/>
      <c r="M58" s="174"/>
      <c r="N58" s="174"/>
      <c r="O58" s="174"/>
      <c r="P58" s="174"/>
      <c r="Q58" s="174"/>
      <c r="R58" s="174"/>
      <c r="S58" s="112"/>
      <c r="T58" s="112"/>
      <c r="U58" s="110"/>
      <c r="V58" s="112"/>
      <c r="W58" s="27">
        <f ca="1">SUMIF(S!$A$5:$J$152,Jun!G58,S!$M$5:$M$152)</f>
        <v>0</v>
      </c>
      <c r="X58" s="177">
        <f>SUMIF(T!$A$4:$A$371,B58,T!$B$4:$B$371)+SUMIF(T!$A$4:$A$371,C58,T!$B$4:$B$371)+SUMIF(T!$A$4:$A$371,D58,T!$B$4:$B$371)+(K58+O58)+(L58+P58)*EERR!$D$2</f>
        <v>0</v>
      </c>
      <c r="Y58" s="178">
        <f>X58/EERR!$D$2</f>
        <v>0</v>
      </c>
      <c r="Z58" s="184">
        <f t="shared" si="1"/>
        <v>0</v>
      </c>
      <c r="AA58" s="240">
        <f ca="1">SUMIF(S!$A$5:$J$152,Jun!G58,S!$I$5:$I$152)*EERR!$D$2*1.19</f>
        <v>0</v>
      </c>
      <c r="AB58" s="240">
        <f t="shared" ca="1" si="13"/>
        <v>0</v>
      </c>
    </row>
    <row r="59" spans="1:31" x14ac:dyDescent="0.25">
      <c r="A59" s="171"/>
      <c r="B59" s="197"/>
      <c r="C59" s="197"/>
      <c r="D59" s="197"/>
      <c r="E59" s="172"/>
      <c r="F59" s="172"/>
      <c r="G59" s="183"/>
      <c r="H59" s="173"/>
      <c r="I59" s="173"/>
      <c r="J59" s="172"/>
      <c r="K59" s="174"/>
      <c r="L59" s="175"/>
      <c r="M59" s="174"/>
      <c r="N59" s="174"/>
      <c r="O59" s="174"/>
      <c r="P59" s="174"/>
      <c r="Q59" s="174"/>
      <c r="R59" s="174"/>
      <c r="S59" s="112"/>
      <c r="T59" s="112"/>
      <c r="U59" s="110"/>
      <c r="V59" s="112"/>
      <c r="W59" s="27">
        <f ca="1">SUMIF(S!$A$5:$J$152,Jun!G59,S!$M$5:$M$152)</f>
        <v>0</v>
      </c>
      <c r="X59" s="177">
        <f>SUMIF(T!$A$4:$A$371,B59,T!$B$4:$B$371)+SUMIF(T!$A$4:$A$371,C59,T!$B$4:$B$371)+SUMIF(T!$A$4:$A$371,D59,T!$B$4:$B$371)+(K59+O59)+(L59+P59)*EERR!$D$2</f>
        <v>0</v>
      </c>
      <c r="Y59" s="178">
        <f>X59/EERR!$D$2</f>
        <v>0</v>
      </c>
      <c r="Z59" s="184">
        <f t="shared" si="1"/>
        <v>0</v>
      </c>
      <c r="AA59" s="240">
        <f ca="1">SUMIF(S!$A$5:$J$152,Jun!G59,S!$I$5:$I$152)*EERR!$D$2*1.19</f>
        <v>0</v>
      </c>
      <c r="AB59" s="240">
        <f t="shared" ca="1" si="13"/>
        <v>0</v>
      </c>
      <c r="AE59" s="27">
        <f>+O59/750</f>
        <v>0</v>
      </c>
    </row>
    <row r="60" spans="1:31" x14ac:dyDescent="0.25">
      <c r="A60" s="171"/>
      <c r="B60" s="197"/>
      <c r="C60" s="197"/>
      <c r="D60" s="197"/>
      <c r="E60" s="172"/>
      <c r="F60" s="172"/>
      <c r="G60" s="183"/>
      <c r="H60" s="173"/>
      <c r="I60" s="173"/>
      <c r="J60" s="172"/>
      <c r="K60" s="174"/>
      <c r="L60" s="175"/>
      <c r="M60" s="174"/>
      <c r="N60" s="174"/>
      <c r="O60" s="174"/>
      <c r="P60" s="174"/>
      <c r="Q60" s="174"/>
      <c r="R60" s="174"/>
      <c r="S60" s="112"/>
      <c r="T60" s="112"/>
      <c r="U60" s="110"/>
      <c r="V60" s="112"/>
      <c r="W60" s="27">
        <f ca="1">SUMIF(S!$A$5:$J$152,Jun!G60,S!$M$5:$M$152)</f>
        <v>0</v>
      </c>
      <c r="X60" s="177">
        <f>SUMIF(T!$A$4:$A$371,B60,T!$B$4:$B$371)+SUMIF(T!$A$4:$A$371,C60,T!$B$4:$B$371)+SUMIF(T!$A$4:$A$371,D60,T!$B$4:$B$371)+(K60+O60)+(L60+P60)*EERR!$D$2</f>
        <v>0</v>
      </c>
      <c r="Y60" s="178">
        <f>X60/EERR!$D$2</f>
        <v>0</v>
      </c>
      <c r="Z60" s="184">
        <f t="shared" si="1"/>
        <v>0</v>
      </c>
      <c r="AA60" s="240">
        <f ca="1">SUMIF(S!$A$5:$J$152,Jun!G60,S!$I$5:$I$152)*EERR!$D$2*1.19</f>
        <v>0</v>
      </c>
      <c r="AB60" s="240">
        <f t="shared" ca="1" si="13"/>
        <v>0</v>
      </c>
      <c r="AE60" s="27">
        <f t="shared" ref="AE60:AE64" si="14">+O60/750</f>
        <v>0</v>
      </c>
    </row>
    <row r="61" spans="1:31" x14ac:dyDescent="0.25">
      <c r="A61" s="171"/>
      <c r="B61" s="197"/>
      <c r="C61" s="197"/>
      <c r="D61" s="197"/>
      <c r="E61" s="172"/>
      <c r="F61" s="172"/>
      <c r="G61" s="183"/>
      <c r="H61" s="173"/>
      <c r="I61" s="173"/>
      <c r="J61" s="172"/>
      <c r="K61" s="174"/>
      <c r="L61" s="175"/>
      <c r="M61" s="174"/>
      <c r="N61" s="174"/>
      <c r="O61" s="174"/>
      <c r="P61" s="174"/>
      <c r="Q61" s="174"/>
      <c r="R61" s="174"/>
      <c r="S61" s="112"/>
      <c r="T61" s="112"/>
      <c r="U61" s="110">
        <f>IF(J61=0,(S61+T61/EERR!$D$2/1.19),(S61+T61/EERR!$D$2/1.19)/J61)</f>
        <v>0</v>
      </c>
      <c r="V61" s="112">
        <f>T61+S61*EERR!$D$2</f>
        <v>0</v>
      </c>
      <c r="W61" s="27">
        <f ca="1">SUMIF(S!$A$5:$J$152,Jun!G61,S!$M$5:$M$152)</f>
        <v>0</v>
      </c>
      <c r="X61" s="177">
        <f>SUMIF(T!$A$4:$A$371,B61,T!$B$4:$B$371)+SUMIF(T!$A$4:$A$371,C61,T!$B$4:$B$371)+SUMIF(T!$A$4:$A$371,D61,T!$B$4:$B$371)+(K61+O61)+(L61+P61)*EERR!$D$2</f>
        <v>0</v>
      </c>
      <c r="Y61" s="178">
        <f>X61/EERR!$D$2</f>
        <v>0</v>
      </c>
      <c r="Z61" s="184">
        <f t="shared" si="1"/>
        <v>0</v>
      </c>
      <c r="AA61" s="240">
        <f ca="1">SUMIF(S!$A$5:$J$152,Jun!G61,S!$I$5:$I$152)*EERR!$D$2*1.19</f>
        <v>0</v>
      </c>
      <c r="AB61" s="240">
        <f t="shared" ca="1" si="13"/>
        <v>0</v>
      </c>
      <c r="AE61" s="27">
        <f t="shared" si="14"/>
        <v>0</v>
      </c>
    </row>
    <row r="62" spans="1:31" x14ac:dyDescent="0.25">
      <c r="A62" s="171"/>
      <c r="B62" s="197"/>
      <c r="C62" s="197"/>
      <c r="D62" s="197"/>
      <c r="E62" s="172"/>
      <c r="F62" s="172"/>
      <c r="G62" s="183"/>
      <c r="H62" s="173"/>
      <c r="I62" s="173"/>
      <c r="J62" s="172"/>
      <c r="K62" s="174"/>
      <c r="L62" s="175"/>
      <c r="M62" s="174"/>
      <c r="N62" s="174"/>
      <c r="O62" s="174"/>
      <c r="P62" s="174"/>
      <c r="Q62" s="174"/>
      <c r="R62" s="174"/>
      <c r="S62" s="112"/>
      <c r="T62" s="112"/>
      <c r="U62" s="110">
        <f>IF(J62=0,(S62+T62/EERR!$D$2/1.19),(S62+T62/EERR!$D$2/1.19)/J62)</f>
        <v>0</v>
      </c>
      <c r="V62" s="112">
        <f>T62+S62*EERR!$D$2</f>
        <v>0</v>
      </c>
      <c r="W62" s="27">
        <f ca="1">SUMIF(S!$A$5:$J$152,Jun!G62,S!$M$5:$M$152)</f>
        <v>0</v>
      </c>
      <c r="X62" s="177">
        <f>SUMIF(T!$A$4:$A$371,B62,T!$B$4:$B$371)+SUMIF(T!$A$4:$A$371,C62,T!$B$4:$B$371)+SUMIF(T!$A$4:$A$371,D62,T!$B$4:$B$371)+(K62+O62)+(L62+P62)*EERR!$D$2</f>
        <v>0</v>
      </c>
      <c r="Y62" s="178">
        <f>X62/EERR!$D$2</f>
        <v>0</v>
      </c>
      <c r="Z62" s="184">
        <f t="shared" si="1"/>
        <v>0</v>
      </c>
      <c r="AA62" s="240">
        <f ca="1">SUMIF(S!$A$5:$J$152,Jun!G62,S!$I$5:$I$152)*EERR!$D$2*1.19</f>
        <v>0</v>
      </c>
      <c r="AB62" s="240">
        <f t="shared" ca="1" si="13"/>
        <v>0</v>
      </c>
      <c r="AE62" s="27">
        <f t="shared" si="14"/>
        <v>0</v>
      </c>
    </row>
    <row r="63" spans="1:31" x14ac:dyDescent="0.25">
      <c r="A63" s="171"/>
      <c r="B63" s="197"/>
      <c r="C63" s="344"/>
      <c r="D63" s="197"/>
      <c r="E63" s="172"/>
      <c r="F63" s="172"/>
      <c r="G63" s="183"/>
      <c r="H63" s="173"/>
      <c r="I63" s="173"/>
      <c r="J63" s="172"/>
      <c r="K63" s="174"/>
      <c r="L63" s="175"/>
      <c r="M63" s="174"/>
      <c r="N63" s="174"/>
      <c r="O63" s="174"/>
      <c r="P63" s="174"/>
      <c r="Q63" s="174"/>
      <c r="R63" s="174"/>
      <c r="S63" s="112"/>
      <c r="T63" s="112"/>
      <c r="U63" s="110">
        <f>IF(J63=0,(S63+T63/EERR!$D$2/1.19),(S63+T63/EERR!$D$2/1.19)/J63)</f>
        <v>0</v>
      </c>
      <c r="V63" s="112">
        <f>T63+S63*EERR!$D$2</f>
        <v>0</v>
      </c>
      <c r="W63" s="27">
        <f ca="1">SUMIF(S!$A$5:$J$152,Jun!G63,S!$M$5:$M$152)</f>
        <v>0</v>
      </c>
      <c r="X63" s="177">
        <f>SUMIF(T!$A$4:$A$371,B63,T!$B$4:$B$371)+SUMIF(T!$A$4:$A$371,C63,T!$B$4:$B$371)+SUMIF(T!$A$4:$A$371,D63,T!$B$4:$B$371)+(K63+O63)+(L63+P63)*EERR!$D$2</f>
        <v>0</v>
      </c>
      <c r="Y63" s="178">
        <f>X63/EERR!$D$2</f>
        <v>0</v>
      </c>
      <c r="Z63" s="184">
        <f t="shared" si="1"/>
        <v>0</v>
      </c>
      <c r="AA63" s="240">
        <f ca="1">SUMIF(S!$A$5:$J$152,Jun!G63,S!$I$5:$I$152)*EERR!$D$2*1.19</f>
        <v>0</v>
      </c>
      <c r="AB63" s="240">
        <f t="shared" ca="1" si="13"/>
        <v>0</v>
      </c>
      <c r="AE63" s="27">
        <f t="shared" si="14"/>
        <v>0</v>
      </c>
    </row>
    <row r="64" spans="1:31" x14ac:dyDescent="0.25">
      <c r="A64" s="171"/>
      <c r="B64" s="197"/>
      <c r="C64" s="197"/>
      <c r="D64" s="197"/>
      <c r="E64" s="172"/>
      <c r="F64" s="172"/>
      <c r="G64" s="183"/>
      <c r="H64" s="173"/>
      <c r="I64" s="173"/>
      <c r="J64" s="172"/>
      <c r="K64" s="174"/>
      <c r="L64" s="175"/>
      <c r="M64" s="174"/>
      <c r="N64" s="174"/>
      <c r="O64" s="174"/>
      <c r="P64" s="174"/>
      <c r="Q64" s="174"/>
      <c r="R64" s="174"/>
      <c r="S64" s="112"/>
      <c r="T64" s="112"/>
      <c r="U64" s="110">
        <f>IF(J64=0,(S64+T64/EERR!$D$2/1.19),(S64+T64/EERR!$D$2/1.19)/J64)</f>
        <v>0</v>
      </c>
      <c r="V64" s="112">
        <f>T64+S64*EERR!$D$2</f>
        <v>0</v>
      </c>
      <c r="W64" s="27">
        <f ca="1">SUMIF(S!$A$5:$J$152,Jun!G64,S!$M$5:$M$152)</f>
        <v>0</v>
      </c>
      <c r="X64" s="177">
        <f>SUMIF(T!$A$4:$A$371,B64,T!$B$4:$B$371)+SUMIF(T!$A$4:$A$371,C64,T!$B$4:$B$371)+SUMIF(T!$A$4:$A$371,D64,T!$B$4:$B$371)+(K64+O64)+(L64+P64)*EERR!$D$2</f>
        <v>0</v>
      </c>
      <c r="Y64" s="178">
        <f>X64/EERR!$D$2</f>
        <v>0</v>
      </c>
      <c r="Z64" s="184">
        <f t="shared" si="1"/>
        <v>0</v>
      </c>
      <c r="AA64" s="240">
        <f ca="1">SUMIF(S!$A$5:$J$152,Jun!G64,S!$I$5:$I$152)*EERR!$D$2*1.19</f>
        <v>0</v>
      </c>
      <c r="AB64" s="240">
        <f t="shared" ca="1" si="13"/>
        <v>0</v>
      </c>
      <c r="AE64" s="27">
        <f t="shared" si="14"/>
        <v>0</v>
      </c>
    </row>
    <row r="65" spans="1:28" x14ac:dyDescent="0.25">
      <c r="A65" s="171"/>
      <c r="B65" s="197"/>
      <c r="C65" s="197"/>
      <c r="D65" s="197"/>
      <c r="E65" s="172"/>
      <c r="F65" s="172"/>
      <c r="G65" s="183"/>
      <c r="H65" s="173"/>
      <c r="I65" s="173"/>
      <c r="J65" s="172"/>
      <c r="K65" s="174"/>
      <c r="L65" s="175"/>
      <c r="M65" s="174"/>
      <c r="N65" s="174"/>
      <c r="O65" s="174"/>
      <c r="P65" s="174"/>
      <c r="Q65" s="174"/>
      <c r="R65" s="174"/>
      <c r="S65" s="112"/>
      <c r="T65" s="112"/>
      <c r="U65" s="110">
        <f>IF(J65=0,(S65+T65/EERR!$D$2/1.19),(S65+T65/EERR!$D$2/1.19)/J65)</f>
        <v>0</v>
      </c>
      <c r="V65" s="112">
        <f>T65+S65*EERR!$D$2</f>
        <v>0</v>
      </c>
      <c r="W65" s="27">
        <f ca="1">SUMIF(S!$A$5:$J$152,Jun!G65,S!$M$5:$M$152)</f>
        <v>0</v>
      </c>
      <c r="X65" s="177">
        <f>SUMIF(T!$A$4:$A$371,B65,T!$B$4:$B$371)+SUMIF(T!$A$4:$A$371,C65,T!$B$4:$B$371)+SUMIF(T!$A$4:$A$371,D65,T!$B$4:$B$371)+(K65+O65)+(L65+P65)*EERR!$D$2</f>
        <v>0</v>
      </c>
      <c r="Y65" s="178">
        <f>X65/EERR!$D$2</f>
        <v>0</v>
      </c>
      <c r="Z65" s="184">
        <f t="shared" si="1"/>
        <v>0</v>
      </c>
      <c r="AA65" s="240">
        <f ca="1">SUMIF(S!$A$5:$J$152,Jun!G65,S!$I$5:$I$152)*EERR!$D$2*1.19</f>
        <v>0</v>
      </c>
      <c r="AB65" s="240">
        <f t="shared" ca="1" si="13"/>
        <v>0</v>
      </c>
    </row>
    <row r="66" spans="1:28" x14ac:dyDescent="0.25">
      <c r="A66" s="171"/>
      <c r="B66" s="197"/>
      <c r="C66" s="197"/>
      <c r="D66" s="197"/>
      <c r="E66" s="172"/>
      <c r="F66" s="172"/>
      <c r="G66" s="183"/>
      <c r="H66" s="173"/>
      <c r="I66" s="173"/>
      <c r="J66" s="172"/>
      <c r="K66" s="174"/>
      <c r="L66" s="175"/>
      <c r="M66" s="174"/>
      <c r="N66" s="174"/>
      <c r="O66" s="174"/>
      <c r="P66" s="174"/>
      <c r="Q66" s="174"/>
      <c r="R66" s="174"/>
      <c r="S66" s="112"/>
      <c r="T66" s="112"/>
      <c r="U66" s="110">
        <f>IF(J66=0,(S66+T66/EERR!$D$2/1.19),(S66+T66/EERR!$D$2/1.19)/J66)</f>
        <v>0</v>
      </c>
      <c r="V66" s="112">
        <f>T66+S66*EERR!$D$2</f>
        <v>0</v>
      </c>
      <c r="W66" s="27">
        <f ca="1">SUMIF(S!$A$5:$J$152,Jun!G66,S!$M$5:$M$152)</f>
        <v>0</v>
      </c>
      <c r="X66" s="177">
        <f>SUMIF(T!$A$4:$A$371,B66,T!$B$4:$B$371)+SUMIF(T!$A$4:$A$371,C66,T!$B$4:$B$371)+SUMIF(T!$A$4:$A$371,D66,T!$B$4:$B$371)+(K66+O66)+(L66+P66)*EERR!$D$2</f>
        <v>0</v>
      </c>
      <c r="Y66" s="178">
        <f>X66/EERR!$D$2</f>
        <v>0</v>
      </c>
      <c r="Z66" s="184">
        <f t="shared" si="1"/>
        <v>0</v>
      </c>
      <c r="AA66" s="240">
        <f ca="1">SUMIF(S!$A$5:$J$152,Jun!G66,S!$I$5:$I$152)*EERR!$D$2*1.19</f>
        <v>0</v>
      </c>
      <c r="AB66" s="240">
        <f t="shared" ca="1" si="13"/>
        <v>0</v>
      </c>
    </row>
    <row r="67" spans="1:28" x14ac:dyDescent="0.25">
      <c r="A67" s="171"/>
      <c r="B67" s="197"/>
      <c r="C67" s="197"/>
      <c r="D67" s="197"/>
      <c r="E67" s="172"/>
      <c r="F67" s="172"/>
      <c r="G67" s="183"/>
      <c r="H67" s="173"/>
      <c r="I67" s="173"/>
      <c r="J67" s="172"/>
      <c r="K67" s="174"/>
      <c r="L67" s="175"/>
      <c r="M67" s="174"/>
      <c r="N67" s="174"/>
      <c r="O67" s="174"/>
      <c r="P67" s="174"/>
      <c r="Q67" s="174"/>
      <c r="R67" s="174"/>
      <c r="S67" s="112"/>
      <c r="T67" s="112"/>
      <c r="U67" s="110">
        <f>IF(J67=0,(S67+T67/EERR!$D$2/1.19),(S67+T67/EERR!$D$2/1.19)/J67)</f>
        <v>0</v>
      </c>
      <c r="V67" s="112">
        <f>T67+S67*EERR!$D$2</f>
        <v>0</v>
      </c>
      <c r="W67" s="27">
        <f ca="1">SUMIF(S!$A$5:$J$152,Jun!G67,S!$M$5:$M$152)</f>
        <v>0</v>
      </c>
      <c r="X67" s="177">
        <f>SUMIF(T!$A$4:$A$371,B67,T!$B$4:$B$371)+SUMIF(T!$A$4:$A$371,C67,T!$B$4:$B$371)+SUMIF(T!$A$4:$A$371,D67,T!$B$4:$B$371)+(K67+O67)+(L67+P67)*EERR!$D$2</f>
        <v>0</v>
      </c>
      <c r="Y67" s="178">
        <f>X67/EERR!$D$2</f>
        <v>0</v>
      </c>
      <c r="Z67" s="184">
        <f t="shared" si="1"/>
        <v>0</v>
      </c>
      <c r="AA67" s="240"/>
      <c r="AB67" s="240"/>
    </row>
    <row r="68" spans="1:28" x14ac:dyDescent="0.25">
      <c r="A68" s="171"/>
      <c r="B68" s="197"/>
      <c r="C68" s="197"/>
      <c r="D68" s="197"/>
      <c r="E68" s="172"/>
      <c r="F68" s="172"/>
      <c r="G68" s="183"/>
      <c r="H68" s="173"/>
      <c r="I68" s="173"/>
      <c r="J68" s="172"/>
      <c r="K68" s="174"/>
      <c r="L68" s="175"/>
      <c r="M68" s="174"/>
      <c r="N68" s="174"/>
      <c r="O68" s="174"/>
      <c r="P68" s="174"/>
      <c r="Q68" s="174"/>
      <c r="R68" s="174"/>
      <c r="S68" s="112"/>
      <c r="T68" s="112"/>
      <c r="U68" s="110">
        <f>IF(J68=0,(S68+T68/EERR!$D$2/1.19),(S68+T68/EERR!$D$2/1.19)/J68)</f>
        <v>0</v>
      </c>
      <c r="V68" s="112">
        <f>T68+S68*EERR!$D$2</f>
        <v>0</v>
      </c>
      <c r="W68" s="27">
        <f ca="1">SUMIF(S!$A$5:$J$152,Jun!G68,S!$M$5:$M$152)</f>
        <v>0</v>
      </c>
      <c r="X68" s="177">
        <f>SUMIF(T!$A$4:$A$371,B68,T!$B$4:$B$371)+SUMIF(T!$A$4:$A$371,C68,T!$B$4:$B$371)+SUMIF(T!$A$4:$A$371,D68,T!$B$4:$B$371)+(K68+O68)+(L68+P68)*EERR!$D$2</f>
        <v>0</v>
      </c>
      <c r="Y68" s="178">
        <f>X68/EERR!$D$2</f>
        <v>0</v>
      </c>
      <c r="Z68" s="184">
        <f t="shared" si="1"/>
        <v>0</v>
      </c>
      <c r="AA68" s="240"/>
      <c r="AB68" s="240"/>
    </row>
    <row r="69" spans="1:28" x14ac:dyDescent="0.25">
      <c r="A69" s="171"/>
      <c r="B69" s="197"/>
      <c r="C69" s="197"/>
      <c r="D69" s="197"/>
      <c r="E69" s="172"/>
      <c r="F69" s="172"/>
      <c r="G69" s="183"/>
      <c r="H69" s="173"/>
      <c r="I69" s="173"/>
      <c r="J69" s="172"/>
      <c r="K69" s="174"/>
      <c r="L69" s="175"/>
      <c r="M69" s="174"/>
      <c r="N69" s="174"/>
      <c r="O69" s="174"/>
      <c r="P69" s="174"/>
      <c r="Q69" s="174"/>
      <c r="R69" s="174"/>
      <c r="S69" s="112"/>
      <c r="T69" s="112"/>
      <c r="U69" s="110">
        <f>IF(J69=0,(S69+T69/EERR!$D$2/1.19),(S69+T69/EERR!$D$2/1.19)/J69)</f>
        <v>0</v>
      </c>
      <c r="V69" s="112">
        <f>T69+S69*EERR!$D$2</f>
        <v>0</v>
      </c>
      <c r="W69" s="27">
        <f ca="1">SUMIF(S!$A$5:$J$152,Jun!G69,S!$M$5:$M$152)</f>
        <v>0</v>
      </c>
      <c r="X69" s="177">
        <f>SUMIF(T!$A$4:$A$371,B69,T!$B$4:$B$371)+SUMIF(T!$A$4:$A$371,C69,T!$B$4:$B$371)+SUMIF(T!$A$4:$A$371,D69,T!$B$4:$B$371)+(K69+O69)+(L69+P69)*EERR!$D$2</f>
        <v>0</v>
      </c>
      <c r="Y69" s="178">
        <f>X69/EERR!$D$2</f>
        <v>0</v>
      </c>
      <c r="Z69" s="184">
        <f t="shared" si="1"/>
        <v>0</v>
      </c>
      <c r="AA69" s="240"/>
      <c r="AB69" s="240"/>
    </row>
    <row r="70" spans="1:28" x14ac:dyDescent="0.25">
      <c r="A70" s="171"/>
      <c r="B70" s="197"/>
      <c r="C70" s="197"/>
      <c r="D70" s="197"/>
      <c r="E70" s="172"/>
      <c r="F70" s="172"/>
      <c r="G70" s="183"/>
      <c r="H70" s="173"/>
      <c r="I70" s="173"/>
      <c r="J70" s="172"/>
      <c r="K70" s="174"/>
      <c r="L70" s="175"/>
      <c r="M70" s="174"/>
      <c r="N70" s="174"/>
      <c r="O70" s="174"/>
      <c r="P70" s="174"/>
      <c r="Q70" s="174"/>
      <c r="R70" s="174"/>
      <c r="S70" s="112"/>
      <c r="T70" s="112"/>
      <c r="U70" s="110">
        <f>IF(J70=0,(S70+T70/EERR!$D$2/1.19),(S70+T70/EERR!$D$2/1.19)/J70)</f>
        <v>0</v>
      </c>
      <c r="V70" s="112">
        <f>T70+S70*EERR!$D$2</f>
        <v>0</v>
      </c>
      <c r="W70" s="27">
        <f ca="1">SUMIF(S!$A$5:$J$152,Jun!G70,S!$M$5:$M$152)</f>
        <v>0</v>
      </c>
      <c r="X70" s="177">
        <f>SUMIF(T!$A$4:$A$371,B70,T!$B$4:$B$371)+SUMIF(T!$A$4:$A$371,C70,T!$B$4:$B$371)+SUMIF(T!$A$4:$A$371,D70,T!$B$4:$B$371)+(K70+O70)+(L70+P70)*EERR!$D$2</f>
        <v>0</v>
      </c>
      <c r="Y70" s="178">
        <f>X70/EERR!$D$2</f>
        <v>0</v>
      </c>
      <c r="Z70" s="184">
        <f t="shared" si="1"/>
        <v>0</v>
      </c>
      <c r="AA70" s="240"/>
      <c r="AB70" s="240"/>
    </row>
    <row r="71" spans="1:28" x14ac:dyDescent="0.25">
      <c r="A71" s="171"/>
      <c r="B71" s="197"/>
      <c r="C71" s="197"/>
      <c r="D71" s="197"/>
      <c r="E71" s="172"/>
      <c r="F71" s="172"/>
      <c r="G71" s="183"/>
      <c r="H71" s="173"/>
      <c r="I71" s="173"/>
      <c r="J71" s="172"/>
      <c r="K71" s="174"/>
      <c r="L71" s="175"/>
      <c r="M71" s="174"/>
      <c r="N71" s="174"/>
      <c r="O71" s="174"/>
      <c r="P71" s="174"/>
      <c r="Q71" s="174"/>
      <c r="R71" s="174"/>
      <c r="S71" s="112"/>
      <c r="T71" s="112"/>
      <c r="U71" s="110">
        <f>IF(J71=0,(S71+T71/EERR!$D$2/1.19),(S71+T71/EERR!$D$2/1.19)/J71)</f>
        <v>0</v>
      </c>
      <c r="V71" s="112">
        <f>T71+S71*EERR!$D$2</f>
        <v>0</v>
      </c>
      <c r="W71" s="27">
        <f ca="1">SUMIF(S!$A$5:$J$152,Jun!G71,S!$M$5:$M$152)</f>
        <v>0</v>
      </c>
      <c r="X71" s="177">
        <f>SUMIF(T!$A$4:$A$371,B71,T!$B$4:$B$371)+SUMIF(T!$A$4:$A$371,C71,T!$B$4:$B$371)+SUMIF(T!$A$4:$A$371,D71,T!$B$4:$B$371)+(K71+O71)+(L71+P71)*EERR!$D$2</f>
        <v>0</v>
      </c>
      <c r="Y71" s="178">
        <f>X71/EERR!$D$2</f>
        <v>0</v>
      </c>
      <c r="Z71" s="184">
        <f t="shared" si="1"/>
        <v>0</v>
      </c>
      <c r="AA71" s="240"/>
      <c r="AB71" s="240"/>
    </row>
    <row r="72" spans="1:28" x14ac:dyDescent="0.25">
      <c r="A72" s="171"/>
      <c r="B72" s="197"/>
      <c r="C72" s="197"/>
      <c r="D72" s="197"/>
      <c r="E72" s="172"/>
      <c r="F72" s="172"/>
      <c r="G72" s="183"/>
      <c r="H72" s="173"/>
      <c r="I72" s="173"/>
      <c r="J72" s="172"/>
      <c r="K72" s="174"/>
      <c r="L72" s="175"/>
      <c r="M72" s="174"/>
      <c r="N72" s="174"/>
      <c r="O72" s="174"/>
      <c r="P72" s="174"/>
      <c r="Q72" s="174"/>
      <c r="R72" s="174"/>
      <c r="S72" s="112"/>
      <c r="T72" s="112"/>
      <c r="U72" s="110">
        <f>IF(J72=0,(S72+T72/EERR!$D$2/1.19),(S72+T72/EERR!$D$2/1.19)/J72)</f>
        <v>0</v>
      </c>
      <c r="V72" s="112">
        <f>T72+S72*EERR!$D$2</f>
        <v>0</v>
      </c>
      <c r="W72" s="27">
        <f ca="1">SUMIF(S!$A$5:$J$152,Jun!G72,S!$M$5:$M$152)</f>
        <v>0</v>
      </c>
      <c r="X72" s="177">
        <f>SUMIF(T!$A$4:$A$371,B72,T!$B$4:$B$371)+SUMIF(T!$A$4:$A$371,C72,T!$B$4:$B$371)+SUMIF(T!$A$4:$A$371,D72,T!$B$4:$B$371)+(K72+O72)+(L72+P72)*EERR!$D$2</f>
        <v>0</v>
      </c>
      <c r="Y72" s="178">
        <f>X72/EERR!$D$2</f>
        <v>0</v>
      </c>
      <c r="Z72" s="184">
        <f t="shared" si="1"/>
        <v>0</v>
      </c>
      <c r="AA72" s="240"/>
      <c r="AB72" s="240"/>
    </row>
    <row r="73" spans="1:28" x14ac:dyDescent="0.25">
      <c r="A73" s="171"/>
      <c r="B73" s="197"/>
      <c r="C73" s="197"/>
      <c r="D73" s="197"/>
      <c r="E73" s="172"/>
      <c r="F73" s="172"/>
      <c r="G73" s="183"/>
      <c r="H73" s="173"/>
      <c r="I73" s="173"/>
      <c r="J73" s="172"/>
      <c r="K73" s="174"/>
      <c r="L73" s="175"/>
      <c r="M73" s="174"/>
      <c r="N73" s="174"/>
      <c r="O73" s="174"/>
      <c r="P73" s="174"/>
      <c r="Q73" s="174"/>
      <c r="R73" s="174"/>
      <c r="S73" s="112"/>
      <c r="T73" s="112"/>
      <c r="U73" s="110">
        <f>IF(J73=0,(S73+T73/EERR!$D$2/1.19),(S73+T73/EERR!$D$2/1.19)/J73)</f>
        <v>0</v>
      </c>
      <c r="V73" s="112">
        <f>T73+S73*EERR!$D$2</f>
        <v>0</v>
      </c>
      <c r="W73" s="27">
        <f ca="1">SUMIF(S!$A$5:$J$152,Jun!G73,S!$M$5:$M$152)</f>
        <v>0</v>
      </c>
      <c r="X73" s="177">
        <f>SUMIF(T!$A$4:$A$371,B73,T!$B$4:$B$371)+SUMIF(T!$A$4:$A$371,C73,T!$B$4:$B$371)+SUMIF(T!$A$4:$A$371,D73,T!$B$4:$B$371)+(K73+O73)+(L73+P73)*EERR!$D$2</f>
        <v>0</v>
      </c>
      <c r="Y73" s="178">
        <f>X73/EERR!$D$2</f>
        <v>0</v>
      </c>
      <c r="Z73" s="184">
        <f t="shared" si="1"/>
        <v>0</v>
      </c>
      <c r="AA73" s="240"/>
      <c r="AB73" s="240"/>
    </row>
    <row r="74" spans="1:28" x14ac:dyDescent="0.25">
      <c r="A74" s="171"/>
      <c r="B74" s="197"/>
      <c r="C74" s="197"/>
      <c r="D74" s="197"/>
      <c r="E74" s="172"/>
      <c r="F74" s="172"/>
      <c r="G74" s="183"/>
      <c r="H74" s="173"/>
      <c r="I74" s="173"/>
      <c r="J74" s="172"/>
      <c r="K74" s="174"/>
      <c r="L74" s="175"/>
      <c r="M74" s="174"/>
      <c r="N74" s="174"/>
      <c r="O74" s="174"/>
      <c r="P74" s="174"/>
      <c r="Q74" s="174"/>
      <c r="R74" s="174"/>
      <c r="S74" s="112"/>
      <c r="T74" s="112"/>
      <c r="U74" s="110">
        <f>IF(J74=0,(S74+T74/EERR!$D$2/1.19),(S74+T74/EERR!$D$2/1.19)/J74)</f>
        <v>0</v>
      </c>
      <c r="V74" s="112">
        <f>T74+S74*EERR!$D$2</f>
        <v>0</v>
      </c>
      <c r="W74" s="27">
        <f ca="1">SUMIF(S!$A$5:$J$152,Jun!G74,S!$M$5:$M$152)</f>
        <v>0</v>
      </c>
      <c r="X74" s="177">
        <f>SUMIF(T!$A$4:$A$371,B74,T!$B$4:$B$371)+SUMIF(T!$A$4:$A$371,C74,T!$B$4:$B$371)+SUMIF(T!$A$4:$A$371,D74,T!$B$4:$B$371)+(K74+O74)+(L74+P74)*EERR!$D$2</f>
        <v>0</v>
      </c>
      <c r="Y74" s="178">
        <f>X74/EERR!$D$2</f>
        <v>0</v>
      </c>
      <c r="Z74" s="184">
        <f t="shared" si="1"/>
        <v>0</v>
      </c>
      <c r="AA74" s="240"/>
      <c r="AB74" s="240"/>
    </row>
    <row r="75" spans="1:28" x14ac:dyDescent="0.25">
      <c r="A75" s="171"/>
      <c r="B75" s="197"/>
      <c r="C75" s="197"/>
      <c r="D75" s="197"/>
      <c r="E75" s="172"/>
      <c r="F75" s="172"/>
      <c r="G75" s="183"/>
      <c r="H75" s="173"/>
      <c r="I75" s="173"/>
      <c r="J75" s="172"/>
      <c r="K75" s="174"/>
      <c r="L75" s="175"/>
      <c r="M75" s="174"/>
      <c r="N75" s="174"/>
      <c r="O75" s="174"/>
      <c r="P75" s="174"/>
      <c r="Q75" s="174"/>
      <c r="R75" s="174"/>
      <c r="S75" s="112"/>
      <c r="T75" s="112"/>
      <c r="U75" s="110">
        <f>IF(J75=0,(S75+T75/EERR!$D$2/1.19),(S75+T75/EERR!$D$2/1.19)/J75)</f>
        <v>0</v>
      </c>
      <c r="V75" s="112">
        <f>T75+S75*EERR!$D$2</f>
        <v>0</v>
      </c>
      <c r="W75" s="27">
        <f ca="1">SUMIF(S!$A$5:$J$152,Jun!G75,S!$M$5:$M$152)</f>
        <v>0</v>
      </c>
      <c r="X75" s="177">
        <f>SUMIF(T!$A$4:$A$371,B75,T!$B$4:$B$371)+SUMIF(T!$A$4:$A$371,C75,T!$B$4:$B$371)+SUMIF(T!$A$4:$A$371,D75,T!$B$4:$B$371)+(K75+O75)+(L75+P75)*EERR!$D$2</f>
        <v>0</v>
      </c>
      <c r="Y75" s="178">
        <f>X75/EERR!$D$2</f>
        <v>0</v>
      </c>
      <c r="Z75" s="184">
        <f t="shared" si="1"/>
        <v>0</v>
      </c>
      <c r="AA75" s="240"/>
      <c r="AB75" s="240"/>
    </row>
    <row r="76" spans="1:28" x14ac:dyDescent="0.25">
      <c r="A76" s="171"/>
      <c r="B76" s="197"/>
      <c r="C76" s="197"/>
      <c r="D76" s="197"/>
      <c r="E76" s="172"/>
      <c r="F76" s="172"/>
      <c r="G76" s="183"/>
      <c r="H76" s="173"/>
      <c r="I76" s="173"/>
      <c r="J76" s="172"/>
      <c r="K76" s="174"/>
      <c r="L76" s="175"/>
      <c r="M76" s="174"/>
      <c r="N76" s="174"/>
      <c r="O76" s="174"/>
      <c r="P76" s="174"/>
      <c r="Q76" s="174"/>
      <c r="R76" s="174"/>
      <c r="S76" s="112"/>
      <c r="T76" s="112"/>
      <c r="U76" s="110">
        <f>IF(J76=0,(S76+T76/EERR!$D$2/1.19),(S76+T76/EERR!$D$2/1.19)/J76)</f>
        <v>0</v>
      </c>
      <c r="V76" s="112">
        <f>T76+S76*EERR!$D$2</f>
        <v>0</v>
      </c>
      <c r="W76" s="27">
        <f ca="1">SUMIF(S!$A$5:$J$152,Jun!G76,S!$M$5:$M$152)</f>
        <v>0</v>
      </c>
      <c r="X76" s="177">
        <f>SUMIF(T!$A$4:$A$371,B76,T!$B$4:$B$371)+SUMIF(T!$A$4:$A$371,C76,T!$B$4:$B$371)+SUMIF(T!$A$4:$A$371,D76,T!$B$4:$B$371)+(K76+O76)+(L76+P76)*EERR!$D$2</f>
        <v>0</v>
      </c>
      <c r="Y76" s="178">
        <f>X76/EERR!$D$2</f>
        <v>0</v>
      </c>
      <c r="Z76" s="184">
        <f t="shared" si="1"/>
        <v>0</v>
      </c>
      <c r="AA76" s="240"/>
      <c r="AB76" s="240"/>
    </row>
    <row r="77" spans="1:28" x14ac:dyDescent="0.25">
      <c r="A77" s="171"/>
      <c r="B77" s="197"/>
      <c r="C77" s="197"/>
      <c r="D77" s="197"/>
      <c r="E77" s="172"/>
      <c r="F77" s="172"/>
      <c r="G77" s="183"/>
      <c r="H77" s="173"/>
      <c r="I77" s="173"/>
      <c r="J77" s="172"/>
      <c r="K77" s="174"/>
      <c r="L77" s="175"/>
      <c r="M77" s="174"/>
      <c r="N77" s="174"/>
      <c r="O77" s="174"/>
      <c r="P77" s="174"/>
      <c r="Q77" s="174"/>
      <c r="R77" s="174"/>
      <c r="S77" s="112"/>
      <c r="T77" s="112"/>
      <c r="U77" s="110">
        <f>IF(J77=0,(S77+T77/EERR!$D$2/1.19),(S77+T77/EERR!$D$2/1.19)/J77)</f>
        <v>0</v>
      </c>
      <c r="V77" s="112">
        <f>T77+S77*EERR!$D$2</f>
        <v>0</v>
      </c>
      <c r="W77" s="27">
        <f ca="1">SUMIF(S!$A$5:$J$152,Jun!G77,S!$M$5:$M$152)</f>
        <v>0</v>
      </c>
      <c r="X77" s="177">
        <f>SUMIF(T!$A$4:$A$371,B77,T!$B$4:$B$371)+SUMIF(T!$A$4:$A$371,C77,T!$B$4:$B$371)+SUMIF(T!$A$4:$A$371,D77,T!$B$4:$B$371)+(K77+O77)+(L77+P77)*EERR!$D$2</f>
        <v>0</v>
      </c>
      <c r="Y77" s="178">
        <f>X77/EERR!$D$2</f>
        <v>0</v>
      </c>
      <c r="Z77" s="184">
        <f t="shared" si="1"/>
        <v>0</v>
      </c>
      <c r="AA77" s="240"/>
      <c r="AB77" s="240"/>
    </row>
    <row r="78" spans="1:28" x14ac:dyDescent="0.25">
      <c r="A78" s="171"/>
      <c r="B78" s="197"/>
      <c r="C78" s="197"/>
      <c r="D78" s="197"/>
      <c r="E78" s="172"/>
      <c r="F78" s="172"/>
      <c r="G78" s="183"/>
      <c r="H78" s="173"/>
      <c r="I78" s="173"/>
      <c r="J78" s="172"/>
      <c r="K78" s="174"/>
      <c r="L78" s="175"/>
      <c r="M78" s="174"/>
      <c r="N78" s="174"/>
      <c r="O78" s="174"/>
      <c r="P78" s="174"/>
      <c r="Q78" s="174"/>
      <c r="R78" s="174"/>
      <c r="S78" s="112">
        <f t="shared" si="11"/>
        <v>0</v>
      </c>
      <c r="T78" s="112">
        <f t="shared" si="12"/>
        <v>0</v>
      </c>
      <c r="U78" s="110">
        <f>IF(J78=0,(S78+T78/EERR!$D$2/1.19),(S78+T78/EERR!$D$2/1.19)/J78)</f>
        <v>0</v>
      </c>
      <c r="V78" s="112">
        <f>T78+S78*EERR!$D$2</f>
        <v>0</v>
      </c>
      <c r="W78" s="27">
        <f ca="1">SUMIF(S!$A$5:$J$152,Jun!G78,S!$M$5:$M$152)</f>
        <v>0</v>
      </c>
      <c r="X78" s="177">
        <f>SUMIF(T!$A$4:$A$371,B78,T!$B$4:$B$371)+SUMIF(T!$A$4:$A$371,C78,T!$B$4:$B$371)+SUMIF(T!$A$4:$A$371,D78,T!$B$4:$B$371)+(K78+O78)+(L78+P78)*EERR!$D$2</f>
        <v>0</v>
      </c>
      <c r="Y78" s="178">
        <f>X78/EERR!$D$2</f>
        <v>0</v>
      </c>
      <c r="Z78" s="184">
        <f t="shared" ref="Z78:Z79" si="15">+X78-V78</f>
        <v>0</v>
      </c>
      <c r="AA78" s="240"/>
      <c r="AB78" s="240"/>
    </row>
    <row r="79" spans="1:28" x14ac:dyDescent="0.25">
      <c r="A79" s="171"/>
      <c r="B79" s="197"/>
      <c r="C79" s="197"/>
      <c r="D79" s="197"/>
      <c r="E79" s="172"/>
      <c r="F79" s="172"/>
      <c r="G79" s="183"/>
      <c r="H79" s="173"/>
      <c r="I79" s="173"/>
      <c r="J79" s="172"/>
      <c r="K79" s="174"/>
      <c r="L79" s="175"/>
      <c r="M79" s="174"/>
      <c r="N79" s="174"/>
      <c r="O79" s="174"/>
      <c r="P79" s="174"/>
      <c r="Q79" s="174"/>
      <c r="R79" s="174"/>
      <c r="S79" s="112">
        <f t="shared" si="11"/>
        <v>0</v>
      </c>
      <c r="T79" s="112">
        <f t="shared" si="12"/>
        <v>0</v>
      </c>
      <c r="U79" s="110">
        <f>IF(J79=0,(S79+T79/EERR!$D$2/1.19),(S79+T79/EERR!$D$2/1.19)/J79)</f>
        <v>0</v>
      </c>
      <c r="V79" s="112">
        <f>T79+S79*EERR!$D$2</f>
        <v>0</v>
      </c>
      <c r="W79" s="27">
        <f ca="1">SUMIF(S!$A$5:$J$152,Jun!G79,S!$M$5:$M$152)</f>
        <v>0</v>
      </c>
      <c r="X79" s="177">
        <f>SUMIF(T!$A$4:$A$371,B79,T!$B$4:$B$371)+SUMIF(T!$A$4:$A$371,C79,T!$B$4:$B$371)+SUMIF(T!$A$4:$A$371,D79,T!$B$4:$B$371)+(K79+O79)+(L79+P79)*EERR!$D$2</f>
        <v>0</v>
      </c>
      <c r="Y79" s="178">
        <f>X79/EERR!$D$2</f>
        <v>0</v>
      </c>
      <c r="Z79" s="184">
        <f t="shared" si="15"/>
        <v>0</v>
      </c>
      <c r="AA79" s="240">
        <f ca="1">SUMIF(S!$A$5:$J$152,Jun!G79,S!$I$5:$I$152)*EERR!$D$2*1.19</f>
        <v>0</v>
      </c>
      <c r="AB79" s="240">
        <f t="shared" ca="1" si="13"/>
        <v>0</v>
      </c>
    </row>
    <row r="80" spans="1:28" x14ac:dyDescent="0.25">
      <c r="A80" s="171"/>
      <c r="B80" s="197"/>
      <c r="C80" s="197"/>
      <c r="D80" s="197"/>
      <c r="E80" s="172"/>
      <c r="F80" s="172"/>
      <c r="G80" s="183"/>
      <c r="H80" s="173"/>
      <c r="I80" s="173"/>
      <c r="J80" s="172"/>
      <c r="K80" s="174"/>
      <c r="L80" s="175"/>
      <c r="M80" s="174"/>
      <c r="N80" s="174"/>
      <c r="O80" s="174"/>
      <c r="P80" s="174"/>
      <c r="Q80" s="174"/>
      <c r="R80" s="174"/>
      <c r="S80" s="112">
        <f t="shared" si="11"/>
        <v>0</v>
      </c>
      <c r="T80" s="112">
        <f t="shared" si="12"/>
        <v>0</v>
      </c>
      <c r="U80" s="110">
        <f>IF(J80=0,(S80+T80/EERR!$D$2/1.19),(S80+T80/EERR!$D$2/1.19)/J80)</f>
        <v>0</v>
      </c>
      <c r="V80" s="112">
        <f>T80+S80*EERR!$D$2</f>
        <v>0</v>
      </c>
      <c r="W80" s="27">
        <f ca="1">SUMIF(S!$A$5:$J$152,Jun!G80,S!$M$5:$M$152)</f>
        <v>0</v>
      </c>
      <c r="X80" s="177">
        <f>SUMIF(T!$A$4:$A$371,B80,T!$B$4:$B$371)+SUMIF(T!$A$4:$A$371,C80,T!$B$4:$B$371)+SUMIF(T!$A$4:$A$371,D80,T!$B$4:$B$371)+(K80+O80)+(L80+P80)*EERR!$D$2</f>
        <v>0</v>
      </c>
      <c r="Y80" s="178">
        <f>X80/EERR!$D$2</f>
        <v>0</v>
      </c>
      <c r="Z80" s="184"/>
      <c r="AA80" s="240">
        <f ca="1">SUMIF(S!$A$5:$J$152,Jun!G80,S!$I$5:$I$152)*EERR!$D$2*1.19</f>
        <v>0</v>
      </c>
      <c r="AB80" s="240">
        <f t="shared" ca="1" si="13"/>
        <v>0</v>
      </c>
    </row>
    <row r="81" spans="1:28" ht="12.75" x14ac:dyDescent="0.2">
      <c r="A81" s="156"/>
      <c r="B81" s="156"/>
      <c r="C81" s="156"/>
      <c r="D81" s="156"/>
      <c r="E81" s="156"/>
      <c r="F81" s="156"/>
      <c r="G81" s="156"/>
      <c r="H81" s="161"/>
      <c r="I81" s="161"/>
      <c r="J81" s="162">
        <f t="shared" ref="J81:T81" si="16">SUM(J49:J80)</f>
        <v>23</v>
      </c>
      <c r="K81" s="162">
        <f t="shared" si="16"/>
        <v>0</v>
      </c>
      <c r="L81" s="162">
        <f t="shared" si="16"/>
        <v>0</v>
      </c>
      <c r="M81" s="162">
        <f t="shared" si="16"/>
        <v>1447852</v>
      </c>
      <c r="N81" s="162">
        <f t="shared" si="16"/>
        <v>1318</v>
      </c>
      <c r="O81" s="162">
        <f t="shared" si="16"/>
        <v>0</v>
      </c>
      <c r="P81" s="162">
        <f t="shared" si="16"/>
        <v>0</v>
      </c>
      <c r="Q81" s="162">
        <f t="shared" si="16"/>
        <v>901507</v>
      </c>
      <c r="R81" s="162">
        <f t="shared" si="16"/>
        <v>566</v>
      </c>
      <c r="S81" s="162">
        <f t="shared" si="16"/>
        <v>1884</v>
      </c>
      <c r="T81" s="162">
        <f t="shared" si="16"/>
        <v>2349359</v>
      </c>
      <c r="U81" s="162">
        <f>IF(J81=0,(S81+T81/EERR!$D$2/1.19),(S81+T81/EERR!$D$2/1.19)/J81)</f>
        <v>189.34359582653323</v>
      </c>
      <c r="V81" s="162">
        <f>SUM(V49:V80)</f>
        <v>3854675</v>
      </c>
      <c r="W81" s="162">
        <f ca="1">SUM(W49:W80)</f>
        <v>23</v>
      </c>
      <c r="X81" s="162">
        <f>SUM(X49:X80)</f>
        <v>3854675</v>
      </c>
      <c r="Y81" s="162">
        <f>SUM(Y49:Y80)</f>
        <v>4824.3742177722152</v>
      </c>
      <c r="Z81" s="184">
        <f t="shared" ref="Z81:Z110" si="17">+X81-V81</f>
        <v>0</v>
      </c>
      <c r="AA81" s="240">
        <f ca="1">SUMIF(S!$A$5:$J$152,Jun!G81,S!$I$5:$I$152)*EERR!$D$2*1.19</f>
        <v>0</v>
      </c>
      <c r="AB81" s="240">
        <f t="shared" ca="1" si="13"/>
        <v>3854675</v>
      </c>
    </row>
    <row r="82" spans="1:28" x14ac:dyDescent="0.25">
      <c r="A82" s="171">
        <v>7269</v>
      </c>
      <c r="B82" s="197">
        <v>1230</v>
      </c>
      <c r="C82" s="197"/>
      <c r="D82" s="197"/>
      <c r="E82" s="172" t="s">
        <v>463</v>
      </c>
      <c r="F82" s="172" t="s">
        <v>174</v>
      </c>
      <c r="G82" s="172">
        <v>18165032</v>
      </c>
      <c r="H82" s="173">
        <v>45078</v>
      </c>
      <c r="I82" s="173">
        <v>45079</v>
      </c>
      <c r="J82" s="172">
        <v>1</v>
      </c>
      <c r="K82" s="174"/>
      <c r="L82" s="175"/>
      <c r="M82" s="174"/>
      <c r="N82" s="174"/>
      <c r="O82" s="174"/>
      <c r="P82" s="174"/>
      <c r="Q82" s="174"/>
      <c r="R82" s="174">
        <v>188.53</v>
      </c>
      <c r="S82" s="112">
        <f t="shared" ref="S82" si="18">L82+N82+P82+R82</f>
        <v>188.53</v>
      </c>
      <c r="T82" s="112">
        <f>M82+O82+K82+Q82</f>
        <v>0</v>
      </c>
      <c r="U82" s="110">
        <f>IF(J82=0,(S82+T82/EERR!$D$2/1.19),(S82+T82/EERR!$D$2/1.19)/J82)</f>
        <v>188.53</v>
      </c>
      <c r="V82" s="112">
        <f>T82+S82*EERR!$D$2</f>
        <v>150635.47</v>
      </c>
      <c r="W82" s="27">
        <f ca="1">SUMIF(S!$A$5:$J$152,Jun!G82,S!$M$5:$M$152)</f>
        <v>1</v>
      </c>
      <c r="X82" s="177">
        <f>SUMIF(T!$A$4:$A$371,B82,T!$B$4:$B$371)+SUMIF(T!$A$4:$A$371,C82,T!$B$4:$B$371)+SUMIF(T!$A$4:$A$371,D82,T!$B$4:$B$371)+(K82+O82)+(L82+P82)*EERR!$D$2</f>
        <v>150635.47</v>
      </c>
      <c r="Y82" s="178">
        <f>X82/EERR!$D$2</f>
        <v>188.53</v>
      </c>
      <c r="Z82" s="184">
        <f>+X82-V82</f>
        <v>0</v>
      </c>
      <c r="AA82" s="240">
        <f ca="1">SUMIF(S!$A$5:$J$152,Jun!G82,S!$I$5:$I$152)*EERR!$D$2*1.19</f>
        <v>179256.20929999999</v>
      </c>
      <c r="AB82" s="240">
        <f t="shared" ca="1" si="13"/>
        <v>0</v>
      </c>
    </row>
    <row r="83" spans="1:28" x14ac:dyDescent="0.25">
      <c r="A83" s="171">
        <v>7270</v>
      </c>
      <c r="B83" s="197">
        <v>1235</v>
      </c>
      <c r="C83" s="336">
        <v>1370</v>
      </c>
      <c r="D83" s="197"/>
      <c r="E83" s="172" t="s">
        <v>463</v>
      </c>
      <c r="F83" s="172" t="s">
        <v>174</v>
      </c>
      <c r="G83" s="172">
        <v>18136202</v>
      </c>
      <c r="H83" s="173">
        <v>45079</v>
      </c>
      <c r="I83" s="173">
        <v>45081</v>
      </c>
      <c r="J83" s="172">
        <v>2</v>
      </c>
      <c r="K83" s="174"/>
      <c r="L83" s="175"/>
      <c r="M83" s="174"/>
      <c r="N83" s="174">
        <v>188.53</v>
      </c>
      <c r="O83" s="174"/>
      <c r="P83" s="174"/>
      <c r="Q83" s="174"/>
      <c r="R83" s="174">
        <v>188.53</v>
      </c>
      <c r="S83" s="112">
        <f t="shared" ref="S83:S87" si="19">L83+N83+P83+R83</f>
        <v>377.06</v>
      </c>
      <c r="T83" s="112">
        <f t="shared" ref="T83:T87" si="20">M83+O83+K83+Q83</f>
        <v>0</v>
      </c>
      <c r="U83" s="110">
        <f>IF(J83=0,(S83+T83/EERR!$D$2/1.19),(S83+T83/EERR!$D$2/1.19)/J83)</f>
        <v>188.53</v>
      </c>
      <c r="V83" s="112">
        <f>T83+S83*EERR!$D$2</f>
        <v>301270.94</v>
      </c>
      <c r="W83" s="27">
        <f ca="1">SUMIF(S!$A$5:$J$152,Jun!G83,S!$M$5:$M$152)</f>
        <v>2</v>
      </c>
      <c r="X83" s="177">
        <f>SUMIF(T!$A$4:$A$371,B83,T!$B$4:$B$371)+SUMIF(T!$A$4:$A$371,C83,T!$B$4:$B$371)+SUMIF(T!$A$4:$A$371,D83,T!$B$4:$B$371)+(K83+O83)+(L83+P83)*EERR!$D$2</f>
        <v>150635.47</v>
      </c>
      <c r="Y83" s="178">
        <f>X83/EERR!$D$2</f>
        <v>188.53</v>
      </c>
      <c r="Z83" s="184">
        <f t="shared" ref="Z83:Z99" si="21">+X83-V83</f>
        <v>-150635.47</v>
      </c>
      <c r="AA83" s="240">
        <f ca="1">SUMIF(S!$A$5:$J$152,Jun!G83,S!$I$5:$I$152)*EERR!$D$2*1.19</f>
        <v>358512.41859999998</v>
      </c>
      <c r="AB83" s="240">
        <f t="shared" ca="1" si="13"/>
        <v>0</v>
      </c>
    </row>
    <row r="84" spans="1:28" x14ac:dyDescent="0.25">
      <c r="A84" s="171">
        <v>1716</v>
      </c>
      <c r="B84" s="197">
        <v>1244</v>
      </c>
      <c r="C84" s="336">
        <v>1369</v>
      </c>
      <c r="D84" s="197"/>
      <c r="E84" s="172" t="s">
        <v>469</v>
      </c>
      <c r="F84" s="172" t="s">
        <v>174</v>
      </c>
      <c r="G84" s="172">
        <v>1483284727</v>
      </c>
      <c r="H84" s="173">
        <v>45098</v>
      </c>
      <c r="I84" s="173">
        <v>45104</v>
      </c>
      <c r="J84" s="172">
        <v>6</v>
      </c>
      <c r="K84" s="174"/>
      <c r="L84" s="175"/>
      <c r="M84" s="174">
        <v>991678</v>
      </c>
      <c r="N84" s="174"/>
      <c r="O84" s="174"/>
      <c r="P84" s="174"/>
      <c r="Q84" s="174">
        <v>198862</v>
      </c>
      <c r="R84" s="337"/>
      <c r="S84" s="112">
        <f t="shared" si="19"/>
        <v>0</v>
      </c>
      <c r="T84" s="112">
        <f t="shared" si="20"/>
        <v>1190540</v>
      </c>
      <c r="U84" s="110">
        <f>IF(J84=0,(S84+T84/EERR!$D$2/1.19),(S84+T84/EERR!$D$2/1.19)/J84)</f>
        <v>208.68873206353882</v>
      </c>
      <c r="V84" s="112">
        <f>T84+S84*EERR!$D$2</f>
        <v>1190540</v>
      </c>
      <c r="W84" s="27">
        <f ca="1">SUMIF(S!$A$5:$J$152,Jun!G84,S!$M$5:$M$152)</f>
        <v>6</v>
      </c>
      <c r="X84" s="177">
        <f>SUMIF(T!$A$4:$A$371,B84,T!$B$4:$B$371)+SUMIF(T!$A$4:$A$371,C84,T!$B$4:$B$371)+SUMIF(T!$A$4:$A$371,D84,T!$B$4:$B$371)+(K84+O84)+(L84+P84)*EERR!$D$2</f>
        <v>198862</v>
      </c>
      <c r="Y84" s="178">
        <f>X84/EERR!$D$2</f>
        <v>248.88861076345432</v>
      </c>
      <c r="Z84" s="184">
        <f t="shared" si="21"/>
        <v>-991678</v>
      </c>
      <c r="AA84" s="240">
        <f ca="1">SUMIF(S!$A$5:$J$152,Jun!G84,S!$I$5:$I$152)*EERR!$D$2*1.19</f>
        <v>1195054.0728</v>
      </c>
      <c r="AB84" s="240">
        <f t="shared" ca="1" si="13"/>
        <v>0</v>
      </c>
    </row>
    <row r="85" spans="1:28" x14ac:dyDescent="0.25">
      <c r="A85" s="171">
        <v>7275</v>
      </c>
      <c r="B85" s="197">
        <v>1247</v>
      </c>
      <c r="C85" s="197">
        <v>1271</v>
      </c>
      <c r="D85" s="197"/>
      <c r="E85" s="172" t="s">
        <v>476</v>
      </c>
      <c r="F85" s="172" t="s">
        <v>174</v>
      </c>
      <c r="G85" s="172">
        <v>1473724429</v>
      </c>
      <c r="H85" s="173">
        <v>45100</v>
      </c>
      <c r="I85" s="173">
        <v>45104</v>
      </c>
      <c r="J85" s="172">
        <v>4</v>
      </c>
      <c r="K85" s="174"/>
      <c r="L85" s="175"/>
      <c r="M85" s="174"/>
      <c r="N85" s="174">
        <v>628.44000000000005</v>
      </c>
      <c r="O85" s="174"/>
      <c r="P85" s="174"/>
      <c r="Q85" s="174"/>
      <c r="R85" s="174">
        <v>209.48</v>
      </c>
      <c r="S85" s="112">
        <f t="shared" si="19"/>
        <v>837.92000000000007</v>
      </c>
      <c r="T85" s="112">
        <f t="shared" si="20"/>
        <v>0</v>
      </c>
      <c r="U85" s="110">
        <f>IF(J85=0,(S85+T85/EERR!$D$2/1.19),(S85+T85/EERR!$D$2/1.19)/J85)</f>
        <v>209.48000000000002</v>
      </c>
      <c r="V85" s="112">
        <f>T85+S85*EERR!$D$2</f>
        <v>669498.08000000007</v>
      </c>
      <c r="W85" s="27">
        <f ca="1">SUMIF(S!$A$5:$J$152,Jun!G85,S!$M$5:$M$152)</f>
        <v>4</v>
      </c>
      <c r="X85" s="177">
        <f>SUMIF(T!$A$4:$A$371,B85,T!$B$4:$B$371)+SUMIF(T!$A$4:$A$371,C85,T!$B$4:$B$371)+SUMIF(T!$A$4:$A$371,D85,T!$B$4:$B$371)+(K85+O85)+(L85+P85)*EERR!$D$2</f>
        <v>669498.08000000007</v>
      </c>
      <c r="Y85" s="178">
        <f>X85/EERR!$D$2</f>
        <v>837.92000000000007</v>
      </c>
      <c r="Z85" s="184">
        <f t="shared" si="21"/>
        <v>0</v>
      </c>
      <c r="AA85" s="240">
        <f ca="1">SUMIF(S!$A$5:$J$152,Jun!G85,S!$I$5:$I$152)*EERR!$D$2*1.19</f>
        <v>796702.71519999986</v>
      </c>
      <c r="AB85" s="240">
        <f t="shared" ca="1" si="13"/>
        <v>0</v>
      </c>
    </row>
    <row r="86" spans="1:28" x14ac:dyDescent="0.25">
      <c r="A86" s="171">
        <v>7276</v>
      </c>
      <c r="B86" s="197">
        <v>1248</v>
      </c>
      <c r="C86" s="197">
        <v>1270</v>
      </c>
      <c r="D86" s="197"/>
      <c r="E86" s="172" t="s">
        <v>477</v>
      </c>
      <c r="F86" s="172" t="s">
        <v>174</v>
      </c>
      <c r="G86" s="172">
        <v>1473724431</v>
      </c>
      <c r="H86" s="173">
        <v>45100</v>
      </c>
      <c r="I86" s="173">
        <v>45104</v>
      </c>
      <c r="J86" s="172">
        <v>4</v>
      </c>
      <c r="K86" s="174"/>
      <c r="L86" s="175"/>
      <c r="M86" s="174"/>
      <c r="N86" s="174">
        <v>628.44000000000005</v>
      </c>
      <c r="O86" s="174"/>
      <c r="P86" s="174"/>
      <c r="Q86" s="174"/>
      <c r="R86" s="174">
        <v>209.48</v>
      </c>
      <c r="S86" s="112">
        <f t="shared" si="19"/>
        <v>837.92000000000007</v>
      </c>
      <c r="T86" s="112">
        <f t="shared" si="20"/>
        <v>0</v>
      </c>
      <c r="U86" s="110">
        <f>IF(J86=0,(S86+T86/EERR!$D$2/1.19),(S86+T86/EERR!$D$2/1.19)/J86)</f>
        <v>209.48000000000002</v>
      </c>
      <c r="V86" s="112">
        <f>T86+S86*EERR!$D$2</f>
        <v>669498.08000000007</v>
      </c>
      <c r="W86" s="27">
        <f ca="1">SUMIF(S!$A$5:$J$152,Jun!G86,S!$M$5:$M$152)</f>
        <v>4</v>
      </c>
      <c r="X86" s="177">
        <f>SUMIF(T!$A$4:$A$371,B86,T!$B$4:$B$371)+SUMIF(T!$A$4:$A$371,C86,T!$B$4:$B$371)+SUMIF(T!$A$4:$A$371,D86,T!$B$4:$B$371)+(K86+O86)+(L86+P86)*EERR!$D$2</f>
        <v>669498.08000000007</v>
      </c>
      <c r="Y86" s="178">
        <f>X86/EERR!$D$2</f>
        <v>837.92000000000007</v>
      </c>
      <c r="Z86" s="184">
        <f t="shared" si="21"/>
        <v>0</v>
      </c>
      <c r="AA86" s="240">
        <f ca="1">SUMIF(S!$A$5:$J$152,Jun!G86,S!$I$5:$I$152)*EERR!$D$2*1.19</f>
        <v>796702.71519999986</v>
      </c>
      <c r="AB86" s="240">
        <f t="shared" ca="1" si="13"/>
        <v>0</v>
      </c>
    </row>
    <row r="87" spans="1:28" x14ac:dyDescent="0.25">
      <c r="A87" s="171">
        <v>7280</v>
      </c>
      <c r="B87" s="197">
        <v>1254</v>
      </c>
      <c r="C87" s="197">
        <v>1284</v>
      </c>
      <c r="D87" s="197"/>
      <c r="E87" s="172" t="s">
        <v>486</v>
      </c>
      <c r="F87" s="172" t="s">
        <v>174</v>
      </c>
      <c r="G87" s="172">
        <v>3916002</v>
      </c>
      <c r="H87" s="173">
        <v>45104</v>
      </c>
      <c r="I87" s="173">
        <v>45107</v>
      </c>
      <c r="J87" s="172">
        <v>3</v>
      </c>
      <c r="K87" s="174"/>
      <c r="L87" s="175"/>
      <c r="M87" s="174"/>
      <c r="N87" s="174">
        <v>418.96</v>
      </c>
      <c r="O87" s="174"/>
      <c r="P87" s="174"/>
      <c r="Q87" s="174"/>
      <c r="R87" s="174">
        <v>209.48</v>
      </c>
      <c r="S87" s="112">
        <f t="shared" si="19"/>
        <v>628.43999999999994</v>
      </c>
      <c r="T87" s="112">
        <f t="shared" si="20"/>
        <v>0</v>
      </c>
      <c r="U87" s="110">
        <f>IF(J87=0,(S87+T87/EERR!$D$2/1.19),(S87+T87/EERR!$D$2/1.19)/J87)</f>
        <v>209.48</v>
      </c>
      <c r="V87" s="112">
        <f>T87+S87*EERR!$D$2</f>
        <v>502123.55999999994</v>
      </c>
      <c r="W87" s="27">
        <f ca="1">SUMIF(S!$A$5:$J$152,Jun!G87,S!$M$5:$M$152)</f>
        <v>3</v>
      </c>
      <c r="X87" s="177">
        <f>SUMIF(T!$A$4:$A$371,B87,T!$B$4:$B$371)+SUMIF(T!$A$4:$A$371,C87,T!$B$4:$B$371)+SUMIF(T!$A$4:$A$371,D87,T!$B$4:$B$371)+(K87+O87)+(L87+P87)*EERR!$D$2</f>
        <v>502123.55999999994</v>
      </c>
      <c r="Y87" s="178">
        <f>X87/EERR!$D$2</f>
        <v>628.43999999999994</v>
      </c>
      <c r="Z87" s="184">
        <f t="shared" si="21"/>
        <v>0</v>
      </c>
      <c r="AA87" s="240">
        <f ca="1">SUMIF(S!$A$5:$J$152,Jun!G87,S!$I$5:$I$152)*EERR!$D$2*1.19</f>
        <v>597527.03639999998</v>
      </c>
      <c r="AB87" s="240">
        <f t="shared" ca="1" si="13"/>
        <v>0</v>
      </c>
    </row>
    <row r="88" spans="1:28" x14ac:dyDescent="0.25">
      <c r="A88" s="273"/>
      <c r="B88" s="197"/>
      <c r="C88" s="197"/>
      <c r="D88" s="197"/>
      <c r="E88" s="172"/>
      <c r="F88" s="172"/>
      <c r="G88" s="172"/>
      <c r="H88" s="173"/>
      <c r="I88" s="173"/>
      <c r="J88" s="172"/>
      <c r="K88" s="174"/>
      <c r="L88" s="175"/>
      <c r="M88" s="174"/>
      <c r="N88" s="174"/>
      <c r="O88" s="174"/>
      <c r="P88" s="174"/>
      <c r="Q88" s="174"/>
      <c r="R88" s="174"/>
      <c r="S88" s="112"/>
      <c r="T88" s="112"/>
      <c r="U88" s="110"/>
      <c r="V88" s="112"/>
      <c r="W88" s="27">
        <f ca="1">SUMIF(S!$A$5:$J$152,Jun!G88,S!$M$5:$M$152)</f>
        <v>0</v>
      </c>
      <c r="X88" s="177">
        <f>SUMIF(T!$A$4:$A$371,B88,T!$B$4:$B$371)+SUMIF(T!$A$4:$A$371,C88,T!$B$4:$B$371)+SUMIF(T!$A$4:$A$371,D88,T!$B$4:$B$371)+(K88+O88)+(L88+P88)*EERR!$D$2</f>
        <v>0</v>
      </c>
      <c r="Y88" s="178">
        <f>X88/EERR!$D$2</f>
        <v>0</v>
      </c>
      <c r="Z88" s="184">
        <f t="shared" si="21"/>
        <v>0</v>
      </c>
      <c r="AA88" s="240">
        <f ca="1">SUMIF(S!$A$5:$J$152,Jun!G88,S!$I$5:$I$152)*EERR!$D$2*1.19</f>
        <v>0</v>
      </c>
      <c r="AB88" s="240">
        <f t="shared" ca="1" si="13"/>
        <v>0</v>
      </c>
    </row>
    <row r="89" spans="1:28" x14ac:dyDescent="0.25">
      <c r="A89" s="171"/>
      <c r="B89" s="197"/>
      <c r="C89" s="197"/>
      <c r="D89" s="197"/>
      <c r="E89" s="172"/>
      <c r="F89" s="172"/>
      <c r="G89" s="172"/>
      <c r="H89" s="173"/>
      <c r="I89" s="173"/>
      <c r="J89" s="172"/>
      <c r="K89" s="174"/>
      <c r="L89" s="175"/>
      <c r="M89" s="174"/>
      <c r="N89" s="174"/>
      <c r="O89" s="174"/>
      <c r="P89" s="174"/>
      <c r="Q89" s="174"/>
      <c r="R89" s="174"/>
      <c r="S89" s="112"/>
      <c r="T89" s="112"/>
      <c r="U89" s="110"/>
      <c r="V89" s="112"/>
      <c r="W89" s="27">
        <f ca="1">SUMIF(S!$A$5:$J$152,Jun!G89,S!$M$5:$M$152)</f>
        <v>0</v>
      </c>
      <c r="X89" s="177">
        <f>SUMIF(T!$A$4:$A$371,B89,T!$B$4:$B$371)+SUMIF(T!$A$4:$A$371,C89,T!$B$4:$B$371)+SUMIF(T!$A$4:$A$371,D89,T!$B$4:$B$371)+(K89+O89)+(L89+P89)*EERR!$D$2</f>
        <v>0</v>
      </c>
      <c r="Y89" s="178">
        <f>X89/EERR!$D$2</f>
        <v>0</v>
      </c>
      <c r="Z89" s="184">
        <f t="shared" si="21"/>
        <v>0</v>
      </c>
      <c r="AA89" s="240">
        <f ca="1">SUMIF(S!$A$5:$J$152,Jun!G89,S!$I$5:$I$152)*EERR!$D$2*1.19</f>
        <v>0</v>
      </c>
      <c r="AB89" s="240">
        <f t="shared" ca="1" si="13"/>
        <v>0</v>
      </c>
    </row>
    <row r="90" spans="1:28" x14ac:dyDescent="0.25">
      <c r="A90" s="171"/>
      <c r="B90" s="197"/>
      <c r="C90" s="197"/>
      <c r="D90" s="197"/>
      <c r="E90" s="172"/>
      <c r="F90" s="172"/>
      <c r="G90" s="172"/>
      <c r="H90" s="173"/>
      <c r="I90" s="173"/>
      <c r="J90" s="172"/>
      <c r="K90" s="174"/>
      <c r="L90" s="175"/>
      <c r="M90" s="174"/>
      <c r="N90" s="174"/>
      <c r="O90" s="174"/>
      <c r="P90" s="174"/>
      <c r="Q90" s="174"/>
      <c r="R90" s="174"/>
      <c r="S90" s="112"/>
      <c r="T90" s="112"/>
      <c r="U90" s="110"/>
      <c r="V90" s="112"/>
      <c r="W90" s="27">
        <f ca="1">SUMIF(S!$A$5:$J$152,Jun!G90,S!$M$5:$M$152)</f>
        <v>0</v>
      </c>
      <c r="X90" s="177">
        <f>SUMIF(T!$A$4:$A$371,B90,T!$B$4:$B$371)+SUMIF(T!$A$4:$A$371,C90,T!$B$4:$B$371)+SUMIF(T!$A$4:$A$371,D90,T!$B$4:$B$371)+(K90+O90)+(L90+P90)*EERR!$D$2</f>
        <v>0</v>
      </c>
      <c r="Y90" s="178">
        <f>X90/EERR!$D$2</f>
        <v>0</v>
      </c>
      <c r="Z90" s="184">
        <f t="shared" si="21"/>
        <v>0</v>
      </c>
      <c r="AA90" s="240">
        <f ca="1">SUMIF(S!$A$5:$J$152,Jun!G90,S!$I$5:$I$152)*EERR!$D$2*1.19</f>
        <v>0</v>
      </c>
      <c r="AB90" s="240">
        <f t="shared" ca="1" si="13"/>
        <v>0</v>
      </c>
    </row>
    <row r="91" spans="1:28" x14ac:dyDescent="0.25">
      <c r="A91" s="171"/>
      <c r="B91" s="197"/>
      <c r="C91" s="197"/>
      <c r="D91" s="197"/>
      <c r="E91" s="172"/>
      <c r="F91" s="172"/>
      <c r="G91" s="172"/>
      <c r="H91" s="173"/>
      <c r="I91" s="173"/>
      <c r="J91" s="172"/>
      <c r="K91" s="174"/>
      <c r="L91" s="175"/>
      <c r="M91" s="174"/>
      <c r="N91" s="174"/>
      <c r="O91" s="174"/>
      <c r="P91" s="174"/>
      <c r="Q91" s="174"/>
      <c r="R91" s="174"/>
      <c r="S91" s="112"/>
      <c r="T91" s="112"/>
      <c r="U91" s="110"/>
      <c r="V91" s="112"/>
      <c r="W91" s="27">
        <f ca="1">SUMIF(S!$A$5:$J$152,Jun!G91,S!$M$5:$M$152)</f>
        <v>0</v>
      </c>
      <c r="X91" s="177">
        <f>SUMIF(T!$A$4:$A$371,B91,T!$B$4:$B$371)+SUMIF(T!$A$4:$A$371,C91,T!$B$4:$B$371)+SUMIF(T!$A$4:$A$371,D91,T!$B$4:$B$371)+(K91+O91)+(L91+P91)*EERR!$D$2</f>
        <v>0</v>
      </c>
      <c r="Y91" s="178">
        <f>X91/EERR!$D$2</f>
        <v>0</v>
      </c>
      <c r="Z91" s="184">
        <f t="shared" si="21"/>
        <v>0</v>
      </c>
      <c r="AA91" s="240">
        <f ca="1">SUMIF(S!$A$5:$J$152,Jun!G91,S!$I$5:$I$152)*EERR!$D$2*1.19</f>
        <v>0</v>
      </c>
      <c r="AB91" s="240">
        <f t="shared" ca="1" si="13"/>
        <v>0</v>
      </c>
    </row>
    <row r="92" spans="1:28" x14ac:dyDescent="0.25">
      <c r="A92" s="171"/>
      <c r="B92" s="197"/>
      <c r="C92" s="197"/>
      <c r="D92" s="197"/>
      <c r="E92" s="172"/>
      <c r="F92" s="172"/>
      <c r="G92" s="172"/>
      <c r="H92" s="173"/>
      <c r="I92" s="173"/>
      <c r="J92" s="172"/>
      <c r="K92" s="174"/>
      <c r="L92" s="175"/>
      <c r="M92" s="174"/>
      <c r="N92" s="174"/>
      <c r="O92" s="174"/>
      <c r="P92" s="174"/>
      <c r="Q92" s="174"/>
      <c r="R92" s="174"/>
      <c r="S92" s="112"/>
      <c r="T92" s="112"/>
      <c r="U92" s="110"/>
      <c r="V92" s="112"/>
      <c r="W92" s="27">
        <f ca="1">SUMIF(S!$A$5:$J$152,Jun!G92,S!$M$5:$M$152)</f>
        <v>0</v>
      </c>
      <c r="X92" s="177">
        <f>SUMIF(T!$A$4:$A$371,B92,T!$B$4:$B$371)+SUMIF(T!$A$4:$A$371,C92,T!$B$4:$B$371)+SUMIF(T!$A$4:$A$371,D92,T!$B$4:$B$371)+(K92+O92)+(L92+P92)*EERR!$D$2</f>
        <v>0</v>
      </c>
      <c r="Y92" s="178">
        <f>X92/EERR!$D$2</f>
        <v>0</v>
      </c>
      <c r="Z92" s="184">
        <f t="shared" si="21"/>
        <v>0</v>
      </c>
      <c r="AA92" s="240">
        <f ca="1">SUMIF(S!$A$5:$J$152,Jun!G92,S!$I$5:$I$152)*EERR!$D$2*1.19</f>
        <v>0</v>
      </c>
      <c r="AB92" s="240">
        <f t="shared" ca="1" si="13"/>
        <v>0</v>
      </c>
    </row>
    <row r="93" spans="1:28" x14ac:dyDescent="0.25">
      <c r="A93" s="171"/>
      <c r="B93" s="197"/>
      <c r="C93" s="197"/>
      <c r="D93" s="197"/>
      <c r="E93" s="172"/>
      <c r="F93" s="172"/>
      <c r="G93" s="172"/>
      <c r="H93" s="173"/>
      <c r="I93" s="173"/>
      <c r="J93" s="172"/>
      <c r="K93" s="174"/>
      <c r="L93" s="175"/>
      <c r="M93" s="174"/>
      <c r="N93" s="174"/>
      <c r="O93" s="174"/>
      <c r="P93" s="174"/>
      <c r="Q93" s="174"/>
      <c r="R93" s="174"/>
      <c r="S93" s="112"/>
      <c r="T93" s="112"/>
      <c r="U93" s="110"/>
      <c r="V93" s="112"/>
      <c r="W93" s="27">
        <f ca="1">SUMIF(S!$A$5:$J$152,Jun!G93,S!$M$5:$M$152)</f>
        <v>0</v>
      </c>
      <c r="X93" s="177">
        <f>SUMIF(T!$A$4:$A$371,B93,T!$B$4:$B$371)+SUMIF(T!$A$4:$A$371,C93,T!$B$4:$B$371)+SUMIF(T!$A$4:$A$371,D93,T!$B$4:$B$371)+(K93+O93)+(L93+P93)*EERR!$D$2</f>
        <v>0</v>
      </c>
      <c r="Y93" s="178">
        <f>X93/EERR!$D$2</f>
        <v>0</v>
      </c>
      <c r="Z93" s="184">
        <f t="shared" si="21"/>
        <v>0</v>
      </c>
      <c r="AA93" s="240">
        <f ca="1">SUMIF(S!$A$5:$J$152,Jun!G93,S!$I$5:$I$152)*EERR!$D$2*1.19</f>
        <v>0</v>
      </c>
      <c r="AB93" s="240">
        <f t="shared" ca="1" si="13"/>
        <v>0</v>
      </c>
    </row>
    <row r="94" spans="1:28" x14ac:dyDescent="0.25">
      <c r="A94" s="171"/>
      <c r="B94" s="197"/>
      <c r="C94" s="197"/>
      <c r="D94" s="197"/>
      <c r="E94" s="172"/>
      <c r="F94" s="172"/>
      <c r="G94" s="172"/>
      <c r="H94" s="173"/>
      <c r="I94" s="173"/>
      <c r="J94" s="172"/>
      <c r="K94" s="174"/>
      <c r="L94" s="175"/>
      <c r="M94" s="174"/>
      <c r="N94" s="174"/>
      <c r="O94" s="174"/>
      <c r="P94" s="174"/>
      <c r="Q94" s="174"/>
      <c r="R94" s="174"/>
      <c r="S94" s="112"/>
      <c r="T94" s="112"/>
      <c r="U94" s="110"/>
      <c r="V94" s="112"/>
      <c r="W94" s="27">
        <f ca="1">SUMIF(S!$A$5:$J$152,Jun!G94,S!$M$5:$M$152)</f>
        <v>0</v>
      </c>
      <c r="X94" s="177">
        <f>SUMIF(T!$A$4:$A$371,B94,T!$B$4:$B$371)+SUMIF(T!$A$4:$A$371,C94,T!$B$4:$B$371)+SUMIF(T!$A$4:$A$371,D94,T!$B$4:$B$371)+(K94+O94)+(L94+P94)*EERR!$D$2</f>
        <v>0</v>
      </c>
      <c r="Y94" s="178">
        <f>X94/EERR!$D$2</f>
        <v>0</v>
      </c>
      <c r="Z94" s="184">
        <f t="shared" si="21"/>
        <v>0</v>
      </c>
      <c r="AA94" s="240">
        <f ca="1">SUMIF(S!$A$5:$J$152,Jun!G94,S!$I$5:$I$152)*EERR!$D$2*1.19</f>
        <v>0</v>
      </c>
      <c r="AB94" s="240">
        <f t="shared" ca="1" si="13"/>
        <v>0</v>
      </c>
    </row>
    <row r="95" spans="1:28" x14ac:dyDescent="0.25">
      <c r="A95" s="171"/>
      <c r="B95" s="197"/>
      <c r="C95" s="197"/>
      <c r="D95" s="197"/>
      <c r="E95" s="172"/>
      <c r="F95" s="172"/>
      <c r="G95" s="172"/>
      <c r="H95" s="173"/>
      <c r="I95" s="173"/>
      <c r="J95" s="172"/>
      <c r="K95" s="174"/>
      <c r="L95" s="175"/>
      <c r="M95" s="174"/>
      <c r="N95" s="174"/>
      <c r="O95" s="174"/>
      <c r="P95" s="174"/>
      <c r="Q95" s="174"/>
      <c r="R95" s="174"/>
      <c r="S95" s="112"/>
      <c r="T95" s="112"/>
      <c r="U95" s="110"/>
      <c r="V95" s="112"/>
      <c r="W95" s="27">
        <f ca="1">SUMIF(S!$A$5:$J$152,Jun!G95,S!$M$5:$M$152)</f>
        <v>0</v>
      </c>
      <c r="X95" s="177">
        <f>SUMIF(T!$A$4:$A$371,B95,T!$B$4:$B$371)+SUMIF(T!$A$4:$A$371,C95,T!$B$4:$B$371)+SUMIF(T!$A$4:$A$371,D95,T!$B$4:$B$371)+(K95+O95)+(L95+P95)*EERR!$D$2</f>
        <v>0</v>
      </c>
      <c r="Y95" s="178">
        <f>X95/EERR!$D$2</f>
        <v>0</v>
      </c>
      <c r="Z95" s="184">
        <f t="shared" si="21"/>
        <v>0</v>
      </c>
      <c r="AA95" s="240">
        <f ca="1">SUMIF(S!$A$5:$J$152,Jun!G95,S!$I$5:$I$152)*EERR!$D$2*1.19</f>
        <v>0</v>
      </c>
      <c r="AB95" s="240">
        <f t="shared" ca="1" si="13"/>
        <v>0</v>
      </c>
    </row>
    <row r="96" spans="1:28" x14ac:dyDescent="0.25">
      <c r="A96" s="171"/>
      <c r="B96" s="197"/>
      <c r="C96" s="221"/>
      <c r="D96" s="197"/>
      <c r="E96" s="172"/>
      <c r="F96" s="172"/>
      <c r="G96" s="172"/>
      <c r="H96" s="173"/>
      <c r="I96" s="173"/>
      <c r="J96" s="172"/>
      <c r="K96" s="174"/>
      <c r="L96" s="175"/>
      <c r="M96" s="174"/>
      <c r="N96" s="174"/>
      <c r="O96" s="174"/>
      <c r="P96" s="174"/>
      <c r="Q96" s="174"/>
      <c r="R96" s="174"/>
      <c r="S96" s="112"/>
      <c r="T96" s="112"/>
      <c r="U96" s="110"/>
      <c r="V96" s="112"/>
      <c r="W96" s="27">
        <f ca="1">SUMIF(S!$A$5:$J$152,Jun!G96,S!$M$5:$M$152)</f>
        <v>0</v>
      </c>
      <c r="X96" s="177">
        <f>SUMIF(T!$A$4:$A$371,B96,T!$B$4:$B$371)+SUMIF(T!$A$4:$A$371,C96,T!$B$4:$B$371)+SUMIF(T!$A$4:$A$371,D96,T!$B$4:$B$371)+(K96+O96)+(L96+P96)*EERR!$D$2</f>
        <v>0</v>
      </c>
      <c r="Y96" s="178">
        <f>X96/EERR!$D$2</f>
        <v>0</v>
      </c>
      <c r="Z96" s="184">
        <f t="shared" si="21"/>
        <v>0</v>
      </c>
      <c r="AA96" s="240">
        <f ca="1">SUMIF(S!$A$5:$J$152,Jun!G96,S!$I$5:$I$152)*EERR!$D$2*1.19</f>
        <v>0</v>
      </c>
      <c r="AB96" s="240">
        <f t="shared" ca="1" si="13"/>
        <v>0</v>
      </c>
    </row>
    <row r="97" spans="1:28" x14ac:dyDescent="0.25">
      <c r="A97" s="171"/>
      <c r="B97" s="197"/>
      <c r="C97" s="197"/>
      <c r="D97" s="197"/>
      <c r="E97" s="172"/>
      <c r="F97" s="172"/>
      <c r="G97" s="172"/>
      <c r="H97" s="173"/>
      <c r="I97" s="173"/>
      <c r="J97" s="172"/>
      <c r="K97" s="174"/>
      <c r="L97" s="175"/>
      <c r="M97" s="174"/>
      <c r="N97" s="174"/>
      <c r="O97" s="174"/>
      <c r="P97" s="174"/>
      <c r="Q97" s="174"/>
      <c r="R97" s="174"/>
      <c r="S97" s="112"/>
      <c r="T97" s="112"/>
      <c r="U97" s="110"/>
      <c r="V97" s="112"/>
      <c r="W97" s="27">
        <f ca="1">SUMIF(S!$A$5:$J$152,Jun!G97,S!$M$5:$M$152)</f>
        <v>0</v>
      </c>
      <c r="X97" s="177">
        <f>SUMIF(T!$A$4:$A$371,B97,T!$B$4:$B$371)+SUMIF(T!$A$4:$A$371,C97,T!$B$4:$B$371)+SUMIF(T!$A$4:$A$371,D97,T!$B$4:$B$371)+(K97+O97)+(L97+P97)*EERR!$D$2</f>
        <v>0</v>
      </c>
      <c r="Y97" s="178">
        <f>X97/EERR!$D$2</f>
        <v>0</v>
      </c>
      <c r="Z97" s="184">
        <f t="shared" si="21"/>
        <v>0</v>
      </c>
      <c r="AA97" s="240">
        <f ca="1">SUMIF(S!$A$5:$J$152,Jun!G97,S!$I$5:$I$152)*EERR!$D$2*1.19</f>
        <v>0</v>
      </c>
      <c r="AB97" s="240">
        <f t="shared" ca="1" si="13"/>
        <v>0</v>
      </c>
    </row>
    <row r="98" spans="1:28" x14ac:dyDescent="0.25">
      <c r="A98" s="171"/>
      <c r="B98" s="197"/>
      <c r="C98" s="197"/>
      <c r="D98" s="197"/>
      <c r="E98" s="172"/>
      <c r="F98" s="172"/>
      <c r="G98" s="172"/>
      <c r="H98" s="173"/>
      <c r="I98" s="173"/>
      <c r="J98" s="172"/>
      <c r="K98" s="174"/>
      <c r="L98" s="175"/>
      <c r="M98" s="174"/>
      <c r="N98" s="174"/>
      <c r="O98" s="174"/>
      <c r="P98" s="174"/>
      <c r="Q98" s="174"/>
      <c r="R98" s="174"/>
      <c r="S98" s="112"/>
      <c r="T98" s="112"/>
      <c r="U98" s="110"/>
      <c r="V98" s="112"/>
      <c r="W98" s="27">
        <f ca="1">SUMIF(S!$A$5:$J$152,Jun!G98,S!$M$5:$M$152)</f>
        <v>0</v>
      </c>
      <c r="X98" s="177">
        <f>SUMIF(T!$A$4:$A$371,B98,T!$B$4:$B$371)+SUMIF(T!$A$4:$A$371,C98,T!$B$4:$B$371)+SUMIF(T!$A$4:$A$371,D98,T!$B$4:$B$371)+(K98+O98)+(L98+P98)*EERR!$D$2</f>
        <v>0</v>
      </c>
      <c r="Y98" s="178">
        <f>X98/EERR!$D$2</f>
        <v>0</v>
      </c>
      <c r="Z98" s="184">
        <f t="shared" si="21"/>
        <v>0</v>
      </c>
      <c r="AA98" s="240">
        <f ca="1">SUMIF(S!$A$5:$J$152,Jun!G98,S!$I$5:$I$152)*EERR!$D$2*1.19</f>
        <v>0</v>
      </c>
      <c r="AB98" s="240">
        <f t="shared" ca="1" si="13"/>
        <v>0</v>
      </c>
    </row>
    <row r="99" spans="1:28" x14ac:dyDescent="0.25">
      <c r="A99" s="171"/>
      <c r="B99" s="197"/>
      <c r="C99" s="197"/>
      <c r="D99" s="197"/>
      <c r="E99" s="172"/>
      <c r="F99" s="172"/>
      <c r="G99" s="172"/>
      <c r="H99" s="173"/>
      <c r="I99" s="173"/>
      <c r="J99" s="172"/>
      <c r="K99" s="174"/>
      <c r="L99" s="175"/>
      <c r="M99" s="174"/>
      <c r="N99" s="174"/>
      <c r="O99" s="174"/>
      <c r="P99" s="174"/>
      <c r="Q99" s="174"/>
      <c r="R99" s="174"/>
      <c r="S99" s="112"/>
      <c r="T99" s="112"/>
      <c r="U99" s="110"/>
      <c r="V99" s="112"/>
      <c r="W99" s="27">
        <f ca="1">SUMIF(S!$A$5:$J$152,Jun!G99,S!$M$5:$M$152)</f>
        <v>0</v>
      </c>
      <c r="X99" s="177">
        <f>SUMIF(T!$A$4:$A$371,B99,T!$B$4:$B$371)+SUMIF(T!$A$4:$A$371,C99,T!$B$4:$B$371)+SUMIF(T!$A$4:$A$371,D99,T!$B$4:$B$371)+(K99+O99)+(L99+P99)*EERR!$D$2</f>
        <v>0</v>
      </c>
      <c r="Y99" s="178">
        <f>X99/EERR!$D$2</f>
        <v>0</v>
      </c>
      <c r="Z99" s="184">
        <f t="shared" si="21"/>
        <v>0</v>
      </c>
      <c r="AA99" s="240">
        <f ca="1">SUMIF(S!$A$5:$J$152,Jun!G99,S!$I$5:$I$152)*EERR!$D$2*1.19</f>
        <v>0</v>
      </c>
      <c r="AB99" s="240">
        <f t="shared" ca="1" si="13"/>
        <v>0</v>
      </c>
    </row>
    <row r="100" spans="1:28" x14ac:dyDescent="0.25">
      <c r="A100" s="171"/>
      <c r="B100" s="197"/>
      <c r="C100" s="197"/>
      <c r="D100" s="197"/>
      <c r="E100" s="172"/>
      <c r="F100" s="172"/>
      <c r="G100" s="172"/>
      <c r="H100" s="173"/>
      <c r="I100" s="173"/>
      <c r="J100" s="172"/>
      <c r="K100" s="174"/>
      <c r="L100" s="175"/>
      <c r="M100" s="174"/>
      <c r="N100" s="174"/>
      <c r="O100" s="174"/>
      <c r="P100" s="174"/>
      <c r="Q100" s="174"/>
      <c r="R100" s="174"/>
      <c r="S100" s="112"/>
      <c r="T100" s="112"/>
      <c r="U100" s="110"/>
      <c r="V100" s="112"/>
      <c r="W100" s="27">
        <f ca="1">SUMIF(S!$A$5:$J$152,Jun!G100,S!$M$5:$M$152)</f>
        <v>0</v>
      </c>
      <c r="X100" s="177">
        <f>SUMIF(T!$A$4:$A$371,B100,T!$B$4:$B$371)+SUMIF(T!$A$4:$A$371,C100,T!$B$4:$B$371)+SUMIF(T!$A$4:$A$371,D100,T!$B$4:$B$371)+(K100+O100)+(L100+P100)*EERR!$D$2</f>
        <v>0</v>
      </c>
      <c r="Y100" s="178">
        <f>X100/EERR!$D$2</f>
        <v>0</v>
      </c>
      <c r="Z100" s="184"/>
      <c r="AA100" s="240"/>
      <c r="AB100" s="240"/>
    </row>
    <row r="101" spans="1:28" x14ac:dyDescent="0.25">
      <c r="A101" s="171"/>
      <c r="B101" s="197"/>
      <c r="C101" s="197"/>
      <c r="D101" s="197"/>
      <c r="E101" s="172"/>
      <c r="F101" s="172"/>
      <c r="G101" s="172"/>
      <c r="H101" s="173"/>
      <c r="I101" s="173"/>
      <c r="J101" s="172"/>
      <c r="K101" s="174"/>
      <c r="L101" s="175"/>
      <c r="M101" s="174"/>
      <c r="N101" s="174"/>
      <c r="O101" s="174"/>
      <c r="P101" s="174"/>
      <c r="Q101" s="174"/>
      <c r="R101" s="174"/>
      <c r="S101" s="112"/>
      <c r="T101" s="112"/>
      <c r="U101" s="110"/>
      <c r="V101" s="112"/>
      <c r="W101" s="27">
        <f ca="1">SUMIF(S!$A$5:$J$152,Jun!G101,S!$M$5:$M$152)</f>
        <v>0</v>
      </c>
      <c r="X101" s="177">
        <f>SUMIF(T!$A$4:$A$371,B101,T!$B$4:$B$371)+SUMIF(T!$A$4:$A$371,C101,T!$B$4:$B$371)+SUMIF(T!$A$4:$A$371,D101,T!$B$4:$B$371)+(K101+O101)+(L101+P101)*EERR!$D$2</f>
        <v>0</v>
      </c>
      <c r="Y101" s="178">
        <f>X101/EERR!$D$2</f>
        <v>0</v>
      </c>
      <c r="Z101" s="184"/>
      <c r="AA101" s="240"/>
      <c r="AB101" s="240"/>
    </row>
    <row r="102" spans="1:28" x14ac:dyDescent="0.25">
      <c r="A102" s="171"/>
      <c r="B102" s="197"/>
      <c r="C102" s="197"/>
      <c r="D102" s="197"/>
      <c r="E102" s="172"/>
      <c r="F102" s="172"/>
      <c r="G102" s="172"/>
      <c r="H102" s="173"/>
      <c r="I102" s="173"/>
      <c r="J102" s="172"/>
      <c r="K102" s="174"/>
      <c r="L102" s="175"/>
      <c r="M102" s="174"/>
      <c r="N102" s="174"/>
      <c r="O102" s="174"/>
      <c r="P102" s="174"/>
      <c r="Q102" s="174"/>
      <c r="R102" s="174"/>
      <c r="S102" s="112"/>
      <c r="T102" s="112"/>
      <c r="U102" s="110"/>
      <c r="V102" s="112"/>
      <c r="W102" s="27">
        <f ca="1">SUMIF(S!$A$5:$J$152,Jun!G102,S!$M$5:$M$152)</f>
        <v>0</v>
      </c>
      <c r="X102" s="177">
        <f>SUMIF(T!$A$4:$A$371,B102,T!$B$4:$B$371)+SUMIF(T!$A$4:$A$371,C102,T!$B$4:$B$371)+SUMIF(T!$A$4:$A$371,D102,T!$B$4:$B$371)+(K102+O102)+(L102+P102)*EERR!$D$2</f>
        <v>0</v>
      </c>
      <c r="Y102" s="178">
        <f>X102/EERR!$D$2</f>
        <v>0</v>
      </c>
      <c r="Z102" s="184"/>
      <c r="AA102" s="240"/>
      <c r="AB102" s="240"/>
    </row>
    <row r="103" spans="1:28" x14ac:dyDescent="0.25">
      <c r="A103" s="171"/>
      <c r="B103" s="197"/>
      <c r="C103" s="197"/>
      <c r="D103" s="197"/>
      <c r="E103" s="172"/>
      <c r="F103" s="172"/>
      <c r="G103" s="172"/>
      <c r="H103" s="173"/>
      <c r="I103" s="173"/>
      <c r="J103" s="172"/>
      <c r="K103" s="174"/>
      <c r="L103" s="175"/>
      <c r="M103" s="174"/>
      <c r="N103" s="174"/>
      <c r="O103" s="174"/>
      <c r="P103" s="174"/>
      <c r="Q103" s="174"/>
      <c r="R103" s="174"/>
      <c r="S103" s="112"/>
      <c r="T103" s="112"/>
      <c r="U103" s="110"/>
      <c r="V103" s="112"/>
      <c r="W103" s="27">
        <f ca="1">SUMIF(S!$A$5:$J$152,Jun!G103,S!$M$5:$M$152)</f>
        <v>0</v>
      </c>
      <c r="X103" s="177">
        <f>SUMIF(T!$A$4:$A$371,B103,T!$B$4:$B$371)+SUMIF(T!$A$4:$A$371,C103,T!$B$4:$B$371)+SUMIF(T!$A$4:$A$371,D103,T!$B$4:$B$371)+(K103+O103)+(L103+P103)*EERR!$D$2</f>
        <v>0</v>
      </c>
      <c r="Y103" s="178">
        <f>X103/EERR!$D$2</f>
        <v>0</v>
      </c>
      <c r="Z103" s="184"/>
      <c r="AA103" s="240"/>
      <c r="AB103" s="240"/>
    </row>
    <row r="104" spans="1:28" x14ac:dyDescent="0.25">
      <c r="A104" s="171"/>
      <c r="B104" s="197"/>
      <c r="C104" s="197"/>
      <c r="D104" s="197"/>
      <c r="E104" s="172"/>
      <c r="F104" s="172"/>
      <c r="G104" s="172"/>
      <c r="H104" s="173"/>
      <c r="I104" s="173"/>
      <c r="J104" s="172"/>
      <c r="K104" s="174"/>
      <c r="L104" s="175"/>
      <c r="M104" s="174"/>
      <c r="N104" s="174"/>
      <c r="O104" s="174"/>
      <c r="P104" s="174"/>
      <c r="Q104" s="174"/>
      <c r="R104" s="174"/>
      <c r="S104" s="112"/>
      <c r="T104" s="112"/>
      <c r="U104" s="110"/>
      <c r="V104" s="112"/>
      <c r="W104" s="27">
        <f ca="1">SUMIF(S!$A$5:$J$152,Jun!G104,S!$M$5:$M$152)</f>
        <v>0</v>
      </c>
      <c r="X104" s="177">
        <f>SUMIF(T!$A$4:$A$371,B104,T!$B$4:$B$371)+SUMIF(T!$A$4:$A$371,C104,T!$B$4:$B$371)+SUMIF(T!$A$4:$A$371,D104,T!$B$4:$B$371)+(K104+O104)+(L104+P104)*EERR!$D$2</f>
        <v>0</v>
      </c>
      <c r="Y104" s="178">
        <f>X104/EERR!$D$2</f>
        <v>0</v>
      </c>
      <c r="Z104" s="184"/>
      <c r="AA104" s="240"/>
      <c r="AB104" s="240"/>
    </row>
    <row r="105" spans="1:28" x14ac:dyDescent="0.25">
      <c r="A105" s="171"/>
      <c r="B105" s="197"/>
      <c r="C105" s="197"/>
      <c r="D105" s="197"/>
      <c r="E105" s="172"/>
      <c r="F105" s="172"/>
      <c r="G105" s="172"/>
      <c r="H105" s="173"/>
      <c r="I105" s="173"/>
      <c r="J105" s="172"/>
      <c r="K105" s="174"/>
      <c r="L105" s="175"/>
      <c r="M105" s="174"/>
      <c r="N105" s="174"/>
      <c r="O105" s="174"/>
      <c r="P105" s="174"/>
      <c r="Q105" s="174"/>
      <c r="R105" s="174"/>
      <c r="S105" s="112"/>
      <c r="T105" s="112"/>
      <c r="U105" s="110"/>
      <c r="V105" s="112"/>
      <c r="W105" s="27">
        <f ca="1">SUMIF(S!$A$5:$J$152,Jun!G105,S!$M$5:$M$152)</f>
        <v>0</v>
      </c>
      <c r="X105" s="177">
        <f>SUMIF(T!$A$4:$A$371,B105,T!$B$4:$B$371)+SUMIF(T!$A$4:$A$371,C105,T!$B$4:$B$371)+SUMIF(T!$A$4:$A$371,D105,T!$B$4:$B$371)+(K105+O105)+(L105+P105)*EERR!$D$2</f>
        <v>0</v>
      </c>
      <c r="Y105" s="178">
        <f>X105/EERR!$D$2</f>
        <v>0</v>
      </c>
      <c r="Z105" s="184">
        <f t="shared" si="17"/>
        <v>0</v>
      </c>
      <c r="AA105" s="240">
        <f ca="1">SUMIF(S!$A$5:$J$152,Jun!G105,S!$I$5:$I$152)*EERR!$D$2*1.19</f>
        <v>0</v>
      </c>
      <c r="AB105" s="240">
        <f t="shared" ca="1" si="13"/>
        <v>0</v>
      </c>
    </row>
    <row r="106" spans="1:28" x14ac:dyDescent="0.25">
      <c r="A106" s="171"/>
      <c r="B106" s="197"/>
      <c r="C106" s="197"/>
      <c r="D106" s="197"/>
      <c r="E106" s="172"/>
      <c r="F106" s="172"/>
      <c r="G106" s="172"/>
      <c r="H106" s="173"/>
      <c r="I106" s="173"/>
      <c r="J106" s="172"/>
      <c r="K106" s="174"/>
      <c r="L106" s="175"/>
      <c r="M106" s="174"/>
      <c r="N106" s="174"/>
      <c r="O106" s="174"/>
      <c r="P106" s="174"/>
      <c r="Q106" s="174"/>
      <c r="R106" s="174"/>
      <c r="S106" s="112"/>
      <c r="T106" s="112"/>
      <c r="U106" s="110"/>
      <c r="V106" s="112"/>
      <c r="W106" s="27">
        <f ca="1">SUMIF(S!$A$5:$J$152,Jun!G106,S!$M$5:$M$152)</f>
        <v>0</v>
      </c>
      <c r="X106" s="177">
        <f>SUMIF(T!$A$4:$A$371,B106,T!$B$4:$B$371)+SUMIF(T!$A$4:$A$371,C106,T!$B$4:$B$371)+SUMIF(T!$A$4:$A$371,D106,T!$B$4:$B$371)+(K106+O106)+(L106+P106)*EERR!$D$2</f>
        <v>0</v>
      </c>
      <c r="Y106" s="178">
        <f>X106/EERR!$D$2</f>
        <v>0</v>
      </c>
      <c r="Z106" s="184">
        <f t="shared" si="17"/>
        <v>0</v>
      </c>
      <c r="AA106" s="240">
        <f ca="1">SUMIF(S!$A$5:$J$152,Jun!G106,S!$I$5:$I$152)*EERR!$D$2*1.19</f>
        <v>0</v>
      </c>
      <c r="AB106" s="240">
        <f t="shared" ca="1" si="13"/>
        <v>0</v>
      </c>
    </row>
    <row r="107" spans="1:28" x14ac:dyDescent="0.25">
      <c r="A107" s="171"/>
      <c r="B107" s="197"/>
      <c r="C107" s="197"/>
      <c r="D107" s="197"/>
      <c r="E107" s="172"/>
      <c r="F107" s="172"/>
      <c r="G107" s="172"/>
      <c r="H107" s="173"/>
      <c r="I107" s="173"/>
      <c r="J107" s="172"/>
      <c r="K107" s="174"/>
      <c r="L107" s="175"/>
      <c r="M107" s="174"/>
      <c r="N107" s="174"/>
      <c r="O107" s="174"/>
      <c r="P107" s="174"/>
      <c r="Q107" s="174"/>
      <c r="R107" s="174"/>
      <c r="S107" s="112"/>
      <c r="T107" s="112"/>
      <c r="U107" s="110"/>
      <c r="V107" s="112"/>
      <c r="W107" s="27">
        <f ca="1">SUMIF(S!$A$5:$J$152,Jun!G107,S!$M$5:$M$152)</f>
        <v>0</v>
      </c>
      <c r="X107" s="177">
        <f>SUMIF(T!$A$4:$A$371,B107,T!$B$4:$B$371)+SUMIF(T!$A$4:$A$371,C107,T!$B$4:$B$371)+SUMIF(T!$A$4:$A$371,D107,T!$B$4:$B$371)+(K107+O107)+(L107+P107)*EERR!$D$2</f>
        <v>0</v>
      </c>
      <c r="Y107" s="178">
        <f>X107/EERR!$D$2</f>
        <v>0</v>
      </c>
      <c r="Z107" s="184">
        <f t="shared" si="17"/>
        <v>0</v>
      </c>
      <c r="AA107" s="240">
        <f ca="1">SUMIF(S!$A$5:$J$152,Jun!G107,S!$I$5:$I$152)*EERR!$D$2*1.19</f>
        <v>0</v>
      </c>
      <c r="AB107" s="240">
        <f t="shared" ca="1" si="13"/>
        <v>0</v>
      </c>
    </row>
    <row r="108" spans="1:28" x14ac:dyDescent="0.25">
      <c r="A108" s="171"/>
      <c r="B108" s="197"/>
      <c r="C108" s="197"/>
      <c r="D108" s="197"/>
      <c r="E108" s="172"/>
      <c r="F108" s="172"/>
      <c r="G108" s="172"/>
      <c r="H108" s="173"/>
      <c r="I108" s="173"/>
      <c r="J108" s="172"/>
      <c r="K108" s="174"/>
      <c r="L108" s="175"/>
      <c r="M108" s="174"/>
      <c r="N108" s="174"/>
      <c r="O108" s="174"/>
      <c r="P108" s="174"/>
      <c r="Q108" s="174"/>
      <c r="R108" s="174"/>
      <c r="S108" s="112"/>
      <c r="T108" s="112"/>
      <c r="U108" s="110"/>
      <c r="V108" s="112"/>
      <c r="W108" s="27">
        <f ca="1">SUMIF(S!$A$5:$J$152,Jun!G108,S!$M$5:$M$152)</f>
        <v>0</v>
      </c>
      <c r="X108" s="177">
        <f>SUMIF(T!$A$4:$A$371,B108,T!$B$4:$B$371)+SUMIF(T!$A$4:$A$371,C108,T!$B$4:$B$371)+SUMIF(T!$A$4:$A$371,D108,T!$B$4:$B$371)+(K108+O108)+(L108+P108)*EERR!$D$2</f>
        <v>0</v>
      </c>
      <c r="Y108" s="179">
        <f>X108/EERR!$D$2</f>
        <v>0</v>
      </c>
      <c r="Z108" s="184">
        <f t="shared" si="17"/>
        <v>0</v>
      </c>
      <c r="AA108" s="240">
        <f ca="1">SUMIF(S!$A$5:$J$152,Jun!G108,S!$I$5:$I$152)*EERR!$D$2*1.19</f>
        <v>0</v>
      </c>
      <c r="AB108" s="240">
        <f t="shared" ca="1" si="13"/>
        <v>0</v>
      </c>
    </row>
    <row r="109" spans="1:28" x14ac:dyDescent="0.25">
      <c r="A109" s="171"/>
      <c r="B109" s="197"/>
      <c r="C109" s="197"/>
      <c r="D109" s="197"/>
      <c r="E109" s="172"/>
      <c r="F109" s="172"/>
      <c r="G109" s="172"/>
      <c r="H109" s="173"/>
      <c r="I109" s="173"/>
      <c r="J109" s="172"/>
      <c r="K109" s="174"/>
      <c r="L109" s="175"/>
      <c r="M109" s="174"/>
      <c r="N109" s="174"/>
      <c r="O109" s="174"/>
      <c r="P109" s="174"/>
      <c r="Q109" s="174"/>
      <c r="R109" s="174"/>
      <c r="S109" s="112"/>
      <c r="T109" s="112"/>
      <c r="U109" s="110"/>
      <c r="V109" s="112"/>
      <c r="W109" s="27">
        <f ca="1">SUMIF(S!$A$5:$J$152,Jun!G109,S!$M$5:$M$152)</f>
        <v>0</v>
      </c>
      <c r="X109" s="177">
        <f>SUMIF(T!$A$4:$A$371,B109,T!$B$4:$B$371)+SUMIF(T!$A$4:$A$371,C109,T!$B$4:$B$371)+SUMIF(T!$A$4:$A$371,D109,T!$B$4:$B$371)+(K109+O109)+(L109+P109)*EERR!$D$2</f>
        <v>0</v>
      </c>
      <c r="Y109" s="179">
        <f>X109/EERR!$D$2</f>
        <v>0</v>
      </c>
      <c r="Z109" s="184">
        <f t="shared" si="17"/>
        <v>0</v>
      </c>
      <c r="AA109" s="240">
        <f ca="1">SUMIF(S!$A$5:$J$152,Jun!G109,S!$I$5:$I$152)*EERR!$D$2*1.19</f>
        <v>0</v>
      </c>
      <c r="AB109" s="240">
        <f t="shared" ca="1" si="13"/>
        <v>0</v>
      </c>
    </row>
    <row r="110" spans="1:28" x14ac:dyDescent="0.25">
      <c r="A110" s="171"/>
      <c r="B110" s="197"/>
      <c r="C110" s="197"/>
      <c r="D110" s="197"/>
      <c r="E110" s="172"/>
      <c r="F110" s="172"/>
      <c r="G110" s="172"/>
      <c r="H110" s="173"/>
      <c r="I110" s="173"/>
      <c r="J110" s="172"/>
      <c r="K110" s="174"/>
      <c r="L110" s="175"/>
      <c r="M110" s="174"/>
      <c r="N110" s="174"/>
      <c r="O110" s="174"/>
      <c r="P110" s="174"/>
      <c r="Q110" s="174"/>
      <c r="R110" s="174"/>
      <c r="S110" s="112"/>
      <c r="T110" s="112"/>
      <c r="U110" s="110"/>
      <c r="V110" s="112"/>
      <c r="W110" s="27">
        <f ca="1">SUMIF(S!$A$5:$J$152,Jun!G110,S!$M$5:$M$152)</f>
        <v>0</v>
      </c>
      <c r="X110" s="177">
        <f>SUMIF(T!$A$4:$A$371,B110,T!$B$4:$B$371)+SUMIF(T!$A$4:$A$371,C110,T!$B$4:$B$371)+SUMIF(T!$A$4:$A$371,D110,T!$B$4:$B$371)+(K110+O110)+(L110+P110)*EERR!$D$2</f>
        <v>0</v>
      </c>
      <c r="Y110" s="179">
        <f>X110/EERR!$D$2</f>
        <v>0</v>
      </c>
      <c r="Z110" s="184">
        <f t="shared" si="17"/>
        <v>0</v>
      </c>
      <c r="AA110" s="240">
        <f ca="1">SUMIF(S!$A$5:$J$152,Jun!G110,S!$I$5:$I$152)*EERR!$D$2*1.19</f>
        <v>0</v>
      </c>
      <c r="AB110" s="240">
        <f t="shared" ca="1" si="13"/>
        <v>0</v>
      </c>
    </row>
    <row r="111" spans="1:28" ht="12.75" x14ac:dyDescent="0.2">
      <c r="A111" s="156"/>
      <c r="B111" s="156"/>
      <c r="C111" s="156"/>
      <c r="D111" s="156"/>
      <c r="E111" s="156"/>
      <c r="F111" s="156"/>
      <c r="G111" s="156"/>
      <c r="H111" s="157"/>
      <c r="I111" s="157"/>
      <c r="J111" s="156">
        <f>SUM(J82:J110)</f>
        <v>20</v>
      </c>
      <c r="K111" s="156">
        <f t="shared" ref="K111:Q111" si="22">SUM(K82:K110)</f>
        <v>0</v>
      </c>
      <c r="L111" s="156">
        <f t="shared" si="22"/>
        <v>0</v>
      </c>
      <c r="M111" s="156">
        <f t="shared" si="22"/>
        <v>991678</v>
      </c>
      <c r="N111" s="156">
        <f t="shared" si="22"/>
        <v>1864.3700000000001</v>
      </c>
      <c r="O111" s="156">
        <f t="shared" si="22"/>
        <v>0</v>
      </c>
      <c r="P111" s="156">
        <f t="shared" si="22"/>
        <v>0</v>
      </c>
      <c r="Q111" s="156">
        <f t="shared" si="22"/>
        <v>198862</v>
      </c>
      <c r="R111" s="156"/>
      <c r="S111" s="156">
        <f>SUM(S82:S110)</f>
        <v>2869.8700000000003</v>
      </c>
      <c r="T111" s="288">
        <f>SUM(T82:T110)</f>
        <v>1190540</v>
      </c>
      <c r="U111" s="162">
        <f>IF(J111=0,(S111+T111/EERR!$D$2/1.19),(S111+T111/EERR!$D$2/1.19)/J111)</f>
        <v>206.10011961906167</v>
      </c>
      <c r="V111" s="288">
        <f>SUM(V82:V110)</f>
        <v>3483566.1300000004</v>
      </c>
      <c r="W111" s="162">
        <f ca="1">SUM(W82:W110)</f>
        <v>20</v>
      </c>
      <c r="X111" s="162">
        <f t="shared" ref="X111:Y111" si="23">SUM(X82:X110)</f>
        <v>2341252.66</v>
      </c>
      <c r="Y111" s="162">
        <f t="shared" si="23"/>
        <v>2930.2286107634545</v>
      </c>
    </row>
    <row r="112" spans="1:28" x14ac:dyDescent="0.25">
      <c r="A112" s="39"/>
      <c r="B112" s="156"/>
      <c r="C112" s="156"/>
      <c r="D112" s="156"/>
      <c r="E112" s="39"/>
      <c r="F112" s="39"/>
      <c r="G112" s="39"/>
      <c r="H112" s="109"/>
      <c r="I112" s="109"/>
      <c r="J112" s="39"/>
      <c r="K112" s="110"/>
      <c r="L112" s="111"/>
      <c r="M112" s="110"/>
      <c r="N112" s="110"/>
      <c r="O112" s="110"/>
      <c r="P112" s="110"/>
      <c r="Q112" s="110"/>
      <c r="R112" s="110"/>
      <c r="S112" s="112"/>
      <c r="T112" s="112"/>
      <c r="U112" s="110">
        <f>IF(J112=0,(S112+T112/EERR!$D$2/1.19),(S112+T112/EERR!$D$2/1.19)/J112)</f>
        <v>0</v>
      </c>
      <c r="V112" s="39"/>
      <c r="X112" s="62"/>
      <c r="Y112" s="62"/>
    </row>
    <row r="113" spans="1:25" x14ac:dyDescent="0.25">
      <c r="A113" s="163"/>
      <c r="B113" s="198"/>
      <c r="C113" s="198"/>
      <c r="D113" s="198"/>
      <c r="E113" s="163" t="s">
        <v>170</v>
      </c>
      <c r="F113" s="163"/>
      <c r="G113" s="163"/>
      <c r="H113" s="164"/>
      <c r="I113" s="164"/>
      <c r="J113" s="163"/>
      <c r="K113" s="165"/>
      <c r="L113" s="166"/>
      <c r="M113" s="165"/>
      <c r="N113" s="165"/>
      <c r="O113" s="165"/>
      <c r="P113" s="165"/>
      <c r="Q113" s="165"/>
      <c r="R113" s="165"/>
      <c r="S113" s="167"/>
      <c r="T113" s="167">
        <f t="shared" ref="T113" si="24">M113+O113+K113</f>
        <v>0</v>
      </c>
      <c r="U113" s="165">
        <f>IF(J113=0,(S113+T113/EERR!$D$2/1.19),(S113+T113/EERR!$D$2/1.19)/J113)</f>
        <v>0</v>
      </c>
      <c r="V113" s="163"/>
      <c r="X113" s="62">
        <f>IF((M113+N113)&gt;0,SUMIF(#REF!,Jun!A113,#REF!),K113+(L113+Jun!P113)*EERR!$D$2+Jun!O113)</f>
        <v>0</v>
      </c>
      <c r="Y113" s="62">
        <f>X113/EERR!$D$2</f>
        <v>0</v>
      </c>
    </row>
    <row r="114" spans="1:25" x14ac:dyDescent="0.25">
      <c r="A114" s="156"/>
      <c r="B114" s="156"/>
      <c r="C114" s="156"/>
      <c r="D114" s="156"/>
      <c r="E114" s="156"/>
      <c r="F114" s="156"/>
      <c r="G114" s="156"/>
      <c r="H114" s="157"/>
      <c r="I114" s="157"/>
      <c r="J114" s="162">
        <f t="shared" ref="J114:T114" si="25">SUM(J113:J113)</f>
        <v>0</v>
      </c>
      <c r="K114" s="162">
        <f t="shared" si="25"/>
        <v>0</v>
      </c>
      <c r="L114" s="162">
        <f t="shared" si="25"/>
        <v>0</v>
      </c>
      <c r="M114" s="162">
        <f t="shared" si="25"/>
        <v>0</v>
      </c>
      <c r="N114" s="162">
        <f>SUM(N112:N113)</f>
        <v>0</v>
      </c>
      <c r="O114" s="162">
        <f t="shared" si="25"/>
        <v>0</v>
      </c>
      <c r="P114" s="162">
        <f t="shared" si="25"/>
        <v>0</v>
      </c>
      <c r="Q114" s="162"/>
      <c r="R114" s="162"/>
      <c r="S114" s="162">
        <f t="shared" si="25"/>
        <v>0</v>
      </c>
      <c r="T114" s="162">
        <f t="shared" si="25"/>
        <v>0</v>
      </c>
      <c r="U114" s="156"/>
      <c r="V114" s="162"/>
      <c r="W114" s="156"/>
      <c r="X114" s="168"/>
      <c r="Y114" s="168"/>
    </row>
    <row r="115" spans="1:25" x14ac:dyDescent="0.25">
      <c r="A115" s="156"/>
      <c r="B115" s="156"/>
      <c r="C115" s="156"/>
      <c r="D115" s="156"/>
      <c r="E115" s="169"/>
      <c r="F115" s="169"/>
      <c r="G115" s="169"/>
      <c r="H115" s="170">
        <f>H48+H81+H111</f>
        <v>0</v>
      </c>
      <c r="I115" s="170">
        <f>I48+I81+I111</f>
        <v>0</v>
      </c>
      <c r="J115" s="170">
        <f t="shared" ref="J115:S115" si="26">J48+J81+J111+J114</f>
        <v>70</v>
      </c>
      <c r="K115" s="170">
        <f t="shared" si="26"/>
        <v>0</v>
      </c>
      <c r="L115" s="170">
        <f t="shared" si="26"/>
        <v>0</v>
      </c>
      <c r="M115" s="170">
        <f t="shared" si="26"/>
        <v>3511711</v>
      </c>
      <c r="N115" s="170">
        <f t="shared" si="26"/>
        <v>5884.6500000000005</v>
      </c>
      <c r="O115" s="170">
        <f t="shared" si="26"/>
        <v>0</v>
      </c>
      <c r="P115" s="170">
        <f t="shared" si="26"/>
        <v>0</v>
      </c>
      <c r="Q115" s="170">
        <f t="shared" si="26"/>
        <v>1279876</v>
      </c>
      <c r="R115" s="170">
        <f t="shared" si="26"/>
        <v>1706.1599999999999</v>
      </c>
      <c r="S115" s="170">
        <f t="shared" si="26"/>
        <v>8596.3100000000013</v>
      </c>
      <c r="T115" s="170">
        <f>(T48+T81+T111+T114)/1.19</f>
        <v>4026543.6974789919</v>
      </c>
      <c r="U115" s="170">
        <f>(U48*J48+U81*J81+U111*J111)/J115</f>
        <v>194.79698529374204</v>
      </c>
      <c r="V115" s="170">
        <f>V48+V81+V111</f>
        <v>11660038.689999999</v>
      </c>
      <c r="W115" s="170">
        <f ca="1">W48+W81+W111+W114</f>
        <v>70</v>
      </c>
      <c r="X115" s="168">
        <f>X48+X81+X111</f>
        <v>10517725.219999999</v>
      </c>
      <c r="Y115" s="168"/>
    </row>
    <row r="116" spans="1:25" ht="12.75" x14ac:dyDescent="0.2">
      <c r="A116" s="156"/>
      <c r="B116" s="156"/>
      <c r="C116" s="156"/>
      <c r="D116" s="156"/>
      <c r="E116" s="156"/>
      <c r="F116" s="156"/>
      <c r="G116" s="156"/>
      <c r="H116" s="162"/>
      <c r="I116" s="162"/>
      <c r="J116" s="162"/>
      <c r="K116" s="162">
        <f>(K115)/EERR!$D$2</f>
        <v>0</v>
      </c>
      <c r="L116" s="162">
        <f>L115</f>
        <v>0</v>
      </c>
      <c r="M116" s="162">
        <f>(M115)/EERR!$D$2</f>
        <v>4395.1326658322905</v>
      </c>
      <c r="N116" s="162">
        <f>N115</f>
        <v>5884.6500000000005</v>
      </c>
      <c r="O116" s="162">
        <f>(O115)/EERR!$D$2</f>
        <v>0</v>
      </c>
      <c r="P116" s="162">
        <f>(P115)/EERR!$D$2</f>
        <v>0</v>
      </c>
      <c r="Q116" s="162"/>
      <c r="R116" s="162"/>
      <c r="S116" s="162">
        <f>S115+S114</f>
        <v>8596.3100000000013</v>
      </c>
      <c r="T116" s="162">
        <f>(T115)/EERR!D2</f>
        <v>5039.4789705619423</v>
      </c>
      <c r="U116" s="162">
        <f>U115+U114</f>
        <v>194.79698529374204</v>
      </c>
      <c r="V116" s="162">
        <f>V115+V114</f>
        <v>11660038.689999999</v>
      </c>
      <c r="W116" s="162">
        <f>SUM(K116:V116)</f>
        <v>11684149.058621688</v>
      </c>
      <c r="X116" s="156"/>
      <c r="Y116" s="156"/>
    </row>
    <row r="117" spans="1:25" ht="12.75" x14ac:dyDescent="0.2">
      <c r="J117" s="153">
        <f>J115/(31*10)</f>
        <v>0.22580645161290322</v>
      </c>
      <c r="L117" s="211"/>
      <c r="S117" s="359">
        <f>SUM(S116:T116)</f>
        <v>13635.788970561944</v>
      </c>
      <c r="T117" s="359"/>
    </row>
    <row r="118" spans="1:25" ht="12.75" x14ac:dyDescent="0.2">
      <c r="L118" s="28"/>
      <c r="S118" s="360">
        <f>S117*EERR!D2</f>
        <v>10894995.387478992</v>
      </c>
      <c r="T118" s="360">
        <f>S117*EERR!D2</f>
        <v>10894995.387478992</v>
      </c>
    </row>
    <row r="119" spans="1:25" ht="12.75" x14ac:dyDescent="0.2">
      <c r="H119" s="227">
        <f>+L115+P115</f>
        <v>0</v>
      </c>
      <c r="K119" s="80">
        <f>K115/1.19</f>
        <v>0</v>
      </c>
      <c r="L119" s="28"/>
      <c r="Y119" s="27">
        <f>36000*620</f>
        <v>22320000</v>
      </c>
    </row>
    <row r="120" spans="1:25" ht="12.75" x14ac:dyDescent="0.2">
      <c r="G120" s="29" t="s">
        <v>154</v>
      </c>
      <c r="H120" s="29" t="s">
        <v>155</v>
      </c>
      <c r="I120" s="29" t="s">
        <v>244</v>
      </c>
      <c r="K120" s="27"/>
      <c r="L120" s="27"/>
      <c r="S120" s="289" t="s">
        <v>84</v>
      </c>
      <c r="T120" s="290">
        <f>T115*0.19</f>
        <v>765043.30252100853</v>
      </c>
    </row>
    <row r="121" spans="1:25" ht="12.75" x14ac:dyDescent="0.2">
      <c r="E121" s="108" t="s">
        <v>202</v>
      </c>
      <c r="F121" s="108"/>
      <c r="G121" s="24">
        <f>-'BCI '!H142</f>
        <v>330024</v>
      </c>
      <c r="H121" s="24">
        <f>-'BCI '!H143/EERR!D2</f>
        <v>0</v>
      </c>
      <c r="I121" s="24">
        <f>-Security!F110</f>
        <v>0</v>
      </c>
      <c r="K121" s="27"/>
      <c r="L121" s="27"/>
      <c r="T121" s="31"/>
    </row>
    <row r="122" spans="1:25" ht="12.75" x14ac:dyDescent="0.2">
      <c r="E122" s="108" t="s">
        <v>201</v>
      </c>
      <c r="F122" s="39"/>
      <c r="G122" s="112">
        <f>+K115</f>
        <v>0</v>
      </c>
      <c r="H122" s="33">
        <f>+L115</f>
        <v>0</v>
      </c>
      <c r="I122" s="112">
        <f>+O115</f>
        <v>0</v>
      </c>
      <c r="K122" s="27"/>
      <c r="L122" s="27"/>
    </row>
    <row r="123" spans="1:25" ht="12.75" x14ac:dyDescent="0.2">
      <c r="E123" s="108"/>
      <c r="F123" s="39"/>
      <c r="G123" s="218">
        <f>+G121-G122</f>
        <v>330024</v>
      </c>
      <c r="H123" s="219">
        <f>+H121-H122</f>
        <v>0</v>
      </c>
      <c r="I123" s="218">
        <f>+I121-I122</f>
        <v>0</v>
      </c>
      <c r="K123" s="27"/>
      <c r="L123" s="27"/>
    </row>
    <row r="124" spans="1:25" ht="12.75" x14ac:dyDescent="0.2">
      <c r="L124" s="27"/>
      <c r="T124" s="240">
        <f>+T115*0.19</f>
        <v>765043.30252100853</v>
      </c>
    </row>
    <row r="125" spans="1:25" ht="12.75" x14ac:dyDescent="0.2">
      <c r="L125" s="27"/>
    </row>
    <row r="126" spans="1:25" ht="16.5" thickBot="1" x14ac:dyDescent="0.3">
      <c r="E126" s="216" t="s">
        <v>83</v>
      </c>
      <c r="F126" s="217">
        <f>(T115)*0.19</f>
        <v>765043.30252100853</v>
      </c>
      <c r="L126" s="27"/>
    </row>
    <row r="127" spans="1:25" ht="12.75" x14ac:dyDescent="0.2">
      <c r="L127" s="27"/>
    </row>
    <row r="128" spans="1:25" ht="12.75" x14ac:dyDescent="0.2">
      <c r="L128" s="27"/>
    </row>
    <row r="129" spans="12:12" ht="12.75" x14ac:dyDescent="0.2">
      <c r="L129" s="27"/>
    </row>
    <row r="130" spans="12:12" ht="12.75" x14ac:dyDescent="0.2">
      <c r="L130" s="27"/>
    </row>
    <row r="131" spans="12:12" ht="12.75" x14ac:dyDescent="0.2">
      <c r="L131" s="27"/>
    </row>
    <row r="132" spans="12:12" ht="12.75" x14ac:dyDescent="0.2">
      <c r="L132" s="27"/>
    </row>
    <row r="133" spans="12:12" ht="12.75" x14ac:dyDescent="0.2">
      <c r="L133" s="27"/>
    </row>
    <row r="134" spans="12:12" ht="12.75" x14ac:dyDescent="0.2">
      <c r="L134" s="27"/>
    </row>
    <row r="135" spans="12:12" ht="12.75" x14ac:dyDescent="0.2">
      <c r="L135" s="27"/>
    </row>
    <row r="136" spans="12:12" ht="12.75" x14ac:dyDescent="0.2">
      <c r="L136" s="27"/>
    </row>
    <row r="137" spans="12:12" ht="12.75" x14ac:dyDescent="0.2">
      <c r="L137" s="27"/>
    </row>
    <row r="138" spans="12:12" ht="12.75" x14ac:dyDescent="0.2">
      <c r="L138" s="27"/>
    </row>
    <row r="139" spans="12:12" ht="12.75" x14ac:dyDescent="0.2">
      <c r="L139" s="27"/>
    </row>
    <row r="140" spans="12:12" ht="12.75" x14ac:dyDescent="0.2">
      <c r="L140" s="27"/>
    </row>
    <row r="141" spans="12:12" ht="12.75" x14ac:dyDescent="0.2">
      <c r="L141" s="27"/>
    </row>
    <row r="142" spans="12:12" ht="12.75" x14ac:dyDescent="0.2">
      <c r="L142" s="27"/>
    </row>
    <row r="143" spans="12:12" ht="12.75" x14ac:dyDescent="0.2">
      <c r="L143" s="27"/>
    </row>
    <row r="144" spans="12:12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  <row r="165" spans="12:12" ht="12.75" x14ac:dyDescent="0.2">
      <c r="L165" s="27"/>
    </row>
    <row r="166" spans="12:12" ht="12.75" x14ac:dyDescent="0.2">
      <c r="L166" s="27"/>
    </row>
    <row r="167" spans="12:12" ht="12.75" x14ac:dyDescent="0.2">
      <c r="L167" s="27"/>
    </row>
    <row r="168" spans="12:12" ht="12.75" x14ac:dyDescent="0.2">
      <c r="L168" s="27"/>
    </row>
    <row r="169" spans="12:12" ht="12.75" x14ac:dyDescent="0.2">
      <c r="L169" s="27"/>
    </row>
    <row r="170" spans="12:12" ht="12.75" x14ac:dyDescent="0.2">
      <c r="L170" s="27"/>
    </row>
    <row r="171" spans="12:12" ht="12.75" x14ac:dyDescent="0.2">
      <c r="L171" s="27"/>
    </row>
    <row r="172" spans="12:12" ht="12.75" x14ac:dyDescent="0.2">
      <c r="L172" s="27"/>
    </row>
    <row r="173" spans="12:12" ht="12.75" x14ac:dyDescent="0.2">
      <c r="L173" s="27"/>
    </row>
    <row r="174" spans="12:12" ht="12.75" x14ac:dyDescent="0.2">
      <c r="L174" s="27"/>
    </row>
    <row r="175" spans="12:12" ht="12.75" x14ac:dyDescent="0.2">
      <c r="L175" s="27"/>
    </row>
    <row r="176" spans="12:12" ht="12.75" x14ac:dyDescent="0.2">
      <c r="L176" s="27"/>
    </row>
    <row r="177" spans="12:12" ht="12.75" x14ac:dyDescent="0.2">
      <c r="L177" s="27"/>
    </row>
    <row r="178" spans="12:12" ht="12.75" x14ac:dyDescent="0.2">
      <c r="L178" s="27"/>
    </row>
    <row r="179" spans="12:12" ht="12.75" x14ac:dyDescent="0.2">
      <c r="L179" s="27"/>
    </row>
  </sheetData>
  <autoFilter ref="A2:X110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17:T117"/>
    <mergeCell ref="S118:T118"/>
    <mergeCell ref="K1:L1"/>
    <mergeCell ref="M1:N1"/>
    <mergeCell ref="O1:P1"/>
    <mergeCell ref="Q1:R1"/>
  </mergeCells>
  <conditionalFormatting sqref="X48:Y48 X81:Y81 X111:Y111 W47:W81 W108:W11003">
    <cfRule type="expression" dxfId="5" priority="34">
      <formula>IF(J47=W47,0,1)</formula>
    </cfRule>
  </conditionalFormatting>
  <conditionalFormatting sqref="X49:X80 X47 X108:X110">
    <cfRule type="expression" dxfId="4" priority="14">
      <formula>IF(Z47&gt;10000,1,0)</formula>
    </cfRule>
  </conditionalFormatting>
  <conditionalFormatting sqref="W82:W107">
    <cfRule type="expression" dxfId="3" priority="4">
      <formula>IF(J82=W82,0,1)</formula>
    </cfRule>
  </conditionalFormatting>
  <conditionalFormatting sqref="X82:X107">
    <cfRule type="expression" dxfId="2" priority="3">
      <formula>IF(Z82&gt;10000,1,0)</formula>
    </cfRule>
  </conditionalFormatting>
  <conditionalFormatting sqref="W3:W46">
    <cfRule type="expression" dxfId="1" priority="2">
      <formula>IF(J3=W3,0,1)</formula>
    </cfRule>
  </conditionalFormatting>
  <conditionalFormatting sqref="X3:X46">
    <cfRule type="expression" dxfId="0" priority="1">
      <formula>IF(Z3&gt;10000,1,0)</formula>
    </cfRule>
  </conditionalFormatting>
  <pageMargins left="0.7" right="0.7" top="0.75" bottom="0.75" header="0.3" footer="0.3"/>
  <pageSetup scale="26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topLeftCell="A80" zoomScale="70" zoomScaleNormal="70" workbookViewId="0">
      <selection activeCell="K28" sqref="K28:O69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60</v>
      </c>
    </row>
    <row r="4" spans="1:14" x14ac:dyDescent="0.25">
      <c r="A4" s="6" t="s">
        <v>23</v>
      </c>
      <c r="B4" s="6" t="s">
        <v>177</v>
      </c>
      <c r="C4" s="6" t="s">
        <v>172</v>
      </c>
      <c r="D4" s="6"/>
      <c r="E4" s="6" t="s">
        <v>178</v>
      </c>
      <c r="F4" s="6" t="s">
        <v>179</v>
      </c>
      <c r="G4" s="6" t="s">
        <v>180</v>
      </c>
      <c r="H4" s="6" t="s">
        <v>181</v>
      </c>
      <c r="I4" s="6" t="s">
        <v>182</v>
      </c>
      <c r="J4" s="6" t="s">
        <v>268</v>
      </c>
      <c r="K4" s="6" t="s">
        <v>269</v>
      </c>
      <c r="N4" s="212" t="s">
        <v>199</v>
      </c>
    </row>
    <row r="5" spans="1:14" x14ac:dyDescent="0.25">
      <c r="A5" s="32" t="s">
        <v>461</v>
      </c>
      <c r="B5" s="6" t="s">
        <v>176</v>
      </c>
      <c r="C5" s="176" t="s">
        <v>255</v>
      </c>
      <c r="D5" s="176" t="s">
        <v>196</v>
      </c>
      <c r="E5" s="176">
        <v>45072.936967592592</v>
      </c>
      <c r="F5" s="176">
        <v>45078</v>
      </c>
      <c r="G5" s="176">
        <v>45081</v>
      </c>
      <c r="H5" s="176" t="s">
        <v>462</v>
      </c>
      <c r="I5" s="196">
        <v>570</v>
      </c>
      <c r="J5">
        <f t="shared" ref="J5" si="0">G5-F5</f>
        <v>3</v>
      </c>
      <c r="K5" s="6">
        <v>1</v>
      </c>
      <c r="L5" s="155">
        <f>+I5/(J5*K5)</f>
        <v>190</v>
      </c>
      <c r="M5">
        <f>ROUND(I5/L5,0)</f>
        <v>3</v>
      </c>
      <c r="N5" s="213">
        <f>+M5-(K5*J5)</f>
        <v>0</v>
      </c>
    </row>
    <row r="6" spans="1:14" x14ac:dyDescent="0.25">
      <c r="A6" s="32">
        <v>18165032</v>
      </c>
      <c r="B6" s="6" t="s">
        <v>176</v>
      </c>
      <c r="C6" s="176" t="s">
        <v>174</v>
      </c>
      <c r="D6" s="176" t="s">
        <v>245</v>
      </c>
      <c r="E6" s="176">
        <v>45075.822222222225</v>
      </c>
      <c r="F6" s="176">
        <v>45078</v>
      </c>
      <c r="G6" s="176">
        <v>45079</v>
      </c>
      <c r="H6" s="176" t="s">
        <v>463</v>
      </c>
      <c r="I6" s="196">
        <v>188.53</v>
      </c>
      <c r="J6">
        <f t="shared" ref="J6:J27" si="1">G6-F6</f>
        <v>1</v>
      </c>
      <c r="K6" s="6">
        <v>1</v>
      </c>
      <c r="L6" s="155">
        <f t="shared" ref="L6:L22" si="2">+I6/(J6*K6)</f>
        <v>188.53</v>
      </c>
      <c r="M6">
        <f t="shared" ref="M6:M22" si="3">ROUND(I6/L6,0)</f>
        <v>1</v>
      </c>
      <c r="N6" s="213">
        <f t="shared" ref="N6:N22" si="4">+M6-(K6*J6)</f>
        <v>0</v>
      </c>
    </row>
    <row r="7" spans="1:14" x14ac:dyDescent="0.25">
      <c r="A7" s="32">
        <v>18136202</v>
      </c>
      <c r="B7" s="6" t="s">
        <v>176</v>
      </c>
      <c r="C7" s="176" t="s">
        <v>174</v>
      </c>
      <c r="D7" s="176" t="s">
        <v>245</v>
      </c>
      <c r="E7" s="176">
        <v>45075.779166666667</v>
      </c>
      <c r="F7" s="176">
        <v>45079</v>
      </c>
      <c r="G7" s="176">
        <v>45081</v>
      </c>
      <c r="H7" s="176" t="s">
        <v>463</v>
      </c>
      <c r="I7" s="196">
        <v>377.06</v>
      </c>
      <c r="J7">
        <f t="shared" si="1"/>
        <v>2</v>
      </c>
      <c r="K7" s="6">
        <v>1</v>
      </c>
      <c r="L7" s="155">
        <f t="shared" si="2"/>
        <v>188.53</v>
      </c>
      <c r="M7">
        <f t="shared" si="3"/>
        <v>2</v>
      </c>
      <c r="N7" s="213">
        <f t="shared" si="4"/>
        <v>0</v>
      </c>
    </row>
    <row r="8" spans="1:14" x14ac:dyDescent="0.25">
      <c r="A8" s="32">
        <v>3053826027</v>
      </c>
      <c r="B8" s="6" t="s">
        <v>176</v>
      </c>
      <c r="C8" s="176" t="s">
        <v>173</v>
      </c>
      <c r="D8" s="176"/>
      <c r="E8" s="176">
        <v>45072.373136574075</v>
      </c>
      <c r="F8" s="176">
        <v>45080</v>
      </c>
      <c r="G8" s="176">
        <v>45081</v>
      </c>
      <c r="H8" s="176" t="s">
        <v>311</v>
      </c>
      <c r="I8" s="196">
        <v>188.53</v>
      </c>
      <c r="J8">
        <f t="shared" si="1"/>
        <v>1</v>
      </c>
      <c r="K8" s="6">
        <v>1</v>
      </c>
      <c r="L8" s="155">
        <f t="shared" si="2"/>
        <v>188.53</v>
      </c>
      <c r="M8">
        <f t="shared" si="3"/>
        <v>1</v>
      </c>
      <c r="N8" s="213">
        <f t="shared" si="4"/>
        <v>0</v>
      </c>
    </row>
    <row r="9" spans="1:14" x14ac:dyDescent="0.25">
      <c r="A9" s="32" t="s">
        <v>464</v>
      </c>
      <c r="B9" s="6" t="s">
        <v>176</v>
      </c>
      <c r="C9" s="176" t="s">
        <v>255</v>
      </c>
      <c r="D9" s="176" t="s">
        <v>196</v>
      </c>
      <c r="E9" s="176">
        <v>45077.853425925925</v>
      </c>
      <c r="F9" s="176">
        <v>45080</v>
      </c>
      <c r="G9" s="176">
        <v>45081</v>
      </c>
      <c r="H9" s="176" t="s">
        <v>465</v>
      </c>
      <c r="I9" s="196">
        <v>190</v>
      </c>
      <c r="J9">
        <f t="shared" si="1"/>
        <v>1</v>
      </c>
      <c r="K9" s="6">
        <v>1</v>
      </c>
      <c r="L9" s="155">
        <f t="shared" si="2"/>
        <v>190</v>
      </c>
      <c r="M9">
        <f t="shared" si="3"/>
        <v>1</v>
      </c>
      <c r="N9" s="213">
        <f t="shared" si="4"/>
        <v>0</v>
      </c>
    </row>
    <row r="10" spans="1:14" x14ac:dyDescent="0.25">
      <c r="A10" s="32">
        <v>2233818993</v>
      </c>
      <c r="B10" s="6" t="s">
        <v>261</v>
      </c>
      <c r="C10" s="176" t="s">
        <v>173</v>
      </c>
      <c r="D10" s="176"/>
      <c r="E10" s="176">
        <v>44968.867662037039</v>
      </c>
      <c r="F10" s="176">
        <v>45096</v>
      </c>
      <c r="G10" s="176">
        <v>45102</v>
      </c>
      <c r="H10" s="176" t="s">
        <v>466</v>
      </c>
      <c r="I10" s="196">
        <v>1185.06</v>
      </c>
      <c r="J10">
        <f t="shared" si="1"/>
        <v>6</v>
      </c>
      <c r="K10" s="6">
        <v>1</v>
      </c>
      <c r="L10" s="155">
        <f t="shared" si="2"/>
        <v>197.51</v>
      </c>
      <c r="M10">
        <f t="shared" si="3"/>
        <v>6</v>
      </c>
      <c r="N10" s="213">
        <f t="shared" si="4"/>
        <v>0</v>
      </c>
    </row>
    <row r="11" spans="1:14" x14ac:dyDescent="0.25">
      <c r="A11" s="32" t="s">
        <v>467</v>
      </c>
      <c r="B11" s="6" t="s">
        <v>176</v>
      </c>
      <c r="C11" s="176" t="s">
        <v>255</v>
      </c>
      <c r="D11" s="176" t="s">
        <v>196</v>
      </c>
      <c r="E11" s="176">
        <v>45025.606203703705</v>
      </c>
      <c r="F11" s="176">
        <v>45096</v>
      </c>
      <c r="G11" s="176">
        <v>45101</v>
      </c>
      <c r="H11" s="176" t="s">
        <v>468</v>
      </c>
      <c r="I11" s="196">
        <v>950</v>
      </c>
      <c r="J11">
        <f t="shared" si="1"/>
        <v>5</v>
      </c>
      <c r="K11" s="6">
        <v>1</v>
      </c>
      <c r="L11" s="155">
        <f t="shared" si="2"/>
        <v>190</v>
      </c>
      <c r="M11">
        <f t="shared" si="3"/>
        <v>5</v>
      </c>
      <c r="N11" s="213">
        <f t="shared" si="4"/>
        <v>0</v>
      </c>
    </row>
    <row r="12" spans="1:14" x14ac:dyDescent="0.25">
      <c r="A12" s="32">
        <v>1483284727</v>
      </c>
      <c r="B12" s="6" t="s">
        <v>176</v>
      </c>
      <c r="C12" s="176" t="s">
        <v>174</v>
      </c>
      <c r="D12" s="176" t="s">
        <v>245</v>
      </c>
      <c r="E12" s="176">
        <v>45013.707638888889</v>
      </c>
      <c r="F12" s="176">
        <v>45098</v>
      </c>
      <c r="G12" s="176">
        <v>45104</v>
      </c>
      <c r="H12" s="176" t="s">
        <v>469</v>
      </c>
      <c r="I12" s="196">
        <v>1256.8800000000001</v>
      </c>
      <c r="J12">
        <f t="shared" si="1"/>
        <v>6</v>
      </c>
      <c r="K12" s="6">
        <v>1</v>
      </c>
      <c r="L12" s="155">
        <f t="shared" si="2"/>
        <v>209.48000000000002</v>
      </c>
      <c r="M12">
        <f t="shared" si="3"/>
        <v>6</v>
      </c>
      <c r="N12" s="213">
        <f t="shared" si="4"/>
        <v>0</v>
      </c>
    </row>
    <row r="13" spans="1:14" x14ac:dyDescent="0.25">
      <c r="A13" s="32">
        <v>3276497505</v>
      </c>
      <c r="B13" s="6" t="s">
        <v>176</v>
      </c>
      <c r="C13" s="176" t="s">
        <v>173</v>
      </c>
      <c r="D13" s="176"/>
      <c r="E13" s="176">
        <v>45046.957199074073</v>
      </c>
      <c r="F13" s="176">
        <v>45098</v>
      </c>
      <c r="G13" s="176">
        <v>45103</v>
      </c>
      <c r="H13" s="176" t="s">
        <v>470</v>
      </c>
      <c r="I13" s="196">
        <v>942.65</v>
      </c>
      <c r="J13">
        <f t="shared" si="1"/>
        <v>5</v>
      </c>
      <c r="K13" s="6">
        <v>1</v>
      </c>
      <c r="L13" s="155">
        <f t="shared" si="2"/>
        <v>188.53</v>
      </c>
      <c r="M13">
        <f t="shared" si="3"/>
        <v>5</v>
      </c>
      <c r="N13" s="213">
        <f t="shared" si="4"/>
        <v>0</v>
      </c>
    </row>
    <row r="14" spans="1:14" x14ac:dyDescent="0.25">
      <c r="A14" s="32" t="s">
        <v>471</v>
      </c>
      <c r="B14" s="6" t="s">
        <v>176</v>
      </c>
      <c r="C14" s="176" t="s">
        <v>255</v>
      </c>
      <c r="D14" s="176" t="s">
        <v>196</v>
      </c>
      <c r="E14" s="176">
        <v>45086.755046296297</v>
      </c>
      <c r="F14" s="176">
        <v>45098</v>
      </c>
      <c r="G14" s="176">
        <v>45102</v>
      </c>
      <c r="H14" s="176" t="s">
        <v>472</v>
      </c>
      <c r="I14" s="196">
        <v>760</v>
      </c>
      <c r="J14">
        <f t="shared" si="1"/>
        <v>4</v>
      </c>
      <c r="K14" s="6">
        <v>1</v>
      </c>
      <c r="L14" s="155">
        <f t="shared" si="2"/>
        <v>190</v>
      </c>
      <c r="M14">
        <f t="shared" si="3"/>
        <v>4</v>
      </c>
      <c r="N14" s="213">
        <f t="shared" si="4"/>
        <v>0</v>
      </c>
    </row>
    <row r="15" spans="1:14" x14ac:dyDescent="0.25">
      <c r="A15" s="32">
        <v>3117102667</v>
      </c>
      <c r="B15" s="6" t="s">
        <v>176</v>
      </c>
      <c r="C15" s="176" t="s">
        <v>173</v>
      </c>
      <c r="D15" s="176"/>
      <c r="E15" s="176">
        <v>44917.518645833334</v>
      </c>
      <c r="F15" s="176">
        <v>45099</v>
      </c>
      <c r="G15" s="176">
        <v>45101</v>
      </c>
      <c r="H15" s="176" t="s">
        <v>473</v>
      </c>
      <c r="I15" s="196">
        <v>395.02</v>
      </c>
      <c r="J15">
        <f t="shared" si="1"/>
        <v>2</v>
      </c>
      <c r="K15" s="6">
        <v>1</v>
      </c>
      <c r="L15" s="155">
        <f t="shared" si="2"/>
        <v>197.51</v>
      </c>
      <c r="M15">
        <f t="shared" si="3"/>
        <v>2</v>
      </c>
      <c r="N15" s="213">
        <f t="shared" si="4"/>
        <v>0</v>
      </c>
    </row>
    <row r="16" spans="1:14" x14ac:dyDescent="0.25">
      <c r="A16" s="32">
        <v>2415249757</v>
      </c>
      <c r="B16" s="6" t="s">
        <v>176</v>
      </c>
      <c r="C16" s="176" t="s">
        <v>173</v>
      </c>
      <c r="D16" s="176"/>
      <c r="E16" s="176">
        <v>45096.750381944446</v>
      </c>
      <c r="F16" s="176">
        <v>45099</v>
      </c>
      <c r="G16" s="176">
        <v>45101</v>
      </c>
      <c r="H16" s="176" t="s">
        <v>474</v>
      </c>
      <c r="I16" s="196">
        <v>377.06</v>
      </c>
      <c r="J16">
        <f t="shared" si="1"/>
        <v>2</v>
      </c>
      <c r="K16" s="6">
        <v>1</v>
      </c>
      <c r="L16" s="155">
        <f t="shared" si="2"/>
        <v>188.53</v>
      </c>
      <c r="M16">
        <f t="shared" si="3"/>
        <v>2</v>
      </c>
      <c r="N16" s="213">
        <f t="shared" si="4"/>
        <v>0</v>
      </c>
    </row>
    <row r="17" spans="1:14" x14ac:dyDescent="0.25">
      <c r="A17" s="32">
        <v>1473724429</v>
      </c>
      <c r="B17" s="6" t="s">
        <v>176</v>
      </c>
      <c r="C17" s="176" t="s">
        <v>174</v>
      </c>
      <c r="D17" s="176" t="s">
        <v>475</v>
      </c>
      <c r="E17" s="176">
        <v>44998.320138888892</v>
      </c>
      <c r="F17" s="176">
        <v>45100</v>
      </c>
      <c r="G17" s="176">
        <v>45104</v>
      </c>
      <c r="H17" s="176" t="s">
        <v>476</v>
      </c>
      <c r="I17" s="196">
        <v>837.92</v>
      </c>
      <c r="J17">
        <f t="shared" si="1"/>
        <v>4</v>
      </c>
      <c r="K17" s="6">
        <v>1</v>
      </c>
      <c r="L17" s="155">
        <f t="shared" si="2"/>
        <v>209.48</v>
      </c>
      <c r="M17">
        <f t="shared" si="3"/>
        <v>4</v>
      </c>
      <c r="N17" s="213">
        <f t="shared" si="4"/>
        <v>0</v>
      </c>
    </row>
    <row r="18" spans="1:14" x14ac:dyDescent="0.25">
      <c r="A18" s="32">
        <v>1473724431</v>
      </c>
      <c r="B18" s="6" t="s">
        <v>176</v>
      </c>
      <c r="C18" s="176" t="s">
        <v>174</v>
      </c>
      <c r="D18" s="176" t="s">
        <v>475</v>
      </c>
      <c r="E18" s="176">
        <v>44998.320138888892</v>
      </c>
      <c r="F18" s="176">
        <v>45100</v>
      </c>
      <c r="G18" s="176">
        <v>45104</v>
      </c>
      <c r="H18" s="176" t="s">
        <v>477</v>
      </c>
      <c r="I18" s="196">
        <v>837.92</v>
      </c>
      <c r="J18">
        <f t="shared" si="1"/>
        <v>4</v>
      </c>
      <c r="K18" s="6">
        <v>1</v>
      </c>
      <c r="L18" s="155">
        <f t="shared" si="2"/>
        <v>209.48</v>
      </c>
      <c r="M18">
        <f t="shared" si="3"/>
        <v>4</v>
      </c>
      <c r="N18" s="213">
        <f t="shared" si="4"/>
        <v>0</v>
      </c>
    </row>
    <row r="19" spans="1:14" x14ac:dyDescent="0.25">
      <c r="A19" s="32" t="s">
        <v>478</v>
      </c>
      <c r="B19" s="6" t="s">
        <v>176</v>
      </c>
      <c r="C19" s="176" t="s">
        <v>255</v>
      </c>
      <c r="D19" s="176" t="s">
        <v>196</v>
      </c>
      <c r="E19" s="176">
        <v>45075.026585648149</v>
      </c>
      <c r="F19" s="176">
        <v>45100</v>
      </c>
      <c r="G19" s="176">
        <v>45103</v>
      </c>
      <c r="H19" s="176" t="s">
        <v>479</v>
      </c>
      <c r="I19" s="196">
        <v>570</v>
      </c>
      <c r="J19">
        <f t="shared" si="1"/>
        <v>3</v>
      </c>
      <c r="K19" s="6">
        <v>1</v>
      </c>
      <c r="L19" s="155">
        <f t="shared" si="2"/>
        <v>190</v>
      </c>
      <c r="M19">
        <f t="shared" si="3"/>
        <v>3</v>
      </c>
      <c r="N19" s="213">
        <f t="shared" si="4"/>
        <v>0</v>
      </c>
    </row>
    <row r="20" spans="1:14" x14ac:dyDescent="0.25">
      <c r="A20" s="32">
        <v>3991970263</v>
      </c>
      <c r="B20" s="6" t="s">
        <v>176</v>
      </c>
      <c r="C20" s="176" t="s">
        <v>173</v>
      </c>
      <c r="D20" s="176"/>
      <c r="E20" s="176">
        <v>45051.58730324074</v>
      </c>
      <c r="F20" s="176">
        <v>45101</v>
      </c>
      <c r="G20" s="176">
        <v>45107</v>
      </c>
      <c r="H20" s="176" t="s">
        <v>480</v>
      </c>
      <c r="I20" s="196">
        <v>1131.18</v>
      </c>
      <c r="J20">
        <f t="shared" si="1"/>
        <v>6</v>
      </c>
      <c r="K20" s="6">
        <v>1</v>
      </c>
      <c r="L20" s="155">
        <f t="shared" si="2"/>
        <v>188.53</v>
      </c>
      <c r="M20">
        <f t="shared" si="3"/>
        <v>6</v>
      </c>
      <c r="N20" s="213">
        <f t="shared" si="4"/>
        <v>0</v>
      </c>
    </row>
    <row r="21" spans="1:14" x14ac:dyDescent="0.25">
      <c r="A21" s="32" t="s">
        <v>481</v>
      </c>
      <c r="B21" s="6" t="s">
        <v>176</v>
      </c>
      <c r="C21" s="176" t="s">
        <v>255</v>
      </c>
      <c r="D21" s="176" t="s">
        <v>196</v>
      </c>
      <c r="E21" s="176">
        <v>45095.59983796296</v>
      </c>
      <c r="F21" s="176">
        <v>45101</v>
      </c>
      <c r="G21" s="176">
        <v>45103</v>
      </c>
      <c r="H21" s="176" t="s">
        <v>482</v>
      </c>
      <c r="I21" s="196">
        <v>380</v>
      </c>
      <c r="J21">
        <f t="shared" si="1"/>
        <v>2</v>
      </c>
      <c r="K21" s="6">
        <v>1</v>
      </c>
      <c r="L21" s="155">
        <f t="shared" si="2"/>
        <v>190</v>
      </c>
      <c r="M21">
        <f t="shared" si="3"/>
        <v>2</v>
      </c>
      <c r="N21" s="213">
        <f t="shared" si="4"/>
        <v>0</v>
      </c>
    </row>
    <row r="22" spans="1:14" x14ac:dyDescent="0.25">
      <c r="A22" s="32">
        <v>3533811001</v>
      </c>
      <c r="B22" s="6" t="s">
        <v>176</v>
      </c>
      <c r="C22" s="176" t="s">
        <v>173</v>
      </c>
      <c r="D22" s="176"/>
      <c r="E22" s="176">
        <v>45037.606585648151</v>
      </c>
      <c r="F22" s="176">
        <v>45102</v>
      </c>
      <c r="G22" s="176">
        <v>45103</v>
      </c>
      <c r="H22" s="176" t="s">
        <v>483</v>
      </c>
      <c r="I22" s="196">
        <v>188.53</v>
      </c>
      <c r="J22">
        <f t="shared" si="1"/>
        <v>1</v>
      </c>
      <c r="K22" s="6">
        <v>1</v>
      </c>
      <c r="L22" s="155">
        <f t="shared" si="2"/>
        <v>188.53</v>
      </c>
      <c r="M22">
        <f t="shared" si="3"/>
        <v>1</v>
      </c>
      <c r="N22" s="213">
        <f t="shared" si="4"/>
        <v>0</v>
      </c>
    </row>
    <row r="23" spans="1:14" x14ac:dyDescent="0.25">
      <c r="A23" s="32" t="s">
        <v>484</v>
      </c>
      <c r="B23" s="6" t="s">
        <v>176</v>
      </c>
      <c r="C23" s="176" t="s">
        <v>255</v>
      </c>
      <c r="D23" s="176" t="s">
        <v>196</v>
      </c>
      <c r="E23" s="176">
        <v>44948.668865740743</v>
      </c>
      <c r="F23" s="176">
        <v>45103</v>
      </c>
      <c r="G23" s="176">
        <v>45107</v>
      </c>
      <c r="H23" s="176" t="s">
        <v>485</v>
      </c>
      <c r="I23" s="196">
        <v>744</v>
      </c>
      <c r="J23">
        <f t="shared" si="1"/>
        <v>4</v>
      </c>
      <c r="K23" s="6">
        <v>1</v>
      </c>
      <c r="L23" s="155">
        <f t="shared" ref="L23:L27" si="5">+I23/(J23*K23)</f>
        <v>186</v>
      </c>
      <c r="M23">
        <f t="shared" ref="M23:M27" si="6">ROUND(I23/L23,0)</f>
        <v>4</v>
      </c>
      <c r="N23" s="213">
        <f t="shared" ref="N23:N27" si="7">+M23-(K23*J23)</f>
        <v>0</v>
      </c>
    </row>
    <row r="24" spans="1:14" x14ac:dyDescent="0.25">
      <c r="A24" s="32">
        <v>3916002</v>
      </c>
      <c r="B24" s="6" t="s">
        <v>176</v>
      </c>
      <c r="C24" s="176" t="s">
        <v>174</v>
      </c>
      <c r="D24" s="176" t="s">
        <v>475</v>
      </c>
      <c r="E24" s="176">
        <v>45050.895833333336</v>
      </c>
      <c r="F24" s="176">
        <v>45104</v>
      </c>
      <c r="G24" s="176">
        <v>45107</v>
      </c>
      <c r="H24" s="176" t="s">
        <v>486</v>
      </c>
      <c r="I24" s="196">
        <v>628.44000000000005</v>
      </c>
      <c r="J24">
        <f t="shared" si="1"/>
        <v>3</v>
      </c>
      <c r="K24" s="6">
        <v>1</v>
      </c>
      <c r="L24" s="155">
        <f t="shared" si="5"/>
        <v>209.48000000000002</v>
      </c>
      <c r="M24">
        <f t="shared" si="6"/>
        <v>3</v>
      </c>
      <c r="N24" s="213">
        <f t="shared" si="7"/>
        <v>0</v>
      </c>
    </row>
    <row r="25" spans="1:14" x14ac:dyDescent="0.25">
      <c r="A25" s="32">
        <v>3708407385</v>
      </c>
      <c r="B25" s="6" t="s">
        <v>176</v>
      </c>
      <c r="C25" s="176" t="s">
        <v>173</v>
      </c>
      <c r="D25" s="176"/>
      <c r="E25" s="176">
        <v>45086.910729166666</v>
      </c>
      <c r="F25" s="176">
        <v>45107</v>
      </c>
      <c r="G25" s="176">
        <v>45109</v>
      </c>
      <c r="H25" s="176" t="s">
        <v>487</v>
      </c>
      <c r="I25" s="196">
        <v>377.06</v>
      </c>
      <c r="J25">
        <f t="shared" si="1"/>
        <v>2</v>
      </c>
      <c r="K25" s="6">
        <v>1</v>
      </c>
      <c r="L25" s="155">
        <f t="shared" si="5"/>
        <v>188.53</v>
      </c>
      <c r="M25">
        <f t="shared" si="6"/>
        <v>2</v>
      </c>
      <c r="N25" s="213">
        <f t="shared" si="7"/>
        <v>0</v>
      </c>
    </row>
    <row r="26" spans="1:14" x14ac:dyDescent="0.25">
      <c r="A26" s="32">
        <v>2816618181</v>
      </c>
      <c r="B26" s="6" t="s">
        <v>176</v>
      </c>
      <c r="C26" s="176" t="s">
        <v>173</v>
      </c>
      <c r="D26" s="176"/>
      <c r="E26" s="176">
        <v>45088.933715277781</v>
      </c>
      <c r="F26" s="176">
        <v>45107</v>
      </c>
      <c r="G26" s="176">
        <v>45109</v>
      </c>
      <c r="H26" s="176" t="s">
        <v>488</v>
      </c>
      <c r="I26" s="196">
        <v>377.06</v>
      </c>
      <c r="J26">
        <f t="shared" si="1"/>
        <v>2</v>
      </c>
      <c r="K26" s="6">
        <v>1</v>
      </c>
      <c r="L26" s="155">
        <f t="shared" si="5"/>
        <v>188.53</v>
      </c>
      <c r="M26">
        <f t="shared" si="6"/>
        <v>2</v>
      </c>
      <c r="N26" s="213">
        <f t="shared" si="7"/>
        <v>0</v>
      </c>
    </row>
    <row r="27" spans="1:14" x14ac:dyDescent="0.25">
      <c r="A27" s="32" t="s">
        <v>489</v>
      </c>
      <c r="B27" s="6" t="s">
        <v>176</v>
      </c>
      <c r="C27" s="176" t="s">
        <v>255</v>
      </c>
      <c r="D27" s="176" t="s">
        <v>196</v>
      </c>
      <c r="E27" s="176">
        <v>45106.893506944441</v>
      </c>
      <c r="F27" s="176">
        <v>45107</v>
      </c>
      <c r="G27" s="176">
        <v>45108</v>
      </c>
      <c r="H27" s="176" t="s">
        <v>486</v>
      </c>
      <c r="I27" s="196">
        <v>190</v>
      </c>
      <c r="J27">
        <f t="shared" si="1"/>
        <v>1</v>
      </c>
      <c r="K27" s="6">
        <v>1</v>
      </c>
      <c r="L27" s="155">
        <f t="shared" si="5"/>
        <v>190</v>
      </c>
      <c r="M27">
        <f t="shared" si="6"/>
        <v>1</v>
      </c>
      <c r="N27" s="213">
        <f t="shared" si="7"/>
        <v>0</v>
      </c>
    </row>
    <row r="28" spans="1:14" x14ac:dyDescent="0.25">
      <c r="A28" s="32"/>
      <c r="B28" s="6"/>
      <c r="C28" s="176"/>
      <c r="D28" s="176"/>
      <c r="E28" s="176"/>
      <c r="F28" s="176"/>
      <c r="G28" s="176"/>
      <c r="H28" s="176"/>
      <c r="I28" s="196"/>
      <c r="K28" s="6"/>
      <c r="L28" s="155"/>
      <c r="N28" s="213"/>
    </row>
    <row r="29" spans="1:14" x14ac:dyDescent="0.25">
      <c r="A29" s="32"/>
      <c r="B29" s="6"/>
      <c r="C29" s="176"/>
      <c r="D29" s="176"/>
      <c r="E29" s="176"/>
      <c r="F29" s="176"/>
      <c r="G29" s="176"/>
      <c r="H29" s="176"/>
      <c r="I29" s="196"/>
      <c r="K29" s="6"/>
      <c r="L29" s="155"/>
      <c r="N29" s="213"/>
    </row>
    <row r="30" spans="1:14" x14ac:dyDescent="0.25">
      <c r="A30" s="32"/>
      <c r="B30" s="6"/>
      <c r="C30" s="176"/>
      <c r="D30" s="176"/>
      <c r="E30" s="176"/>
      <c r="F30" s="176"/>
      <c r="G30" s="176"/>
      <c r="H30" s="176"/>
      <c r="I30" s="196"/>
      <c r="K30" s="6"/>
      <c r="L30" s="155"/>
      <c r="N30" s="213"/>
    </row>
    <row r="31" spans="1:14" x14ac:dyDescent="0.25">
      <c r="A31" s="32"/>
      <c r="B31" s="6"/>
      <c r="C31" s="176"/>
      <c r="D31" s="176"/>
      <c r="E31" s="176"/>
      <c r="F31" s="176"/>
      <c r="G31" s="176"/>
      <c r="H31" s="176"/>
      <c r="I31" s="196"/>
      <c r="K31" s="6"/>
      <c r="L31" s="155"/>
      <c r="N31" s="213"/>
    </row>
    <row r="32" spans="1:14" x14ac:dyDescent="0.25">
      <c r="A32" s="32"/>
      <c r="B32" s="6"/>
      <c r="C32" s="176"/>
      <c r="D32" s="176"/>
      <c r="E32" s="176"/>
      <c r="F32" s="176"/>
      <c r="G32" s="176"/>
      <c r="H32" s="176"/>
      <c r="I32" s="196"/>
      <c r="K32" s="6"/>
      <c r="L32" s="155"/>
      <c r="N32" s="213"/>
    </row>
    <row r="33" spans="1:14" x14ac:dyDescent="0.25">
      <c r="A33" s="32"/>
      <c r="B33" s="6"/>
      <c r="C33" s="176"/>
      <c r="D33" s="176"/>
      <c r="E33" s="176"/>
      <c r="F33" s="176"/>
      <c r="G33" s="176"/>
      <c r="H33" s="176"/>
      <c r="I33" s="196"/>
      <c r="K33" s="6"/>
      <c r="L33" s="155"/>
      <c r="N33" s="213"/>
    </row>
    <row r="34" spans="1:14" x14ac:dyDescent="0.25">
      <c r="A34" s="32"/>
      <c r="B34" s="6"/>
      <c r="C34" s="176"/>
      <c r="D34" s="176"/>
      <c r="E34" s="176"/>
      <c r="F34" s="176"/>
      <c r="G34" s="176"/>
      <c r="H34" s="176"/>
      <c r="I34" s="196"/>
      <c r="K34" s="6"/>
      <c r="L34" s="155"/>
      <c r="N34" s="213"/>
    </row>
    <row r="35" spans="1:14" x14ac:dyDescent="0.25">
      <c r="A35" s="32"/>
      <c r="B35" s="6"/>
      <c r="C35" s="176"/>
      <c r="D35" s="176"/>
      <c r="E35" s="176"/>
      <c r="F35" s="176"/>
      <c r="G35" s="176"/>
      <c r="H35" s="176"/>
      <c r="I35" s="196"/>
      <c r="K35" s="6"/>
      <c r="L35" s="155"/>
      <c r="N35" s="213"/>
    </row>
    <row r="36" spans="1:14" x14ac:dyDescent="0.25">
      <c r="A36" s="32"/>
      <c r="B36" s="6"/>
      <c r="C36" s="176"/>
      <c r="D36" s="176"/>
      <c r="E36" s="176"/>
      <c r="F36" s="176"/>
      <c r="G36" s="176"/>
      <c r="H36" s="176"/>
      <c r="I36" s="196"/>
      <c r="K36" s="6"/>
      <c r="L36" s="155"/>
      <c r="N36" s="213"/>
    </row>
    <row r="37" spans="1:14" x14ac:dyDescent="0.25">
      <c r="A37" s="32"/>
      <c r="B37" s="6"/>
      <c r="C37" s="176"/>
      <c r="D37" s="176"/>
      <c r="E37" s="176"/>
      <c r="F37" s="176"/>
      <c r="G37" s="176"/>
      <c r="H37" s="176"/>
      <c r="I37" s="196"/>
      <c r="K37" s="6"/>
      <c r="L37" s="155"/>
      <c r="N37" s="213"/>
    </row>
    <row r="38" spans="1:14" x14ac:dyDescent="0.25">
      <c r="A38" s="32"/>
      <c r="B38" s="6"/>
      <c r="C38" s="176"/>
      <c r="D38" s="176"/>
      <c r="E38" s="176"/>
      <c r="F38" s="176"/>
      <c r="G38" s="176"/>
      <c r="H38" s="176"/>
      <c r="I38" s="196"/>
      <c r="K38" s="6"/>
      <c r="L38" s="155"/>
      <c r="N38" s="213"/>
    </row>
    <row r="39" spans="1:14" x14ac:dyDescent="0.25">
      <c r="A39" s="32"/>
      <c r="B39" s="6"/>
      <c r="C39" s="176"/>
      <c r="D39" s="176"/>
      <c r="E39" s="176"/>
      <c r="F39" s="176"/>
      <c r="G39" s="176"/>
      <c r="H39" s="176"/>
      <c r="I39" s="196"/>
      <c r="K39" s="6"/>
      <c r="L39" s="155"/>
      <c r="N39" s="213"/>
    </row>
    <row r="40" spans="1:14" x14ac:dyDescent="0.25">
      <c r="A40" s="32"/>
      <c r="B40" s="6"/>
      <c r="C40" s="176"/>
      <c r="D40" s="176"/>
      <c r="E40" s="176"/>
      <c r="F40" s="176"/>
      <c r="G40" s="176"/>
      <c r="H40" s="176"/>
      <c r="I40" s="196"/>
      <c r="K40" s="6"/>
      <c r="L40" s="155"/>
      <c r="N40" s="213"/>
    </row>
    <row r="41" spans="1:14" x14ac:dyDescent="0.25">
      <c r="A41" s="32"/>
      <c r="B41" s="6"/>
      <c r="C41" s="176"/>
      <c r="D41" s="176"/>
      <c r="E41" s="176"/>
      <c r="F41" s="176"/>
      <c r="G41" s="176"/>
      <c r="H41" s="176"/>
      <c r="I41" s="196"/>
      <c r="K41" s="6"/>
      <c r="L41" s="155"/>
      <c r="N41" s="213"/>
    </row>
    <row r="42" spans="1:14" x14ac:dyDescent="0.25">
      <c r="A42" s="32"/>
      <c r="B42" s="6"/>
      <c r="C42" s="176"/>
      <c r="D42" s="176"/>
      <c r="E42" s="176"/>
      <c r="F42" s="176"/>
      <c r="G42" s="176"/>
      <c r="H42" s="176"/>
      <c r="I42" s="196"/>
      <c r="K42" s="6"/>
      <c r="L42" s="155"/>
      <c r="N42" s="213"/>
    </row>
    <row r="43" spans="1:14" x14ac:dyDescent="0.25">
      <c r="A43" s="32"/>
      <c r="B43" s="6"/>
      <c r="C43" s="176"/>
      <c r="D43" s="176"/>
      <c r="E43" s="176"/>
      <c r="F43" s="176"/>
      <c r="G43" s="176"/>
      <c r="H43" s="176"/>
      <c r="I43" s="196"/>
      <c r="K43" s="6"/>
      <c r="L43" s="155"/>
      <c r="N43" s="213"/>
    </row>
    <row r="44" spans="1:14" x14ac:dyDescent="0.25">
      <c r="A44" s="32"/>
      <c r="B44" s="6"/>
      <c r="C44" s="176"/>
      <c r="D44" s="176"/>
      <c r="E44" s="176"/>
      <c r="F44" s="176"/>
      <c r="G44" s="176"/>
      <c r="H44" s="176"/>
      <c r="I44" s="196"/>
      <c r="K44" s="6"/>
      <c r="L44" s="155"/>
      <c r="N44" s="213"/>
    </row>
    <row r="45" spans="1:14" x14ac:dyDescent="0.25">
      <c r="A45" s="32"/>
      <c r="B45" s="6"/>
      <c r="C45" s="176"/>
      <c r="D45" s="176"/>
      <c r="E45" s="176"/>
      <c r="F45" s="176"/>
      <c r="G45" s="176"/>
      <c r="H45" s="176"/>
      <c r="I45" s="196"/>
      <c r="K45" s="6"/>
      <c r="L45" s="155"/>
      <c r="N45" s="213"/>
    </row>
    <row r="46" spans="1:14" x14ac:dyDescent="0.25">
      <c r="A46" s="32"/>
      <c r="B46" s="6"/>
      <c r="C46" s="176"/>
      <c r="D46" s="176"/>
      <c r="E46" s="176"/>
      <c r="F46" s="176"/>
      <c r="G46" s="176"/>
      <c r="H46" s="176"/>
      <c r="I46" s="196"/>
      <c r="K46" s="6"/>
      <c r="L46" s="155"/>
      <c r="N46" s="213"/>
    </row>
    <row r="47" spans="1:14" x14ac:dyDescent="0.25">
      <c r="A47" s="32"/>
      <c r="B47" s="6"/>
      <c r="C47" s="176"/>
      <c r="D47" s="176"/>
      <c r="E47" s="176"/>
      <c r="F47" s="176"/>
      <c r="G47" s="176"/>
      <c r="H47" s="176"/>
      <c r="I47" s="196"/>
      <c r="K47" s="6"/>
      <c r="L47" s="155"/>
      <c r="N47" s="213"/>
    </row>
    <row r="48" spans="1:14" x14ac:dyDescent="0.25">
      <c r="A48" s="32"/>
      <c r="B48" s="6"/>
      <c r="C48" s="176"/>
      <c r="D48" s="176"/>
      <c r="E48" s="176"/>
      <c r="F48" s="176"/>
      <c r="G48" s="176"/>
      <c r="H48" s="176"/>
      <c r="I48" s="196"/>
      <c r="K48" s="6"/>
      <c r="L48" s="155"/>
      <c r="N48" s="213"/>
    </row>
    <row r="49" spans="1:14" x14ac:dyDescent="0.25">
      <c r="A49" s="32"/>
      <c r="B49" s="6"/>
      <c r="C49" s="176"/>
      <c r="D49" s="176"/>
      <c r="E49" s="176"/>
      <c r="F49" s="176"/>
      <c r="G49" s="176"/>
      <c r="H49" s="176"/>
      <c r="I49" s="196"/>
      <c r="K49" s="6"/>
      <c r="L49" s="155"/>
      <c r="N49" s="213"/>
    </row>
    <row r="50" spans="1:14" x14ac:dyDescent="0.25">
      <c r="A50" s="32"/>
      <c r="B50" s="6"/>
      <c r="C50" s="176"/>
      <c r="D50" s="176"/>
      <c r="E50" s="176"/>
      <c r="F50" s="176"/>
      <c r="G50" s="176"/>
      <c r="H50" s="176"/>
      <c r="I50" s="196"/>
      <c r="K50" s="6"/>
      <c r="L50" s="155"/>
      <c r="N50" s="213"/>
    </row>
    <row r="51" spans="1:14" x14ac:dyDescent="0.25">
      <c r="A51" s="32"/>
      <c r="B51" s="6"/>
      <c r="C51" s="176"/>
      <c r="D51" s="176"/>
      <c r="E51" s="176"/>
      <c r="F51" s="176"/>
      <c r="G51" s="176"/>
      <c r="H51" s="176"/>
      <c r="I51" s="196"/>
      <c r="K51" s="6"/>
      <c r="L51" s="155"/>
      <c r="N51" s="213"/>
    </row>
    <row r="52" spans="1:14" x14ac:dyDescent="0.25">
      <c r="A52" s="32"/>
      <c r="B52" s="6"/>
      <c r="C52" s="176"/>
      <c r="D52" s="176"/>
      <c r="E52" s="176"/>
      <c r="F52" s="176"/>
      <c r="G52" s="176"/>
      <c r="H52" s="176"/>
      <c r="I52" s="196"/>
      <c r="K52" s="6"/>
      <c r="L52" s="155"/>
      <c r="N52" s="213"/>
    </row>
    <row r="53" spans="1:14" x14ac:dyDescent="0.25">
      <c r="A53" s="32"/>
      <c r="B53" s="6"/>
      <c r="C53" s="176"/>
      <c r="D53" s="176"/>
      <c r="E53" s="176"/>
      <c r="F53" s="176"/>
      <c r="G53" s="176"/>
      <c r="H53" s="176"/>
      <c r="I53" s="196"/>
      <c r="K53" s="6"/>
      <c r="L53" s="155"/>
      <c r="N53" s="213"/>
    </row>
    <row r="54" spans="1:14" x14ac:dyDescent="0.25">
      <c r="A54" s="32"/>
      <c r="B54" s="6"/>
      <c r="C54" s="176"/>
      <c r="D54" s="176"/>
      <c r="E54" s="176"/>
      <c r="F54" s="176"/>
      <c r="G54" s="176"/>
      <c r="H54" s="176"/>
      <c r="I54" s="196"/>
      <c r="K54" s="6"/>
      <c r="L54" s="155"/>
      <c r="N54" s="213"/>
    </row>
    <row r="55" spans="1:14" x14ac:dyDescent="0.25">
      <c r="A55" s="32"/>
      <c r="B55" s="6"/>
      <c r="C55" s="176"/>
      <c r="D55" s="176"/>
      <c r="E55" s="176"/>
      <c r="F55" s="176"/>
      <c r="G55" s="176"/>
      <c r="H55" s="176"/>
      <c r="I55" s="196"/>
      <c r="K55" s="6"/>
      <c r="L55" s="155"/>
      <c r="N55" s="213"/>
    </row>
    <row r="56" spans="1:14" x14ac:dyDescent="0.25">
      <c r="A56" s="32"/>
      <c r="B56" s="6"/>
      <c r="C56" s="176"/>
      <c r="D56" s="176"/>
      <c r="E56" s="176"/>
      <c r="F56" s="176"/>
      <c r="G56" s="176"/>
      <c r="H56" s="176"/>
      <c r="I56" s="196"/>
      <c r="K56" s="6"/>
      <c r="L56" s="155"/>
      <c r="N56" s="213"/>
    </row>
    <row r="57" spans="1:14" x14ac:dyDescent="0.25">
      <c r="A57" s="32"/>
      <c r="B57" s="6"/>
      <c r="C57" s="176"/>
      <c r="D57" s="176"/>
      <c r="E57" s="176"/>
      <c r="F57" s="176"/>
      <c r="G57" s="176"/>
      <c r="H57" s="176"/>
      <c r="I57" s="196"/>
      <c r="K57" s="6"/>
      <c r="L57" s="155"/>
      <c r="N57" s="213"/>
    </row>
    <row r="58" spans="1:14" x14ac:dyDescent="0.25">
      <c r="A58" s="32"/>
      <c r="B58" s="6"/>
      <c r="C58" s="176"/>
      <c r="D58" s="176"/>
      <c r="E58" s="176"/>
      <c r="F58" s="176"/>
      <c r="G58" s="176"/>
      <c r="H58" s="176"/>
      <c r="I58" s="196"/>
      <c r="K58" s="6"/>
      <c r="L58" s="155"/>
      <c r="N58" s="213"/>
    </row>
    <row r="59" spans="1:14" x14ac:dyDescent="0.25">
      <c r="A59" s="32"/>
      <c r="B59" s="6"/>
      <c r="C59" s="176"/>
      <c r="D59" s="176"/>
      <c r="E59" s="176"/>
      <c r="F59" s="176"/>
      <c r="G59" s="176"/>
      <c r="H59" s="176"/>
      <c r="I59" s="196"/>
      <c r="K59" s="6"/>
      <c r="L59" s="155"/>
      <c r="N59" s="213"/>
    </row>
    <row r="60" spans="1:14" x14ac:dyDescent="0.25">
      <c r="A60" s="32"/>
      <c r="B60" s="6"/>
      <c r="C60" s="176"/>
      <c r="D60" s="176"/>
      <c r="E60" s="176"/>
      <c r="F60" s="176"/>
      <c r="G60" s="176"/>
      <c r="H60" s="176"/>
      <c r="I60" s="196"/>
      <c r="K60" s="6"/>
      <c r="L60" s="155"/>
      <c r="N60" s="213"/>
    </row>
    <row r="61" spans="1:14" x14ac:dyDescent="0.25">
      <c r="A61" s="32"/>
      <c r="B61" s="6"/>
      <c r="C61" s="176"/>
      <c r="D61" s="176"/>
      <c r="E61" s="176"/>
      <c r="F61" s="176"/>
      <c r="G61" s="176"/>
      <c r="H61" s="176"/>
      <c r="I61" s="196"/>
      <c r="K61" s="6"/>
      <c r="L61" s="155"/>
      <c r="N61" s="213"/>
    </row>
    <row r="62" spans="1:14" x14ac:dyDescent="0.25">
      <c r="A62" s="32"/>
      <c r="B62" s="6"/>
      <c r="C62" s="176"/>
      <c r="D62" s="176"/>
      <c r="E62" s="176"/>
      <c r="F62" s="176"/>
      <c r="G62" s="176"/>
      <c r="H62" s="176"/>
      <c r="I62" s="196"/>
      <c r="K62" s="6"/>
      <c r="L62" s="155"/>
      <c r="N62" s="213"/>
    </row>
    <row r="63" spans="1:14" x14ac:dyDescent="0.25">
      <c r="A63" s="32"/>
      <c r="B63" s="6"/>
      <c r="C63" s="176"/>
      <c r="D63" s="176"/>
      <c r="E63" s="176"/>
      <c r="F63" s="176"/>
      <c r="G63" s="176"/>
      <c r="H63" s="176"/>
      <c r="I63" s="196"/>
      <c r="K63" s="6"/>
      <c r="L63" s="155"/>
      <c r="N63" s="213"/>
    </row>
    <row r="64" spans="1:14" x14ac:dyDescent="0.25">
      <c r="A64" s="32"/>
      <c r="B64" s="6"/>
      <c r="C64" s="176"/>
      <c r="D64" s="176"/>
      <c r="E64" s="176"/>
      <c r="F64" s="176"/>
      <c r="G64" s="176"/>
      <c r="H64" s="176"/>
      <c r="I64" s="196"/>
      <c r="K64" s="6"/>
      <c r="L64" s="155"/>
      <c r="N64" s="213"/>
    </row>
    <row r="65" spans="1:14" x14ac:dyDescent="0.25">
      <c r="A65" s="32"/>
      <c r="B65" s="6"/>
      <c r="C65" s="176"/>
      <c r="D65" s="176"/>
      <c r="E65" s="176"/>
      <c r="F65" s="176"/>
      <c r="G65" s="176"/>
      <c r="H65" s="176"/>
      <c r="I65" s="196"/>
      <c r="K65" s="6"/>
      <c r="L65" s="155"/>
      <c r="N65" s="213"/>
    </row>
    <row r="66" spans="1:14" x14ac:dyDescent="0.25">
      <c r="A66" s="32"/>
      <c r="B66" s="6"/>
      <c r="C66" s="176"/>
      <c r="D66" s="176"/>
      <c r="E66" s="176"/>
      <c r="F66" s="176"/>
      <c r="G66" s="176"/>
      <c r="H66" s="176"/>
      <c r="I66" s="196"/>
      <c r="K66" s="6"/>
      <c r="L66" s="155"/>
      <c r="N66" s="213"/>
    </row>
    <row r="67" spans="1:14" x14ac:dyDescent="0.25">
      <c r="A67" s="32"/>
      <c r="B67" s="6"/>
      <c r="C67" s="176"/>
      <c r="D67" s="176"/>
      <c r="E67" s="176"/>
      <c r="F67" s="176"/>
      <c r="G67" s="176"/>
      <c r="H67" s="176"/>
      <c r="I67" s="196"/>
      <c r="K67" s="6"/>
      <c r="L67" s="155"/>
      <c r="N67" s="213"/>
    </row>
    <row r="68" spans="1:14" x14ac:dyDescent="0.25">
      <c r="A68" s="32"/>
      <c r="B68" s="6"/>
      <c r="C68" s="176"/>
      <c r="D68" s="176"/>
      <c r="E68" s="176"/>
      <c r="F68" s="176"/>
      <c r="G68" s="176"/>
      <c r="H68" s="176"/>
      <c r="I68" s="196"/>
      <c r="K68" s="6"/>
      <c r="L68" s="155"/>
      <c r="N68" s="213"/>
    </row>
    <row r="69" spans="1:14" x14ac:dyDescent="0.25">
      <c r="A69" s="32"/>
      <c r="B69" s="6"/>
      <c r="C69" s="176"/>
      <c r="D69" s="176"/>
      <c r="E69" s="176"/>
      <c r="F69" s="176"/>
      <c r="G69" s="176"/>
      <c r="H69" s="176"/>
      <c r="I69" s="196"/>
      <c r="K69" s="6"/>
      <c r="L69" s="155"/>
      <c r="N69" s="213"/>
    </row>
    <row r="70" spans="1:14" x14ac:dyDescent="0.25">
      <c r="A70" s="32"/>
      <c r="B70" s="6"/>
      <c r="C70" s="176"/>
      <c r="D70" s="176"/>
      <c r="E70" s="176"/>
      <c r="F70" s="176"/>
      <c r="G70" s="176"/>
      <c r="H70" s="176"/>
      <c r="I70" s="196"/>
      <c r="K70" s="6"/>
      <c r="L70" s="155"/>
      <c r="N70" s="213"/>
    </row>
    <row r="71" spans="1:14" x14ac:dyDescent="0.25">
      <c r="A71" s="32"/>
      <c r="B71" s="6"/>
      <c r="C71" s="176"/>
      <c r="D71" s="176"/>
      <c r="E71" s="176"/>
      <c r="F71" s="176"/>
      <c r="G71" s="176"/>
      <c r="H71" s="176"/>
      <c r="I71" s="196"/>
      <c r="K71" s="6"/>
      <c r="L71" s="155"/>
      <c r="N71" s="213"/>
    </row>
    <row r="72" spans="1:14" x14ac:dyDescent="0.25">
      <c r="A72" s="32"/>
      <c r="B72" s="6"/>
      <c r="C72" s="176"/>
      <c r="D72" s="176"/>
      <c r="E72" s="176"/>
      <c r="F72" s="176"/>
      <c r="G72" s="176"/>
      <c r="H72" s="176"/>
      <c r="I72" s="196"/>
      <c r="K72" s="6"/>
      <c r="L72" s="155"/>
      <c r="N72" s="213"/>
    </row>
    <row r="73" spans="1:14" x14ac:dyDescent="0.25">
      <c r="A73" s="32"/>
      <c r="B73" s="6"/>
      <c r="C73" s="176"/>
      <c r="D73" s="176"/>
      <c r="E73" s="176"/>
      <c r="F73" s="176"/>
      <c r="G73" s="176"/>
      <c r="H73" s="176"/>
      <c r="I73" s="196"/>
      <c r="K73" s="6"/>
      <c r="L73" s="155"/>
      <c r="N73" s="213"/>
    </row>
    <row r="74" spans="1:14" x14ac:dyDescent="0.25">
      <c r="A74" s="32"/>
      <c r="B74" s="6"/>
      <c r="C74" s="176"/>
      <c r="D74" s="176"/>
      <c r="E74" s="176"/>
      <c r="F74" s="176"/>
      <c r="G74" s="176"/>
      <c r="H74" s="176"/>
      <c r="I74" s="196"/>
      <c r="K74" s="6"/>
      <c r="L74" s="155"/>
      <c r="N74" s="213"/>
    </row>
    <row r="75" spans="1:14" x14ac:dyDescent="0.25">
      <c r="A75" s="32"/>
      <c r="B75" s="6"/>
      <c r="C75" s="176"/>
      <c r="D75" s="176"/>
      <c r="E75" s="176"/>
      <c r="F75" s="176"/>
      <c r="G75" s="176"/>
      <c r="H75" s="176"/>
      <c r="I75" s="196"/>
      <c r="K75" s="6"/>
      <c r="L75" s="155"/>
      <c r="N75" s="213"/>
    </row>
    <row r="76" spans="1:14" x14ac:dyDescent="0.25">
      <c r="A76" s="32"/>
      <c r="B76" s="6"/>
      <c r="C76" s="176"/>
      <c r="D76" s="176"/>
      <c r="E76" s="176"/>
      <c r="F76" s="176"/>
      <c r="G76" s="176"/>
      <c r="H76" s="176"/>
      <c r="I76" s="196"/>
      <c r="K76" s="6"/>
      <c r="L76" s="155"/>
      <c r="N76" s="213"/>
    </row>
    <row r="77" spans="1:14" x14ac:dyDescent="0.25">
      <c r="A77" s="32"/>
      <c r="B77" s="6"/>
      <c r="C77" s="176"/>
      <c r="D77" s="176"/>
      <c r="E77" s="176"/>
      <c r="F77" s="176"/>
      <c r="G77" s="176"/>
      <c r="H77" s="176"/>
      <c r="I77" s="196"/>
      <c r="K77" s="6"/>
      <c r="L77" s="155"/>
      <c r="N77" s="213"/>
    </row>
    <row r="78" spans="1:14" x14ac:dyDescent="0.25">
      <c r="A78" s="32"/>
      <c r="B78" s="6"/>
      <c r="C78" s="176"/>
      <c r="D78" s="176"/>
      <c r="E78" s="176"/>
      <c r="F78" s="176"/>
      <c r="G78" s="176"/>
      <c r="H78" s="176"/>
      <c r="I78" s="196"/>
      <c r="K78" s="6"/>
      <c r="L78" s="155"/>
      <c r="N78" s="213"/>
    </row>
    <row r="79" spans="1:14" x14ac:dyDescent="0.25">
      <c r="A79" s="32"/>
      <c r="B79" s="6"/>
      <c r="C79" s="176"/>
      <c r="D79" s="176"/>
      <c r="E79" s="176"/>
      <c r="F79" s="176"/>
      <c r="G79" s="176"/>
      <c r="H79" s="176"/>
      <c r="I79" s="196"/>
      <c r="K79" s="6"/>
      <c r="L79" s="155"/>
      <c r="N79" s="213"/>
    </row>
    <row r="80" spans="1:14" x14ac:dyDescent="0.25">
      <c r="A80" s="32"/>
      <c r="B80" s="6"/>
      <c r="C80" s="176"/>
      <c r="D80" s="176"/>
      <c r="E80" s="176"/>
      <c r="F80" s="176"/>
      <c r="G80" s="176"/>
      <c r="H80" s="176"/>
      <c r="I80" s="196"/>
      <c r="K80" s="6"/>
      <c r="L80" s="155"/>
      <c r="N80" s="213"/>
    </row>
    <row r="81" spans="1:14" x14ac:dyDescent="0.25">
      <c r="A81" s="32"/>
      <c r="B81" s="6"/>
      <c r="C81" s="176"/>
      <c r="D81" s="176"/>
      <c r="E81" s="176"/>
      <c r="F81" s="176"/>
      <c r="G81" s="176"/>
      <c r="H81" s="176"/>
      <c r="I81" s="196"/>
      <c r="K81" s="6"/>
      <c r="L81" s="155"/>
      <c r="N81" s="213"/>
    </row>
    <row r="82" spans="1:14" x14ac:dyDescent="0.25">
      <c r="A82" s="32"/>
      <c r="B82" s="6"/>
      <c r="C82" s="176"/>
      <c r="D82" s="176"/>
      <c r="E82" s="176"/>
      <c r="F82" s="176"/>
      <c r="G82" s="176"/>
      <c r="H82" s="176"/>
      <c r="I82" s="196"/>
      <c r="K82" s="6"/>
      <c r="L82" s="155"/>
      <c r="N82" s="213"/>
    </row>
    <row r="83" spans="1:14" x14ac:dyDescent="0.25">
      <c r="A83" s="32"/>
      <c r="B83" s="6"/>
      <c r="C83" s="176"/>
      <c r="D83" s="176"/>
      <c r="E83" s="176"/>
      <c r="F83" s="176"/>
      <c r="G83" s="176"/>
      <c r="H83" s="176"/>
      <c r="I83" s="196"/>
      <c r="K83" s="6"/>
      <c r="L83" s="155"/>
      <c r="N83" s="213"/>
    </row>
    <row r="84" spans="1:14" x14ac:dyDescent="0.25">
      <c r="A84" s="32"/>
      <c r="B84" s="6"/>
      <c r="C84" s="176"/>
      <c r="D84" s="176"/>
      <c r="E84" s="176"/>
      <c r="F84" s="176"/>
      <c r="G84" s="176"/>
      <c r="H84" s="176"/>
      <c r="I84" s="196"/>
      <c r="K84" s="6"/>
      <c r="L84" s="155"/>
      <c r="N84" s="213"/>
    </row>
    <row r="85" spans="1:14" x14ac:dyDescent="0.25">
      <c r="A85" s="32"/>
      <c r="B85" s="6"/>
      <c r="C85" s="176"/>
      <c r="D85" s="176"/>
      <c r="E85" s="176"/>
      <c r="F85" s="176"/>
      <c r="G85" s="176"/>
      <c r="H85" s="176"/>
      <c r="I85" s="196"/>
      <c r="K85" s="6"/>
      <c r="L85" s="155"/>
      <c r="N85" s="213"/>
    </row>
    <row r="86" spans="1:14" x14ac:dyDescent="0.25">
      <c r="A86" s="32"/>
      <c r="B86" s="6"/>
      <c r="C86" s="176"/>
      <c r="D86" s="176"/>
      <c r="E86" s="176"/>
      <c r="F86" s="176"/>
      <c r="G86" s="176"/>
      <c r="H86" s="176"/>
      <c r="I86" s="196"/>
      <c r="K86" s="6"/>
      <c r="L86" s="155"/>
      <c r="N86" s="213"/>
    </row>
    <row r="87" spans="1:14" x14ac:dyDescent="0.25">
      <c r="A87" s="32"/>
      <c r="B87" s="6"/>
      <c r="C87" s="176"/>
      <c r="D87" s="176"/>
      <c r="E87" s="176"/>
      <c r="F87" s="176"/>
      <c r="G87" s="176"/>
      <c r="H87" s="176"/>
      <c r="I87" s="196"/>
      <c r="K87" s="6"/>
      <c r="L87" s="155"/>
      <c r="N87" s="213"/>
    </row>
    <row r="88" spans="1:14" x14ac:dyDescent="0.25">
      <c r="A88" s="32"/>
      <c r="B88" s="6"/>
      <c r="C88" s="176"/>
      <c r="D88" s="176"/>
      <c r="E88" s="176"/>
      <c r="F88" s="176"/>
      <c r="G88" s="176"/>
      <c r="H88" s="176"/>
      <c r="I88" s="196"/>
      <c r="K88" s="6"/>
      <c r="L88" s="155"/>
      <c r="N88" s="213"/>
    </row>
    <row r="89" spans="1:14" x14ac:dyDescent="0.25">
      <c r="A89" s="32"/>
      <c r="B89" s="6"/>
      <c r="C89" s="176"/>
      <c r="D89" s="176"/>
      <c r="E89" s="176"/>
      <c r="F89" s="176"/>
      <c r="G89" s="176"/>
      <c r="H89" s="176"/>
      <c r="I89" s="196"/>
      <c r="K89" s="6"/>
      <c r="L89" s="155"/>
      <c r="N89" s="213"/>
    </row>
    <row r="90" spans="1:14" x14ac:dyDescent="0.25">
      <c r="A90" s="32"/>
      <c r="B90" s="6"/>
      <c r="C90" s="176"/>
      <c r="D90" s="176"/>
      <c r="E90" s="176"/>
      <c r="F90" s="176"/>
      <c r="G90" s="176"/>
      <c r="H90" s="176"/>
      <c r="I90" s="196"/>
      <c r="K90" s="6"/>
      <c r="L90" s="155"/>
      <c r="N90" s="213"/>
    </row>
    <row r="91" spans="1:14" x14ac:dyDescent="0.25">
      <c r="A91" s="32"/>
      <c r="B91" s="6"/>
      <c r="C91" s="176"/>
      <c r="D91" s="176"/>
      <c r="E91" s="176"/>
      <c r="F91" s="176"/>
      <c r="G91" s="176"/>
      <c r="H91" s="176"/>
      <c r="I91" s="196"/>
      <c r="K91" s="6"/>
      <c r="L91" s="155"/>
      <c r="N91" s="213"/>
    </row>
    <row r="92" spans="1:14" x14ac:dyDescent="0.25">
      <c r="A92" s="32"/>
      <c r="B92" s="6"/>
      <c r="C92" s="176"/>
      <c r="D92" s="176"/>
      <c r="E92" s="176"/>
      <c r="F92" s="176"/>
      <c r="G92" s="176"/>
      <c r="H92" s="176"/>
      <c r="I92" s="196"/>
      <c r="K92" s="6"/>
      <c r="L92" s="155"/>
      <c r="N92" s="213"/>
    </row>
    <row r="93" spans="1:14" x14ac:dyDescent="0.25">
      <c r="A93" s="32"/>
      <c r="B93" s="6"/>
      <c r="C93" s="176"/>
      <c r="D93" s="176"/>
      <c r="E93" s="176"/>
      <c r="F93" s="176"/>
      <c r="G93" s="176"/>
      <c r="H93" s="176"/>
      <c r="I93" s="196"/>
      <c r="K93" s="6"/>
      <c r="L93" s="155"/>
      <c r="N93" s="213"/>
    </row>
    <row r="94" spans="1:14" x14ac:dyDescent="0.25">
      <c r="A94" s="32"/>
      <c r="B94" s="6"/>
      <c r="C94" s="176"/>
      <c r="D94" s="176"/>
      <c r="E94" s="176"/>
      <c r="F94" s="176"/>
      <c r="G94" s="176"/>
      <c r="H94" s="176"/>
      <c r="I94" s="196"/>
      <c r="K94" s="6"/>
      <c r="L94" s="155"/>
      <c r="N94" s="213"/>
    </row>
    <row r="95" spans="1:14" x14ac:dyDescent="0.25">
      <c r="A95" s="32"/>
      <c r="B95" s="6"/>
      <c r="C95" s="176"/>
      <c r="D95" s="176"/>
      <c r="E95" s="176"/>
      <c r="F95" s="176"/>
      <c r="G95" s="176"/>
      <c r="H95" s="176"/>
      <c r="I95" s="196"/>
      <c r="K95" s="6"/>
      <c r="L95" s="155"/>
      <c r="N95" s="213"/>
    </row>
    <row r="96" spans="1:14" x14ac:dyDescent="0.25">
      <c r="A96" s="32"/>
      <c r="B96" s="6"/>
      <c r="C96" s="176"/>
      <c r="D96" s="176"/>
      <c r="E96" s="176"/>
      <c r="F96" s="176"/>
      <c r="G96" s="176"/>
      <c r="H96" s="176"/>
      <c r="I96" s="196"/>
      <c r="K96" s="6"/>
      <c r="L96" s="155"/>
      <c r="N96" s="213"/>
    </row>
    <row r="97" spans="1:14" x14ac:dyDescent="0.25">
      <c r="A97" s="32"/>
      <c r="B97" s="6"/>
      <c r="C97" s="176"/>
      <c r="D97" s="176"/>
      <c r="E97" s="176"/>
      <c r="F97" s="176"/>
      <c r="G97" s="176"/>
      <c r="H97" s="176"/>
      <c r="I97" s="196"/>
      <c r="K97" s="6"/>
      <c r="L97" s="155"/>
      <c r="N97" s="213"/>
    </row>
    <row r="98" spans="1:14" x14ac:dyDescent="0.25">
      <c r="A98" s="32"/>
      <c r="B98" s="6"/>
      <c r="C98" s="176"/>
      <c r="D98" s="176"/>
      <c r="E98" s="176"/>
      <c r="F98" s="176"/>
      <c r="G98" s="176"/>
      <c r="H98" s="176"/>
      <c r="I98" s="196"/>
      <c r="K98" s="6"/>
      <c r="L98" s="155"/>
      <c r="N98" s="213"/>
    </row>
    <row r="99" spans="1:14" x14ac:dyDescent="0.25">
      <c r="A99" s="32"/>
      <c r="B99" s="6"/>
      <c r="C99" s="176"/>
      <c r="D99" s="176"/>
      <c r="E99" s="176"/>
      <c r="F99" s="176"/>
      <c r="G99" s="176"/>
      <c r="H99" s="176"/>
      <c r="I99" s="196"/>
      <c r="K99" s="6"/>
      <c r="L99" s="155"/>
      <c r="N99" s="213"/>
    </row>
    <row r="100" spans="1:14" x14ac:dyDescent="0.25">
      <c r="A100" s="32"/>
      <c r="B100" s="6"/>
      <c r="C100" s="176"/>
      <c r="D100" s="176"/>
      <c r="E100" s="176"/>
      <c r="F100" s="176"/>
      <c r="G100" s="176"/>
      <c r="H100" s="176"/>
      <c r="I100" s="196"/>
      <c r="K100" s="6"/>
      <c r="L100" s="155"/>
      <c r="N100" s="213"/>
    </row>
    <row r="101" spans="1:14" x14ac:dyDescent="0.25">
      <c r="A101" s="32"/>
      <c r="B101" s="6"/>
      <c r="C101" s="176"/>
      <c r="D101" s="176"/>
      <c r="E101" s="176"/>
      <c r="F101" s="176"/>
      <c r="G101" s="176"/>
      <c r="H101" s="176"/>
      <c r="I101" s="196"/>
      <c r="K101" s="6"/>
      <c r="L101" s="155"/>
      <c r="N101" s="213"/>
    </row>
    <row r="102" spans="1:14" x14ac:dyDescent="0.25">
      <c r="A102" s="32"/>
      <c r="B102" s="6"/>
      <c r="C102" s="176"/>
      <c r="D102" s="176"/>
      <c r="E102" s="176"/>
      <c r="F102" s="176"/>
      <c r="G102" s="176"/>
      <c r="H102" s="176"/>
      <c r="I102" s="196"/>
      <c r="K102" s="6"/>
      <c r="L102" s="155"/>
      <c r="N102" s="213"/>
    </row>
    <row r="103" spans="1:14" x14ac:dyDescent="0.25">
      <c r="A103" s="32"/>
      <c r="B103" s="6"/>
      <c r="C103" s="176"/>
      <c r="D103" s="176"/>
      <c r="E103" s="176"/>
      <c r="F103" s="176"/>
      <c r="G103" s="176"/>
      <c r="H103" s="176"/>
      <c r="I103" s="196"/>
      <c r="K103" s="6"/>
      <c r="L103" s="155"/>
      <c r="N103" s="213"/>
    </row>
    <row r="104" spans="1:14" x14ac:dyDescent="0.25">
      <c r="A104" s="32"/>
      <c r="B104" s="6"/>
      <c r="C104" s="176"/>
      <c r="D104" s="176"/>
      <c r="E104" s="176"/>
      <c r="F104" s="176"/>
      <c r="G104" s="176"/>
      <c r="H104" s="176"/>
      <c r="I104" s="196"/>
      <c r="K104" s="6"/>
      <c r="L104" s="155"/>
      <c r="N104" s="213"/>
    </row>
    <row r="105" spans="1:14" x14ac:dyDescent="0.25">
      <c r="A105" s="32"/>
      <c r="B105" s="6"/>
      <c r="C105" s="176"/>
      <c r="D105" s="176"/>
      <c r="E105" s="176"/>
      <c r="F105" s="6"/>
      <c r="G105" s="6"/>
      <c r="H105" s="176"/>
      <c r="I105" s="176"/>
      <c r="K105" s="6"/>
      <c r="L105" s="155"/>
      <c r="N105" s="213"/>
    </row>
    <row r="106" spans="1:14" x14ac:dyDescent="0.25">
      <c r="A106" s="180"/>
      <c r="B106" s="181"/>
      <c r="C106" s="182"/>
      <c r="D106" s="182"/>
      <c r="E106" s="182"/>
      <c r="F106" s="181"/>
      <c r="G106" s="181"/>
      <c r="H106" s="182"/>
      <c r="I106" s="182"/>
      <c r="K106" s="6"/>
      <c r="L106" s="155"/>
      <c r="N106" s="213"/>
    </row>
    <row r="107" spans="1:14" x14ac:dyDescent="0.25">
      <c r="A107" s="32"/>
      <c r="B107" s="6"/>
      <c r="C107" s="176"/>
      <c r="D107" s="176"/>
      <c r="E107" s="176"/>
      <c r="F107" s="6"/>
      <c r="G107" s="6"/>
      <c r="H107" s="176"/>
      <c r="I107" s="176"/>
      <c r="K107" s="6"/>
      <c r="L107" s="155"/>
    </row>
    <row r="108" spans="1:14" x14ac:dyDescent="0.25">
      <c r="A108" s="6"/>
      <c r="B108" s="6"/>
      <c r="C108" s="176"/>
      <c r="D108" s="176"/>
      <c r="E108" s="176"/>
      <c r="F108" s="6"/>
      <c r="G108" s="6"/>
      <c r="H108" s="176"/>
      <c r="I108" s="176"/>
      <c r="K108" s="6"/>
      <c r="L108" s="155"/>
    </row>
    <row r="109" spans="1:14" x14ac:dyDescent="0.25">
      <c r="A109" s="6"/>
      <c r="B109" s="6"/>
      <c r="C109" s="176"/>
      <c r="D109" s="176"/>
      <c r="E109" s="176"/>
      <c r="F109" s="6"/>
      <c r="G109" s="6"/>
      <c r="H109" s="176"/>
      <c r="I109" s="176"/>
      <c r="K109" s="6"/>
      <c r="L109" s="155"/>
    </row>
    <row r="110" spans="1:14" x14ac:dyDescent="0.25">
      <c r="A110" s="6"/>
      <c r="B110" s="6"/>
      <c r="C110" s="176"/>
      <c r="D110" s="176"/>
      <c r="E110" s="176"/>
      <c r="F110" s="6"/>
      <c r="G110" s="6"/>
      <c r="H110" s="176"/>
      <c r="I110" s="176"/>
      <c r="K110" s="6"/>
      <c r="L110" s="155"/>
    </row>
    <row r="111" spans="1:14" x14ac:dyDescent="0.25">
      <c r="A111" s="6"/>
      <c r="B111" s="6"/>
      <c r="C111" s="176"/>
      <c r="D111" s="176"/>
      <c r="E111" s="176"/>
      <c r="F111" s="6"/>
      <c r="G111" s="6"/>
      <c r="H111" s="176"/>
      <c r="I111" s="176"/>
      <c r="K111" s="6"/>
      <c r="L111" s="155"/>
    </row>
    <row r="112" spans="1:14" x14ac:dyDescent="0.25">
      <c r="A112" s="6"/>
      <c r="B112" s="6"/>
      <c r="C112" s="176"/>
      <c r="D112" s="176"/>
      <c r="E112" s="176"/>
      <c r="F112" s="6"/>
      <c r="G112" s="6"/>
      <c r="H112" s="176"/>
      <c r="I112" s="176"/>
      <c r="K112" s="6"/>
      <c r="L112" s="155"/>
    </row>
    <row r="113" spans="9:14" x14ac:dyDescent="0.25">
      <c r="I113" s="324">
        <f>SUM(I5:I112)</f>
        <v>13642.9</v>
      </c>
      <c r="J113">
        <f>SUM(J5:J112)</f>
        <v>70</v>
      </c>
      <c r="K113">
        <f>SUM(K5:K112)</f>
        <v>23</v>
      </c>
      <c r="M113">
        <f>SUM(M5:M112)</f>
        <v>70</v>
      </c>
      <c r="N113">
        <f>+M113-J113</f>
        <v>0</v>
      </c>
    </row>
    <row r="114" spans="9:14" x14ac:dyDescent="0.25">
      <c r="M114" s="9">
        <f>+M113/280</f>
        <v>0.25</v>
      </c>
    </row>
  </sheetData>
  <sortState xmlns:xlrd2="http://schemas.microsoft.com/office/spreadsheetml/2017/richdata2" ref="A5:I58">
    <sortCondition ref="F5:F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70" zoomScaleNormal="70" workbookViewId="0">
      <selection activeCell="Z22" sqref="Z22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95"/>
      <c r="B1" s="362" t="s">
        <v>6</v>
      </c>
      <c r="C1" s="363"/>
      <c r="D1" s="364"/>
      <c r="E1" s="295"/>
      <c r="F1" s="295"/>
      <c r="G1" s="295"/>
      <c r="H1" s="296"/>
      <c r="I1" s="296"/>
      <c r="J1" s="296"/>
      <c r="K1" s="295"/>
      <c r="L1" s="295"/>
      <c r="M1" s="365" t="s">
        <v>78</v>
      </c>
      <c r="N1" s="365"/>
      <c r="O1" s="365" t="s">
        <v>79</v>
      </c>
      <c r="P1" s="365"/>
      <c r="Q1" s="365" t="s">
        <v>80</v>
      </c>
      <c r="R1" s="365"/>
      <c r="S1" s="365" t="s">
        <v>113</v>
      </c>
      <c r="T1" s="365"/>
      <c r="U1" s="325" t="s">
        <v>258</v>
      </c>
    </row>
    <row r="2" spans="1:21" ht="30" customHeight="1" x14ac:dyDescent="0.2">
      <c r="A2" s="295" t="s">
        <v>72</v>
      </c>
      <c r="B2" s="295" t="s">
        <v>188</v>
      </c>
      <c r="C2" s="295" t="s">
        <v>189</v>
      </c>
      <c r="D2" s="295" t="s">
        <v>190</v>
      </c>
      <c r="E2" s="295" t="s">
        <v>0</v>
      </c>
      <c r="F2" s="295" t="s">
        <v>44</v>
      </c>
      <c r="G2" s="295" t="s">
        <v>73</v>
      </c>
      <c r="H2" s="296" t="s">
        <v>1</v>
      </c>
      <c r="I2" s="296" t="s">
        <v>2</v>
      </c>
      <c r="J2" s="296" t="s">
        <v>256</v>
      </c>
      <c r="K2" s="296" t="s">
        <v>257</v>
      </c>
      <c r="L2" s="295" t="s">
        <v>75</v>
      </c>
      <c r="M2" s="297" t="s">
        <v>74</v>
      </c>
      <c r="N2" s="298" t="s">
        <v>48</v>
      </c>
      <c r="O2" s="297" t="s">
        <v>74</v>
      </c>
      <c r="P2" s="297" t="s">
        <v>48</v>
      </c>
      <c r="Q2" s="297" t="s">
        <v>74</v>
      </c>
      <c r="R2" s="297" t="s">
        <v>48</v>
      </c>
      <c r="S2" s="297" t="s">
        <v>74</v>
      </c>
      <c r="T2" s="297" t="s">
        <v>48</v>
      </c>
      <c r="U2" s="325" t="s">
        <v>258</v>
      </c>
    </row>
    <row r="3" spans="1:21" ht="15" customHeight="1" x14ac:dyDescent="0.2">
      <c r="A3" s="171"/>
      <c r="B3" s="171"/>
      <c r="C3" s="171"/>
      <c r="D3" s="171"/>
      <c r="E3" s="291" t="str">
        <f>+S!H5</f>
        <v>Guillermo Marin</v>
      </c>
      <c r="F3" s="291" t="str">
        <f>+S!C5</f>
        <v>Direct Booking</v>
      </c>
      <c r="G3" s="292" t="str">
        <f>+S!A5</f>
        <v>BB23052611268765</v>
      </c>
      <c r="H3" s="109">
        <f>+S!F5</f>
        <v>45078</v>
      </c>
      <c r="I3" s="109">
        <f>+S!G5</f>
        <v>45081</v>
      </c>
      <c r="J3" s="293">
        <f>+S!K5</f>
        <v>1</v>
      </c>
      <c r="K3" s="294">
        <f>+S!J5</f>
        <v>3</v>
      </c>
      <c r="L3" s="112">
        <f>+S!I5</f>
        <v>570</v>
      </c>
      <c r="M3" s="174"/>
      <c r="N3" s="175"/>
      <c r="O3" s="174"/>
      <c r="P3" s="174"/>
      <c r="Q3" s="174"/>
      <c r="R3" s="174"/>
      <c r="S3" s="174"/>
      <c r="T3" s="174"/>
      <c r="U3" s="174">
        <f>+L3/(K3*J3)</f>
        <v>190</v>
      </c>
    </row>
    <row r="4" spans="1:21" ht="15" customHeight="1" x14ac:dyDescent="0.2">
      <c r="A4" s="171"/>
      <c r="B4" s="171"/>
      <c r="C4" s="171"/>
      <c r="D4" s="171"/>
      <c r="E4" s="291" t="str">
        <f>+S!H6</f>
        <v>Kannus Cheng</v>
      </c>
      <c r="F4" s="291" t="str">
        <f>+S!C6</f>
        <v>Expedia</v>
      </c>
      <c r="G4" s="292">
        <f>+S!A6</f>
        <v>18165032</v>
      </c>
      <c r="H4" s="109">
        <f>+S!F6</f>
        <v>45078</v>
      </c>
      <c r="I4" s="109">
        <f>+S!G6</f>
        <v>45079</v>
      </c>
      <c r="J4" s="293">
        <f>+S!K6</f>
        <v>1</v>
      </c>
      <c r="K4" s="294">
        <f>+S!J6</f>
        <v>1</v>
      </c>
      <c r="L4" s="112">
        <f>+S!I6</f>
        <v>188.53</v>
      </c>
      <c r="M4" s="174"/>
      <c r="N4" s="175"/>
      <c r="O4" s="174"/>
      <c r="P4" s="174"/>
      <c r="Q4" s="174"/>
      <c r="R4" s="174"/>
      <c r="S4" s="174"/>
      <c r="T4" s="174"/>
      <c r="U4" s="174">
        <f t="shared" ref="U4:U25" si="0">+L4/(K4*J4)</f>
        <v>188.53</v>
      </c>
    </row>
    <row r="5" spans="1:21" ht="15" customHeight="1" x14ac:dyDescent="0.2">
      <c r="A5" s="171"/>
      <c r="B5" s="171"/>
      <c r="C5" s="171"/>
      <c r="D5" s="171"/>
      <c r="E5" s="291" t="str">
        <f>+S!H7</f>
        <v>Kannus Cheng</v>
      </c>
      <c r="F5" s="291" t="str">
        <f>+S!C7</f>
        <v>Expedia</v>
      </c>
      <c r="G5" s="292">
        <f>+S!A7</f>
        <v>18136202</v>
      </c>
      <c r="H5" s="109">
        <f>+S!F7</f>
        <v>45079</v>
      </c>
      <c r="I5" s="109">
        <f>+S!G7</f>
        <v>45081</v>
      </c>
      <c r="J5" s="293">
        <f>+S!K7</f>
        <v>1</v>
      </c>
      <c r="K5" s="294">
        <f>+S!J7</f>
        <v>2</v>
      </c>
      <c r="L5" s="112">
        <f>+S!I7</f>
        <v>377.06</v>
      </c>
      <c r="M5" s="174"/>
      <c r="N5" s="175"/>
      <c r="O5" s="174"/>
      <c r="P5" s="174"/>
      <c r="Q5" s="174"/>
      <c r="R5" s="174"/>
      <c r="S5" s="174"/>
      <c r="T5" s="174"/>
      <c r="U5" s="174">
        <f t="shared" si="0"/>
        <v>188.53</v>
      </c>
    </row>
    <row r="6" spans="1:21" ht="15" customHeight="1" x14ac:dyDescent="0.2">
      <c r="A6" s="171"/>
      <c r="B6" s="171"/>
      <c r="C6" s="171"/>
      <c r="D6" s="171"/>
      <c r="E6" s="291" t="str">
        <f>+S!H8</f>
        <v>Leticia Francesconi Bulcao Izumi</v>
      </c>
      <c r="F6" s="291" t="str">
        <f>+S!C8</f>
        <v>Booking.com</v>
      </c>
      <c r="G6" s="292">
        <f>+S!A8</f>
        <v>3053826027</v>
      </c>
      <c r="H6" s="109">
        <f>+S!F8</f>
        <v>45080</v>
      </c>
      <c r="I6" s="109">
        <f>+S!G8</f>
        <v>45081</v>
      </c>
      <c r="J6" s="293">
        <f>+S!K8</f>
        <v>1</v>
      </c>
      <c r="K6" s="294">
        <f>+S!J8</f>
        <v>1</v>
      </c>
      <c r="L6" s="112">
        <f>+S!I8</f>
        <v>188.53</v>
      </c>
      <c r="M6" s="174"/>
      <c r="N6" s="175"/>
      <c r="O6" s="174"/>
      <c r="P6" s="174"/>
      <c r="Q6" s="174"/>
      <c r="R6" s="174"/>
      <c r="S6" s="174"/>
      <c r="T6" s="174"/>
      <c r="U6" s="174">
        <f t="shared" si="0"/>
        <v>188.53</v>
      </c>
    </row>
    <row r="7" spans="1:21" ht="15" customHeight="1" x14ac:dyDescent="0.2">
      <c r="A7" s="171"/>
      <c r="B7" s="171"/>
      <c r="C7" s="171"/>
      <c r="D7" s="171"/>
      <c r="E7" s="291" t="str">
        <f>+S!H9</f>
        <v>Edwin Gómez</v>
      </c>
      <c r="F7" s="291" t="str">
        <f>+S!C9</f>
        <v>Direct Booking</v>
      </c>
      <c r="G7" s="292" t="str">
        <f>+S!A9</f>
        <v>BB23053111309788</v>
      </c>
      <c r="H7" s="109">
        <f>+S!F9</f>
        <v>45080</v>
      </c>
      <c r="I7" s="109">
        <f>+S!G9</f>
        <v>45081</v>
      </c>
      <c r="J7" s="293">
        <f>+S!K9</f>
        <v>1</v>
      </c>
      <c r="K7" s="294">
        <f>+S!J9</f>
        <v>1</v>
      </c>
      <c r="L7" s="112">
        <f>+S!I9</f>
        <v>190</v>
      </c>
      <c r="M7" s="174"/>
      <c r="N7" s="175"/>
      <c r="O7" s="174"/>
      <c r="P7" s="174"/>
      <c r="Q7" s="174"/>
      <c r="R7" s="174"/>
      <c r="S7" s="174"/>
      <c r="T7" s="174"/>
      <c r="U7" s="174">
        <f t="shared" si="0"/>
        <v>190</v>
      </c>
    </row>
    <row r="8" spans="1:21" ht="15" customHeight="1" x14ac:dyDescent="0.2">
      <c r="A8" s="171"/>
      <c r="B8" s="171"/>
      <c r="C8" s="171"/>
      <c r="D8" s="171"/>
      <c r="E8" s="291" t="str">
        <f>+S!H10</f>
        <v>Luisa Mesquita</v>
      </c>
      <c r="F8" s="291" t="str">
        <f>+S!C10</f>
        <v>Booking.com</v>
      </c>
      <c r="G8" s="292">
        <f>+S!A10</f>
        <v>2233818993</v>
      </c>
      <c r="H8" s="109">
        <f>+S!F10</f>
        <v>45096</v>
      </c>
      <c r="I8" s="109">
        <f>+S!G10</f>
        <v>45102</v>
      </c>
      <c r="J8" s="293">
        <f>+S!K10</f>
        <v>1</v>
      </c>
      <c r="K8" s="294">
        <f>+S!J10</f>
        <v>6</v>
      </c>
      <c r="L8" s="112">
        <f>+S!I10</f>
        <v>1185.06</v>
      </c>
      <c r="M8" s="174"/>
      <c r="N8" s="175"/>
      <c r="O8" s="174"/>
      <c r="P8" s="174"/>
      <c r="Q8" s="174"/>
      <c r="R8" s="174"/>
      <c r="S8" s="174"/>
      <c r="T8" s="174"/>
      <c r="U8" s="174">
        <f t="shared" si="0"/>
        <v>197.51</v>
      </c>
    </row>
    <row r="9" spans="1:21" ht="15" customHeight="1" x14ac:dyDescent="0.2">
      <c r="A9" s="171"/>
      <c r="B9" s="171"/>
      <c r="C9" s="171"/>
      <c r="D9" s="171"/>
      <c r="E9" s="291" t="str">
        <f>+S!H11</f>
        <v>Debbi Dyson</v>
      </c>
      <c r="F9" s="291" t="str">
        <f>+S!C11</f>
        <v>Direct Booking</v>
      </c>
      <c r="G9" s="292" t="str">
        <f>+S!A11</f>
        <v>BB23040910857720</v>
      </c>
      <c r="H9" s="109">
        <f>+S!F11</f>
        <v>45096</v>
      </c>
      <c r="I9" s="109">
        <f>+S!G11</f>
        <v>45101</v>
      </c>
      <c r="J9" s="293">
        <f>+S!K11</f>
        <v>1</v>
      </c>
      <c r="K9" s="294">
        <f>+S!J11</f>
        <v>5</v>
      </c>
      <c r="L9" s="112">
        <f>+S!I11</f>
        <v>950</v>
      </c>
      <c r="M9" s="174"/>
      <c r="N9" s="175"/>
      <c r="O9" s="174"/>
      <c r="P9" s="174"/>
      <c r="Q9" s="174"/>
      <c r="R9" s="174"/>
      <c r="S9" s="174"/>
      <c r="T9" s="174"/>
      <c r="U9" s="174">
        <f t="shared" si="0"/>
        <v>190</v>
      </c>
    </row>
    <row r="10" spans="1:21" ht="15" customHeight="1" x14ac:dyDescent="0.2">
      <c r="A10" s="171"/>
      <c r="B10" s="171"/>
      <c r="C10" s="171"/>
      <c r="D10" s="171"/>
      <c r="E10" s="291" t="str">
        <f>+S!H12</f>
        <v>Julio Galleguillos</v>
      </c>
      <c r="F10" s="291" t="str">
        <f>+S!C12</f>
        <v>Expedia</v>
      </c>
      <c r="G10" s="292">
        <f>+S!A12</f>
        <v>1483284727</v>
      </c>
      <c r="H10" s="109">
        <f>+S!F12</f>
        <v>45098</v>
      </c>
      <c r="I10" s="109">
        <f>+S!G12</f>
        <v>45104</v>
      </c>
      <c r="J10" s="293">
        <f>+S!K12</f>
        <v>1</v>
      </c>
      <c r="K10" s="294">
        <f>+S!J12</f>
        <v>6</v>
      </c>
      <c r="L10" s="112">
        <f>+S!I12</f>
        <v>1256.8800000000001</v>
      </c>
      <c r="M10" s="174"/>
      <c r="N10" s="175"/>
      <c r="O10" s="174"/>
      <c r="P10" s="174"/>
      <c r="Q10" s="174"/>
      <c r="R10" s="174"/>
      <c r="S10" s="174"/>
      <c r="T10" s="174"/>
      <c r="U10" s="174">
        <f t="shared" si="0"/>
        <v>209.48000000000002</v>
      </c>
    </row>
    <row r="11" spans="1:21" ht="15" customHeight="1" x14ac:dyDescent="0.2">
      <c r="A11" s="171"/>
      <c r="B11" s="171"/>
      <c r="C11" s="171"/>
      <c r="D11" s="171"/>
      <c r="E11" s="291" t="str">
        <f>+S!H13</f>
        <v>Andre Ueno</v>
      </c>
      <c r="F11" s="291" t="str">
        <f>+S!C13</f>
        <v>Booking.com</v>
      </c>
      <c r="G11" s="292">
        <f>+S!A13</f>
        <v>3276497505</v>
      </c>
      <c r="H11" s="109">
        <f>+S!F13</f>
        <v>45098</v>
      </c>
      <c r="I11" s="109">
        <f>+S!G13</f>
        <v>45103</v>
      </c>
      <c r="J11" s="293">
        <f>+S!K13</f>
        <v>1</v>
      </c>
      <c r="K11" s="294">
        <f>+S!J13</f>
        <v>5</v>
      </c>
      <c r="L11" s="112">
        <f>+S!I13</f>
        <v>942.65</v>
      </c>
      <c r="M11" s="174"/>
      <c r="N11" s="175"/>
      <c r="O11" s="174"/>
      <c r="P11" s="174"/>
      <c r="Q11" s="174"/>
      <c r="R11" s="174"/>
      <c r="S11" s="174"/>
      <c r="T11" s="174"/>
      <c r="U11" s="174">
        <f t="shared" si="0"/>
        <v>188.53</v>
      </c>
    </row>
    <row r="12" spans="1:21" ht="15" customHeight="1" x14ac:dyDescent="0.2">
      <c r="A12" s="171"/>
      <c r="B12" s="171"/>
      <c r="C12" s="171"/>
      <c r="D12" s="171"/>
      <c r="E12" s="291" t="str">
        <f>+S!H14</f>
        <v>Jaime Galvez</v>
      </c>
      <c r="F12" s="291" t="str">
        <f>+S!C14</f>
        <v>Direct Booking</v>
      </c>
      <c r="G12" s="292" t="str">
        <f>+S!A14</f>
        <v>BB23060911389186</v>
      </c>
      <c r="H12" s="109">
        <f>+S!F14</f>
        <v>45098</v>
      </c>
      <c r="I12" s="109">
        <f>+S!G14</f>
        <v>45102</v>
      </c>
      <c r="J12" s="293">
        <f>+S!K14</f>
        <v>1</v>
      </c>
      <c r="K12" s="294">
        <f>+S!J14</f>
        <v>4</v>
      </c>
      <c r="L12" s="112">
        <f>+S!I14</f>
        <v>760</v>
      </c>
      <c r="M12" s="174"/>
      <c r="N12" s="175"/>
      <c r="O12" s="174"/>
      <c r="P12" s="174"/>
      <c r="Q12" s="174"/>
      <c r="R12" s="174"/>
      <c r="S12" s="174"/>
      <c r="T12" s="174"/>
      <c r="U12" s="174">
        <f t="shared" si="0"/>
        <v>190</v>
      </c>
    </row>
    <row r="13" spans="1:21" ht="15" customHeight="1" x14ac:dyDescent="0.2">
      <c r="A13" s="171"/>
      <c r="B13" s="171"/>
      <c r="C13" s="171"/>
      <c r="D13" s="171"/>
      <c r="E13" s="291" t="str">
        <f>+S!H15</f>
        <v>"William Hunger</v>
      </c>
      <c r="F13" s="291" t="str">
        <f>+S!C15</f>
        <v>Booking.com</v>
      </c>
      <c r="G13" s="292">
        <f>+S!A15</f>
        <v>3117102667</v>
      </c>
      <c r="H13" s="109">
        <f>+S!F15</f>
        <v>45099</v>
      </c>
      <c r="I13" s="109">
        <f>+S!G15</f>
        <v>45101</v>
      </c>
      <c r="J13" s="293">
        <f>+S!K15</f>
        <v>1</v>
      </c>
      <c r="K13" s="294">
        <f>+S!J15</f>
        <v>2</v>
      </c>
      <c r="L13" s="112">
        <f>+S!I15</f>
        <v>395.02</v>
      </c>
      <c r="M13" s="174"/>
      <c r="N13" s="175"/>
      <c r="O13" s="174"/>
      <c r="P13" s="174"/>
      <c r="Q13" s="174"/>
      <c r="R13" s="174"/>
      <c r="S13" s="174"/>
      <c r="T13" s="174"/>
      <c r="U13" s="174">
        <f t="shared" si="0"/>
        <v>197.51</v>
      </c>
    </row>
    <row r="14" spans="1:21" ht="15" customHeight="1" x14ac:dyDescent="0.2">
      <c r="A14" s="171"/>
      <c r="B14" s="171"/>
      <c r="C14" s="171"/>
      <c r="D14" s="171"/>
      <c r="E14" s="291" t="str">
        <f>+S!H16</f>
        <v>Leonardo De Mattos Bilo</v>
      </c>
      <c r="F14" s="291" t="str">
        <f>+S!C16</f>
        <v>Booking.com</v>
      </c>
      <c r="G14" s="292">
        <f>+S!A16</f>
        <v>2415249757</v>
      </c>
      <c r="H14" s="109">
        <f>+S!F16</f>
        <v>45099</v>
      </c>
      <c r="I14" s="109">
        <f>+S!G16</f>
        <v>45101</v>
      </c>
      <c r="J14" s="293">
        <f>+S!K16</f>
        <v>1</v>
      </c>
      <c r="K14" s="294">
        <f>+S!J16</f>
        <v>2</v>
      </c>
      <c r="L14" s="112">
        <f>+S!I16</f>
        <v>377.06</v>
      </c>
      <c r="M14" s="174"/>
      <c r="N14" s="175"/>
      <c r="O14" s="174"/>
      <c r="P14" s="174"/>
      <c r="Q14" s="174"/>
      <c r="R14" s="174"/>
      <c r="S14" s="174"/>
      <c r="T14" s="174"/>
      <c r="U14" s="174">
        <f t="shared" si="0"/>
        <v>188.53</v>
      </c>
    </row>
    <row r="15" spans="1:21" ht="15" customHeight="1" x14ac:dyDescent="0.2">
      <c r="A15" s="171"/>
      <c r="B15" s="171"/>
      <c r="C15" s="171"/>
      <c r="D15" s="171"/>
      <c r="E15" s="291" t="str">
        <f>+S!H17</f>
        <v>Nudrat Rashid</v>
      </c>
      <c r="F15" s="291" t="str">
        <f>+S!C17</f>
        <v>Expedia</v>
      </c>
      <c r="G15" s="292">
        <f>+S!A17</f>
        <v>1473724429</v>
      </c>
      <c r="H15" s="109">
        <f>+S!F17</f>
        <v>45100</v>
      </c>
      <c r="I15" s="109">
        <f>+S!G17</f>
        <v>45104</v>
      </c>
      <c r="J15" s="293">
        <f>+S!K17</f>
        <v>1</v>
      </c>
      <c r="K15" s="294">
        <f>+S!J17</f>
        <v>4</v>
      </c>
      <c r="L15" s="112">
        <f>+S!I17</f>
        <v>837.92</v>
      </c>
      <c r="M15" s="174"/>
      <c r="N15" s="175"/>
      <c r="O15" s="174"/>
      <c r="P15" s="174"/>
      <c r="Q15" s="174"/>
      <c r="R15" s="174"/>
      <c r="S15" s="174"/>
      <c r="T15" s="174"/>
      <c r="U15" s="174">
        <f t="shared" si="0"/>
        <v>209.48</v>
      </c>
    </row>
    <row r="16" spans="1:21" ht="15" customHeight="1" x14ac:dyDescent="0.2">
      <c r="A16" s="171"/>
      <c r="B16" s="171"/>
      <c r="C16" s="171"/>
      <c r="D16" s="171"/>
      <c r="E16" s="291" t="str">
        <f>+S!H18</f>
        <v>Natasha Abdulghani</v>
      </c>
      <c r="F16" s="291" t="str">
        <f>+S!C18</f>
        <v>Expedia</v>
      </c>
      <c r="G16" s="292">
        <f>+S!A18</f>
        <v>1473724431</v>
      </c>
      <c r="H16" s="109">
        <f>+S!F18</f>
        <v>45100</v>
      </c>
      <c r="I16" s="109">
        <f>+S!G18</f>
        <v>45104</v>
      </c>
      <c r="J16" s="293">
        <f>+S!K18</f>
        <v>1</v>
      </c>
      <c r="K16" s="294">
        <f>+S!J18</f>
        <v>4</v>
      </c>
      <c r="L16" s="112">
        <f>+S!I18</f>
        <v>837.92</v>
      </c>
      <c r="M16" s="174"/>
      <c r="N16" s="175"/>
      <c r="O16" s="174"/>
      <c r="P16" s="174"/>
      <c r="Q16" s="174"/>
      <c r="R16" s="174"/>
      <c r="S16" s="174"/>
      <c r="T16" s="174"/>
      <c r="U16" s="174">
        <f t="shared" si="0"/>
        <v>209.48</v>
      </c>
    </row>
    <row r="17" spans="1:21" ht="15" customHeight="1" x14ac:dyDescent="0.2">
      <c r="A17" s="171"/>
      <c r="B17" s="171"/>
      <c r="C17" s="171"/>
      <c r="D17" s="171"/>
      <c r="E17" s="291" t="str">
        <f>+S!H19</f>
        <v>Tomás Torres</v>
      </c>
      <c r="F17" s="291" t="str">
        <f>+S!C19</f>
        <v>Direct Booking</v>
      </c>
      <c r="G17" s="292" t="str">
        <f>+S!A19</f>
        <v>BB23052811282650</v>
      </c>
      <c r="H17" s="109">
        <f>+S!F19</f>
        <v>45100</v>
      </c>
      <c r="I17" s="109">
        <f>+S!G19</f>
        <v>45103</v>
      </c>
      <c r="J17" s="293">
        <f>+S!K19</f>
        <v>1</v>
      </c>
      <c r="K17" s="294">
        <f>+S!J19</f>
        <v>3</v>
      </c>
      <c r="L17" s="112">
        <f>+S!I19</f>
        <v>570</v>
      </c>
      <c r="M17" s="174"/>
      <c r="N17" s="175"/>
      <c r="O17" s="174"/>
      <c r="P17" s="174"/>
      <c r="Q17" s="174"/>
      <c r="R17" s="174"/>
      <c r="S17" s="174"/>
      <c r="T17" s="174"/>
      <c r="U17" s="174">
        <f t="shared" si="0"/>
        <v>190</v>
      </c>
    </row>
    <row r="18" spans="1:21" ht="15" customHeight="1" x14ac:dyDescent="0.2">
      <c r="A18" s="171"/>
      <c r="B18" s="171"/>
      <c r="C18" s="171"/>
      <c r="D18" s="171"/>
      <c r="E18" s="291" t="str">
        <f>+S!H20</f>
        <v>Luis Fernando Ramos Ribeiro Goncalves</v>
      </c>
      <c r="F18" s="291" t="str">
        <f>+S!C20</f>
        <v>Booking.com</v>
      </c>
      <c r="G18" s="292">
        <f>+S!A20</f>
        <v>3991970263</v>
      </c>
      <c r="H18" s="109">
        <f>+S!F20</f>
        <v>45101</v>
      </c>
      <c r="I18" s="109">
        <f>+S!G20</f>
        <v>45107</v>
      </c>
      <c r="J18" s="293">
        <f>+S!K20</f>
        <v>1</v>
      </c>
      <c r="K18" s="294">
        <f>+S!J20</f>
        <v>6</v>
      </c>
      <c r="L18" s="112">
        <f>+S!I20</f>
        <v>1131.18</v>
      </c>
      <c r="M18" s="174"/>
      <c r="N18" s="175"/>
      <c r="O18" s="174"/>
      <c r="P18" s="174"/>
      <c r="Q18" s="174"/>
      <c r="R18" s="174"/>
      <c r="S18" s="174"/>
      <c r="T18" s="174"/>
      <c r="U18" s="174">
        <f t="shared" si="0"/>
        <v>188.53</v>
      </c>
    </row>
    <row r="19" spans="1:21" ht="15" customHeight="1" x14ac:dyDescent="0.2">
      <c r="A19" s="171"/>
      <c r="B19" s="171"/>
      <c r="C19" s="171"/>
      <c r="D19" s="171"/>
      <c r="E19" s="291" t="str">
        <f>+S!H21</f>
        <v>Andrea Cerda</v>
      </c>
      <c r="F19" s="291" t="str">
        <f>+S!C21</f>
        <v>Direct Booking</v>
      </c>
      <c r="G19" s="292" t="str">
        <f>+S!A21</f>
        <v>BB23061811463453</v>
      </c>
      <c r="H19" s="109">
        <f>+S!F21</f>
        <v>45101</v>
      </c>
      <c r="I19" s="109">
        <f>+S!G21</f>
        <v>45103</v>
      </c>
      <c r="J19" s="293">
        <f>+S!K21</f>
        <v>1</v>
      </c>
      <c r="K19" s="294">
        <f>+S!J21</f>
        <v>2</v>
      </c>
      <c r="L19" s="112">
        <f>+S!I21</f>
        <v>380</v>
      </c>
      <c r="M19" s="174"/>
      <c r="N19" s="175"/>
      <c r="O19" s="174"/>
      <c r="P19" s="174"/>
      <c r="Q19" s="174"/>
      <c r="R19" s="174"/>
      <c r="S19" s="174"/>
      <c r="T19" s="174"/>
      <c r="U19" s="174">
        <f t="shared" si="0"/>
        <v>190</v>
      </c>
    </row>
    <row r="20" spans="1:21" ht="15" customHeight="1" x14ac:dyDescent="0.2">
      <c r="A20" s="171"/>
      <c r="B20" s="171"/>
      <c r="C20" s="171"/>
      <c r="D20" s="171"/>
      <c r="E20" s="291" t="str">
        <f>+S!H22</f>
        <v>farah Marcelle</v>
      </c>
      <c r="F20" s="291" t="str">
        <f>+S!C22</f>
        <v>Booking.com</v>
      </c>
      <c r="G20" s="292">
        <f>+S!A22</f>
        <v>3533811001</v>
      </c>
      <c r="H20" s="109">
        <f>+S!F22</f>
        <v>45102</v>
      </c>
      <c r="I20" s="109">
        <f>+S!G22</f>
        <v>45103</v>
      </c>
      <c r="J20" s="293">
        <f>+S!K22</f>
        <v>1</v>
      </c>
      <c r="K20" s="294">
        <f>+S!J22</f>
        <v>1</v>
      </c>
      <c r="L20" s="112">
        <f>+S!I22</f>
        <v>188.53</v>
      </c>
      <c r="M20" s="174"/>
      <c r="N20" s="175"/>
      <c r="O20" s="174"/>
      <c r="P20" s="174"/>
      <c r="Q20" s="174"/>
      <c r="R20" s="174"/>
      <c r="S20" s="174"/>
      <c r="T20" s="174"/>
      <c r="U20" s="174">
        <f t="shared" si="0"/>
        <v>188.53</v>
      </c>
    </row>
    <row r="21" spans="1:21" ht="15" customHeight="1" x14ac:dyDescent="0.2">
      <c r="A21" s="171"/>
      <c r="B21" s="171"/>
      <c r="C21" s="171"/>
      <c r="D21" s="171"/>
      <c r="E21" s="291" t="str">
        <f>+S!H23</f>
        <v>Jill Stokes</v>
      </c>
      <c r="F21" s="291" t="str">
        <f>+S!C23</f>
        <v>Direct Booking</v>
      </c>
      <c r="G21" s="292" t="str">
        <f>+S!A23</f>
        <v>BB23012210184940</v>
      </c>
      <c r="H21" s="109">
        <f>+S!F23</f>
        <v>45103</v>
      </c>
      <c r="I21" s="109">
        <f>+S!G23</f>
        <v>45107</v>
      </c>
      <c r="J21" s="293">
        <f>+S!K23</f>
        <v>1</v>
      </c>
      <c r="K21" s="294">
        <f>+S!J23</f>
        <v>4</v>
      </c>
      <c r="L21" s="112">
        <f>+S!I23</f>
        <v>744</v>
      </c>
      <c r="M21" s="174"/>
      <c r="N21" s="175"/>
      <c r="O21" s="174"/>
      <c r="P21" s="174"/>
      <c r="Q21" s="174"/>
      <c r="R21" s="174"/>
      <c r="S21" s="174"/>
      <c r="T21" s="174"/>
      <c r="U21" s="174">
        <f t="shared" si="0"/>
        <v>186</v>
      </c>
    </row>
    <row r="22" spans="1:21" ht="15" customHeight="1" x14ac:dyDescent="0.2">
      <c r="A22" s="171"/>
      <c r="B22" s="171"/>
      <c r="C22" s="171"/>
      <c r="D22" s="171"/>
      <c r="E22" s="291" t="str">
        <f>+S!H24</f>
        <v>Cornelia O'Mahony</v>
      </c>
      <c r="F22" s="291" t="str">
        <f>+S!C24</f>
        <v>Expedia</v>
      </c>
      <c r="G22" s="292">
        <f>+S!A24</f>
        <v>3916002</v>
      </c>
      <c r="H22" s="109">
        <f>+S!F24</f>
        <v>45104</v>
      </c>
      <c r="I22" s="109">
        <f>+S!G24</f>
        <v>45107</v>
      </c>
      <c r="J22" s="293">
        <f>+S!K24</f>
        <v>1</v>
      </c>
      <c r="K22" s="294">
        <f>+S!J24</f>
        <v>3</v>
      </c>
      <c r="L22" s="112">
        <f>+S!I24</f>
        <v>628.44000000000005</v>
      </c>
      <c r="M22" s="174"/>
      <c r="N22" s="175"/>
      <c r="O22" s="174"/>
      <c r="P22" s="174"/>
      <c r="Q22" s="174"/>
      <c r="R22" s="174"/>
      <c r="S22" s="174"/>
      <c r="T22" s="174"/>
      <c r="U22" s="174">
        <f t="shared" si="0"/>
        <v>209.48000000000002</v>
      </c>
    </row>
    <row r="23" spans="1:21" ht="15" customHeight="1" x14ac:dyDescent="0.2">
      <c r="A23" s="171"/>
      <c r="B23" s="171"/>
      <c r="C23" s="171"/>
      <c r="D23" s="171"/>
      <c r="E23" s="291" t="str">
        <f>+S!H25</f>
        <v>angela arrese</v>
      </c>
      <c r="F23" s="291" t="str">
        <f>+S!C25</f>
        <v>Booking.com</v>
      </c>
      <c r="G23" s="292">
        <f>+S!A25</f>
        <v>3708407385</v>
      </c>
      <c r="H23" s="109">
        <f>+S!F25</f>
        <v>45107</v>
      </c>
      <c r="I23" s="109">
        <f>+S!G25</f>
        <v>45109</v>
      </c>
      <c r="J23" s="293">
        <f>+S!K25</f>
        <v>1</v>
      </c>
      <c r="K23" s="294">
        <f>+S!J25</f>
        <v>2</v>
      </c>
      <c r="L23" s="112">
        <f>+S!I25</f>
        <v>377.06</v>
      </c>
      <c r="M23" s="174"/>
      <c r="N23" s="175"/>
      <c r="O23" s="174"/>
      <c r="P23" s="174"/>
      <c r="Q23" s="174"/>
      <c r="R23" s="174"/>
      <c r="S23" s="174"/>
      <c r="T23" s="174"/>
      <c r="U23" s="174">
        <f t="shared" si="0"/>
        <v>188.53</v>
      </c>
    </row>
    <row r="24" spans="1:21" ht="15" customHeight="1" x14ac:dyDescent="0.2">
      <c r="A24" s="171"/>
      <c r="B24" s="171"/>
      <c r="C24" s="171"/>
      <c r="D24" s="171"/>
      <c r="E24" s="291" t="str">
        <f>+S!H26</f>
        <v>Ryan Jerman</v>
      </c>
      <c r="F24" s="291" t="str">
        <f>+S!C26</f>
        <v>Booking.com</v>
      </c>
      <c r="G24" s="292">
        <f>+S!A26</f>
        <v>2816618181</v>
      </c>
      <c r="H24" s="109">
        <f>+S!F26</f>
        <v>45107</v>
      </c>
      <c r="I24" s="109">
        <f>+S!G26</f>
        <v>45109</v>
      </c>
      <c r="J24" s="293">
        <f>+S!K26</f>
        <v>1</v>
      </c>
      <c r="K24" s="294">
        <f>+S!J26</f>
        <v>2</v>
      </c>
      <c r="L24" s="112">
        <f>+S!I26</f>
        <v>377.06</v>
      </c>
      <c r="M24" s="174"/>
      <c r="N24" s="175"/>
      <c r="O24" s="174"/>
      <c r="P24" s="174"/>
      <c r="Q24" s="174"/>
      <c r="R24" s="174"/>
      <c r="S24" s="174"/>
      <c r="T24" s="174"/>
      <c r="U24" s="174">
        <f t="shared" si="0"/>
        <v>188.53</v>
      </c>
    </row>
    <row r="25" spans="1:21" ht="15" customHeight="1" x14ac:dyDescent="0.2">
      <c r="A25" s="171"/>
      <c r="B25" s="171"/>
      <c r="C25" s="171"/>
      <c r="D25" s="171"/>
      <c r="E25" s="291" t="str">
        <f>+S!H27</f>
        <v>Cornelia O'Mahony</v>
      </c>
      <c r="F25" s="291" t="str">
        <f>+S!C27</f>
        <v>Direct Booking</v>
      </c>
      <c r="G25" s="292" t="str">
        <f>+S!A27</f>
        <v>BB23062911568522</v>
      </c>
      <c r="H25" s="109">
        <f>+S!F27</f>
        <v>45107</v>
      </c>
      <c r="I25" s="109">
        <f>+S!G27</f>
        <v>45108</v>
      </c>
      <c r="J25" s="293">
        <f>+S!K27</f>
        <v>1</v>
      </c>
      <c r="K25" s="294">
        <f>+S!J27</f>
        <v>1</v>
      </c>
      <c r="L25" s="112">
        <f>+S!I27</f>
        <v>190</v>
      </c>
      <c r="M25" s="174"/>
      <c r="N25" s="175"/>
      <c r="O25" s="174"/>
      <c r="P25" s="174"/>
      <c r="Q25" s="174"/>
      <c r="R25" s="174"/>
      <c r="S25" s="174"/>
      <c r="T25" s="174"/>
      <c r="U25" s="174">
        <f t="shared" si="0"/>
        <v>190</v>
      </c>
    </row>
    <row r="26" spans="1:21" ht="15" customHeight="1" x14ac:dyDescent="0.2">
      <c r="A26" s="171"/>
      <c r="B26" s="171"/>
      <c r="C26" s="171"/>
      <c r="D26" s="171"/>
      <c r="E26" s="291"/>
      <c r="F26" s="291"/>
      <c r="G26" s="292"/>
      <c r="H26" s="109"/>
      <c r="I26" s="109"/>
      <c r="J26" s="293"/>
      <c r="K26" s="294"/>
      <c r="L26" s="112"/>
      <c r="M26" s="174"/>
      <c r="N26" s="175"/>
      <c r="O26" s="174"/>
      <c r="P26" s="174"/>
      <c r="Q26" s="174"/>
      <c r="R26" s="174"/>
      <c r="S26" s="174"/>
      <c r="T26" s="174"/>
      <c r="U26" s="174"/>
    </row>
    <row r="27" spans="1:21" ht="15" customHeight="1" x14ac:dyDescent="0.2">
      <c r="A27" s="171"/>
      <c r="B27" s="171"/>
      <c r="C27" s="171"/>
      <c r="D27" s="171"/>
      <c r="E27" s="291"/>
      <c r="F27" s="291"/>
      <c r="G27" s="292"/>
      <c r="H27" s="109"/>
      <c r="I27" s="109"/>
      <c r="J27" s="293"/>
      <c r="K27" s="294"/>
      <c r="L27" s="112"/>
      <c r="M27" s="174"/>
      <c r="N27" s="175"/>
      <c r="O27" s="174"/>
      <c r="P27" s="174"/>
      <c r="Q27" s="174"/>
      <c r="R27" s="174"/>
      <c r="S27" s="174"/>
      <c r="T27" s="174"/>
      <c r="U27" s="174"/>
    </row>
    <row r="28" spans="1:21" ht="15" customHeight="1" x14ac:dyDescent="0.2">
      <c r="A28" s="171"/>
      <c r="B28" s="171"/>
      <c r="C28" s="171"/>
      <c r="D28" s="171"/>
      <c r="E28" s="291"/>
      <c r="F28" s="291"/>
      <c r="G28" s="292"/>
      <c r="H28" s="109"/>
      <c r="I28" s="109"/>
      <c r="J28" s="293"/>
      <c r="K28" s="294"/>
      <c r="L28" s="112"/>
      <c r="M28" s="174"/>
      <c r="N28" s="175"/>
      <c r="O28" s="174"/>
      <c r="P28" s="174"/>
      <c r="Q28" s="174"/>
      <c r="R28" s="174"/>
      <c r="S28" s="174"/>
      <c r="T28" s="174"/>
      <c r="U28" s="174"/>
    </row>
    <row r="29" spans="1:21" ht="15" customHeight="1" x14ac:dyDescent="0.2">
      <c r="A29" s="171"/>
      <c r="B29" s="171"/>
      <c r="C29" s="171"/>
      <c r="D29" s="171"/>
      <c r="E29" s="291"/>
      <c r="F29" s="291"/>
      <c r="G29" s="292"/>
      <c r="H29" s="109"/>
      <c r="I29" s="109"/>
      <c r="J29" s="293"/>
      <c r="K29" s="294"/>
      <c r="L29" s="112"/>
      <c r="M29" s="174"/>
      <c r="N29" s="175"/>
      <c r="O29" s="174"/>
      <c r="P29" s="174"/>
      <c r="Q29" s="174"/>
      <c r="R29" s="174"/>
      <c r="S29" s="174"/>
      <c r="T29" s="174"/>
      <c r="U29" s="174"/>
    </row>
    <row r="30" spans="1:21" ht="15" customHeight="1" x14ac:dyDescent="0.2">
      <c r="A30" s="171"/>
      <c r="B30" s="171"/>
      <c r="C30" s="171"/>
      <c r="D30" s="171"/>
      <c r="E30" s="291"/>
      <c r="F30" s="291"/>
      <c r="G30" s="292"/>
      <c r="H30" s="109"/>
      <c r="I30" s="109"/>
      <c r="J30" s="293"/>
      <c r="K30" s="294"/>
      <c r="L30" s="112"/>
      <c r="M30" s="174"/>
      <c r="N30" s="175"/>
      <c r="O30" s="174"/>
      <c r="P30" s="174"/>
      <c r="Q30" s="174"/>
      <c r="R30" s="174"/>
      <c r="S30" s="174"/>
      <c r="T30" s="174"/>
      <c r="U30" s="174"/>
    </row>
    <row r="31" spans="1:21" ht="15" customHeight="1" x14ac:dyDescent="0.2">
      <c r="A31" s="171"/>
      <c r="B31" s="171"/>
      <c r="C31" s="171"/>
      <c r="D31" s="171"/>
      <c r="E31" s="291"/>
      <c r="F31" s="291"/>
      <c r="G31" s="292"/>
      <c r="H31" s="109"/>
      <c r="I31" s="109"/>
      <c r="J31" s="293"/>
      <c r="K31" s="294"/>
      <c r="L31" s="112"/>
      <c r="M31" s="174"/>
      <c r="N31" s="175"/>
      <c r="O31" s="174"/>
      <c r="P31" s="174"/>
      <c r="Q31" s="174"/>
      <c r="R31" s="174"/>
      <c r="S31" s="174"/>
      <c r="T31" s="174"/>
      <c r="U31" s="174"/>
    </row>
    <row r="32" spans="1:21" ht="15" customHeight="1" x14ac:dyDescent="0.2">
      <c r="A32" s="171"/>
      <c r="B32" s="171"/>
      <c r="C32" s="171"/>
      <c r="D32" s="171"/>
      <c r="E32" s="291"/>
      <c r="F32" s="291"/>
      <c r="G32" s="292"/>
      <c r="H32" s="109"/>
      <c r="I32" s="109"/>
      <c r="J32" s="293"/>
      <c r="K32" s="294"/>
      <c r="L32" s="112"/>
      <c r="M32" s="174"/>
      <c r="N32" s="175"/>
      <c r="O32" s="174"/>
      <c r="P32" s="174"/>
      <c r="Q32" s="174"/>
      <c r="R32" s="174"/>
      <c r="S32" s="174"/>
      <c r="T32" s="174"/>
      <c r="U32" s="174"/>
    </row>
    <row r="33" spans="1:21" ht="15" customHeight="1" x14ac:dyDescent="0.2">
      <c r="A33" s="171"/>
      <c r="B33" s="171"/>
      <c r="C33" s="171"/>
      <c r="D33" s="171"/>
      <c r="E33" s="291"/>
      <c r="F33" s="291"/>
      <c r="G33" s="292"/>
      <c r="H33" s="109"/>
      <c r="I33" s="109"/>
      <c r="J33" s="293"/>
      <c r="K33" s="294"/>
      <c r="L33" s="112"/>
      <c r="M33" s="174"/>
      <c r="N33" s="175"/>
      <c r="O33" s="174"/>
      <c r="P33" s="174"/>
      <c r="Q33" s="174"/>
      <c r="R33" s="174"/>
      <c r="S33" s="174"/>
      <c r="T33" s="174"/>
      <c r="U33" s="174"/>
    </row>
    <row r="34" spans="1:21" ht="15" customHeight="1" x14ac:dyDescent="0.2">
      <c r="A34" s="171"/>
      <c r="B34" s="171"/>
      <c r="C34" s="171"/>
      <c r="D34" s="171"/>
      <c r="E34" s="291"/>
      <c r="F34" s="291"/>
      <c r="G34" s="292"/>
      <c r="H34" s="109"/>
      <c r="I34" s="109"/>
      <c r="J34" s="293"/>
      <c r="K34" s="294"/>
      <c r="L34" s="112"/>
      <c r="M34" s="174"/>
      <c r="N34" s="175"/>
      <c r="O34" s="174"/>
      <c r="P34" s="174"/>
      <c r="Q34" s="174"/>
      <c r="R34" s="174"/>
      <c r="S34" s="174"/>
      <c r="T34" s="174"/>
      <c r="U34" s="174"/>
    </row>
    <row r="35" spans="1:21" ht="15" customHeight="1" x14ac:dyDescent="0.2">
      <c r="A35" s="171"/>
      <c r="B35" s="171"/>
      <c r="C35" s="171"/>
      <c r="D35" s="171"/>
      <c r="E35" s="291"/>
      <c r="F35" s="291"/>
      <c r="G35" s="292"/>
      <c r="H35" s="109"/>
      <c r="I35" s="109"/>
      <c r="J35" s="293"/>
      <c r="K35" s="294"/>
      <c r="L35" s="112"/>
      <c r="M35" s="174"/>
      <c r="N35" s="175"/>
      <c r="O35" s="174"/>
      <c r="P35" s="174"/>
      <c r="Q35" s="174"/>
      <c r="R35" s="174"/>
      <c r="S35" s="174"/>
      <c r="T35" s="174"/>
      <c r="U35" s="174"/>
    </row>
    <row r="36" spans="1:21" ht="15" customHeight="1" x14ac:dyDescent="0.2">
      <c r="A36" s="171"/>
      <c r="B36" s="171"/>
      <c r="C36" s="171"/>
      <c r="D36" s="171"/>
      <c r="E36" s="291"/>
      <c r="F36" s="291"/>
      <c r="G36" s="292"/>
      <c r="H36" s="109"/>
      <c r="I36" s="109"/>
      <c r="J36" s="293"/>
      <c r="K36" s="294"/>
      <c r="L36" s="112"/>
      <c r="M36" s="174"/>
      <c r="N36" s="175"/>
      <c r="O36" s="174"/>
      <c r="P36" s="174"/>
      <c r="Q36" s="174"/>
      <c r="R36" s="174"/>
      <c r="S36" s="174"/>
      <c r="T36" s="174"/>
      <c r="U36" s="174"/>
    </row>
    <row r="37" spans="1:21" ht="15" customHeight="1" x14ac:dyDescent="0.2">
      <c r="A37" s="171"/>
      <c r="B37" s="171"/>
      <c r="C37" s="171"/>
      <c r="D37" s="171"/>
      <c r="E37" s="291"/>
      <c r="F37" s="291"/>
      <c r="G37" s="292"/>
      <c r="H37" s="109"/>
      <c r="I37" s="109"/>
      <c r="J37" s="293"/>
      <c r="K37" s="294"/>
      <c r="L37" s="112"/>
      <c r="M37" s="174"/>
      <c r="N37" s="175"/>
      <c r="O37" s="174"/>
      <c r="P37" s="174"/>
      <c r="Q37" s="174"/>
      <c r="R37" s="174"/>
      <c r="S37" s="174"/>
      <c r="T37" s="174"/>
      <c r="U37" s="174"/>
    </row>
    <row r="38" spans="1:21" ht="15" customHeight="1" x14ac:dyDescent="0.2">
      <c r="A38" s="171"/>
      <c r="B38" s="171"/>
      <c r="C38" s="171"/>
      <c r="D38" s="171"/>
      <c r="E38" s="291"/>
      <c r="F38" s="291"/>
      <c r="G38" s="292"/>
      <c r="H38" s="109"/>
      <c r="I38" s="109"/>
      <c r="J38" s="293"/>
      <c r="K38" s="294"/>
      <c r="L38" s="112"/>
      <c r="M38" s="174"/>
      <c r="N38" s="175"/>
      <c r="O38" s="174"/>
      <c r="P38" s="174"/>
      <c r="Q38" s="174"/>
      <c r="R38" s="174"/>
      <c r="S38" s="174"/>
      <c r="T38" s="174"/>
      <c r="U38" s="174"/>
    </row>
    <row r="39" spans="1:21" ht="15" customHeight="1" x14ac:dyDescent="0.2">
      <c r="A39" s="171"/>
      <c r="B39" s="171"/>
      <c r="C39" s="171"/>
      <c r="D39" s="171"/>
      <c r="E39" s="291"/>
      <c r="F39" s="291"/>
      <c r="G39" s="292"/>
      <c r="H39" s="109"/>
      <c r="I39" s="109"/>
      <c r="J39" s="293"/>
      <c r="K39" s="294"/>
      <c r="L39" s="112"/>
      <c r="M39" s="174"/>
      <c r="N39" s="175"/>
      <c r="O39" s="174"/>
      <c r="P39" s="174"/>
      <c r="Q39" s="174"/>
      <c r="R39" s="174"/>
      <c r="S39" s="174"/>
      <c r="T39" s="174"/>
      <c r="U39" s="174"/>
    </row>
    <row r="40" spans="1:21" ht="15" customHeight="1" x14ac:dyDescent="0.2">
      <c r="A40" s="171"/>
      <c r="B40" s="171"/>
      <c r="C40" s="171"/>
      <c r="D40" s="171"/>
      <c r="E40" s="291"/>
      <c r="F40" s="291"/>
      <c r="G40" s="292"/>
      <c r="H40" s="109"/>
      <c r="I40" s="109"/>
      <c r="J40" s="293"/>
      <c r="K40" s="294"/>
      <c r="L40" s="112"/>
      <c r="M40" s="174"/>
      <c r="N40" s="175"/>
      <c r="O40" s="174"/>
      <c r="P40" s="174"/>
      <c r="Q40" s="174"/>
      <c r="R40" s="174"/>
      <c r="S40" s="174"/>
      <c r="T40" s="174"/>
      <c r="U40" s="174"/>
    </row>
    <row r="41" spans="1:21" ht="15" customHeight="1" x14ac:dyDescent="0.2">
      <c r="A41" s="171"/>
      <c r="B41" s="171"/>
      <c r="C41" s="171"/>
      <c r="D41" s="171"/>
      <c r="E41" s="291"/>
      <c r="F41" s="291"/>
      <c r="G41" s="292"/>
      <c r="H41" s="109"/>
      <c r="I41" s="109"/>
      <c r="J41" s="293"/>
      <c r="K41" s="294"/>
      <c r="L41" s="112"/>
      <c r="M41" s="174"/>
      <c r="N41" s="175"/>
      <c r="O41" s="174"/>
      <c r="P41" s="174"/>
      <c r="Q41" s="174"/>
      <c r="R41" s="174"/>
      <c r="S41" s="174"/>
      <c r="T41" s="174"/>
      <c r="U41" s="174"/>
    </row>
    <row r="42" spans="1:21" ht="15" customHeight="1" x14ac:dyDescent="0.2">
      <c r="A42" s="171"/>
      <c r="B42" s="171"/>
      <c r="C42" s="171"/>
      <c r="D42" s="171"/>
      <c r="E42" s="291"/>
      <c r="F42" s="291"/>
      <c r="G42" s="292"/>
      <c r="H42" s="109"/>
      <c r="I42" s="109"/>
      <c r="J42" s="293"/>
      <c r="K42" s="294"/>
      <c r="L42" s="112"/>
      <c r="M42" s="174"/>
      <c r="N42" s="175"/>
      <c r="O42" s="174"/>
      <c r="P42" s="174"/>
      <c r="Q42" s="174"/>
      <c r="R42" s="174"/>
      <c r="S42" s="174"/>
      <c r="T42" s="174"/>
      <c r="U42" s="174"/>
    </row>
    <row r="43" spans="1:21" ht="15" customHeight="1" x14ac:dyDescent="0.2">
      <c r="A43" s="171"/>
      <c r="B43" s="171"/>
      <c r="C43" s="171"/>
      <c r="D43" s="171"/>
      <c r="E43" s="291"/>
      <c r="F43" s="291"/>
      <c r="G43" s="292"/>
      <c r="H43" s="109"/>
      <c r="I43" s="109"/>
      <c r="J43" s="293"/>
      <c r="K43" s="294"/>
      <c r="L43" s="112"/>
      <c r="M43" s="174"/>
      <c r="N43" s="175"/>
      <c r="O43" s="174"/>
      <c r="P43" s="174"/>
      <c r="Q43" s="174"/>
      <c r="R43" s="174"/>
      <c r="S43" s="174"/>
      <c r="T43" s="174"/>
      <c r="U43" s="174"/>
    </row>
    <row r="44" spans="1:21" ht="15" customHeight="1" x14ac:dyDescent="0.2">
      <c r="A44" s="171"/>
      <c r="B44" s="171"/>
      <c r="C44" s="171"/>
      <c r="D44" s="171"/>
      <c r="E44" s="291"/>
      <c r="F44" s="291"/>
      <c r="G44" s="292"/>
      <c r="H44" s="109"/>
      <c r="I44" s="109"/>
      <c r="J44" s="293"/>
      <c r="K44" s="294"/>
      <c r="L44" s="112"/>
      <c r="M44" s="174"/>
      <c r="N44" s="175"/>
      <c r="O44" s="174"/>
      <c r="P44" s="174"/>
      <c r="Q44" s="174"/>
      <c r="R44" s="174"/>
      <c r="S44" s="174"/>
      <c r="T44" s="174"/>
      <c r="U44" s="174"/>
    </row>
    <row r="45" spans="1:21" ht="15" customHeight="1" x14ac:dyDescent="0.2">
      <c r="A45" s="171"/>
      <c r="B45" s="171"/>
      <c r="C45" s="171"/>
      <c r="D45" s="171"/>
      <c r="E45" s="291"/>
      <c r="F45" s="291"/>
      <c r="G45" s="292"/>
      <c r="H45" s="109"/>
      <c r="I45" s="109"/>
      <c r="J45" s="293"/>
      <c r="K45" s="294"/>
      <c r="L45" s="112"/>
      <c r="M45" s="174"/>
      <c r="N45" s="175"/>
      <c r="O45" s="174"/>
      <c r="P45" s="174"/>
      <c r="Q45" s="174"/>
      <c r="R45" s="174"/>
      <c r="S45" s="174"/>
      <c r="T45" s="174"/>
      <c r="U45" s="174"/>
    </row>
    <row r="46" spans="1:21" ht="15" customHeight="1" x14ac:dyDescent="0.2">
      <c r="A46" s="171"/>
      <c r="B46" s="171"/>
      <c r="C46" s="171"/>
      <c r="D46" s="171"/>
      <c r="E46" s="291"/>
      <c r="F46" s="291"/>
      <c r="G46" s="292"/>
      <c r="H46" s="109"/>
      <c r="I46" s="109"/>
      <c r="J46" s="293"/>
      <c r="K46" s="294"/>
      <c r="L46" s="112"/>
      <c r="M46" s="174"/>
      <c r="N46" s="175"/>
      <c r="O46" s="174"/>
      <c r="P46" s="174"/>
      <c r="Q46" s="174"/>
      <c r="R46" s="174"/>
      <c r="S46" s="174"/>
      <c r="T46" s="174"/>
      <c r="U46" s="174"/>
    </row>
    <row r="47" spans="1:21" ht="15" customHeight="1" x14ac:dyDescent="0.2">
      <c r="A47" s="171"/>
      <c r="B47" s="171"/>
      <c r="C47" s="171"/>
      <c r="D47" s="171"/>
      <c r="E47" s="291"/>
      <c r="F47" s="291"/>
      <c r="G47" s="292"/>
      <c r="H47" s="109"/>
      <c r="I47" s="109"/>
      <c r="J47" s="293"/>
      <c r="K47" s="294"/>
      <c r="L47" s="112"/>
      <c r="M47" s="174"/>
      <c r="N47" s="175"/>
      <c r="O47" s="174"/>
      <c r="P47" s="174"/>
      <c r="Q47" s="174"/>
      <c r="R47" s="174"/>
      <c r="S47" s="174"/>
      <c r="T47" s="174"/>
      <c r="U47" s="174"/>
    </row>
    <row r="48" spans="1:21" ht="15" customHeight="1" x14ac:dyDescent="0.2">
      <c r="A48" s="171"/>
      <c r="B48" s="171"/>
      <c r="C48" s="171"/>
      <c r="D48" s="171"/>
      <c r="E48" s="291"/>
      <c r="F48" s="291"/>
      <c r="G48" s="292"/>
      <c r="H48" s="109"/>
      <c r="I48" s="109"/>
      <c r="J48" s="293"/>
      <c r="K48" s="294"/>
      <c r="L48" s="112"/>
      <c r="M48" s="174"/>
      <c r="N48" s="175"/>
      <c r="O48" s="174"/>
      <c r="P48" s="174"/>
      <c r="Q48" s="174"/>
      <c r="R48" s="174"/>
      <c r="S48" s="174"/>
      <c r="T48" s="174"/>
      <c r="U48" s="174"/>
    </row>
    <row r="49" spans="1:21" ht="15" customHeight="1" x14ac:dyDescent="0.2">
      <c r="A49" s="171"/>
      <c r="B49" s="171"/>
      <c r="C49" s="171"/>
      <c r="D49" s="171"/>
      <c r="E49" s="291"/>
      <c r="F49" s="291"/>
      <c r="G49" s="292"/>
      <c r="H49" s="109"/>
      <c r="I49" s="109"/>
      <c r="J49" s="293"/>
      <c r="K49" s="294"/>
      <c r="L49" s="112"/>
      <c r="M49" s="174"/>
      <c r="N49" s="175"/>
      <c r="O49" s="174"/>
      <c r="P49" s="174"/>
      <c r="Q49" s="174"/>
      <c r="R49" s="174"/>
      <c r="S49" s="174"/>
      <c r="T49" s="174"/>
      <c r="U49" s="174"/>
    </row>
    <row r="50" spans="1:21" ht="15" customHeight="1" x14ac:dyDescent="0.2">
      <c r="A50" s="171"/>
      <c r="B50" s="171"/>
      <c r="C50" s="171"/>
      <c r="D50" s="171"/>
      <c r="E50" s="291"/>
      <c r="F50" s="291"/>
      <c r="G50" s="292"/>
      <c r="H50" s="109"/>
      <c r="I50" s="109"/>
      <c r="J50" s="293"/>
      <c r="K50" s="294"/>
      <c r="L50" s="112"/>
      <c r="M50" s="174"/>
      <c r="N50" s="175"/>
      <c r="O50" s="174"/>
      <c r="P50" s="174"/>
      <c r="Q50" s="174"/>
      <c r="R50" s="174"/>
      <c r="S50" s="174"/>
      <c r="T50" s="174"/>
      <c r="U50" s="174"/>
    </row>
    <row r="51" spans="1:21" ht="15" customHeight="1" x14ac:dyDescent="0.2">
      <c r="A51" s="171"/>
      <c r="B51" s="171"/>
      <c r="C51" s="171"/>
      <c r="D51" s="171"/>
      <c r="E51" s="291"/>
      <c r="F51" s="291"/>
      <c r="G51" s="292"/>
      <c r="H51" s="109"/>
      <c r="I51" s="109"/>
      <c r="J51" s="293"/>
      <c r="K51" s="294"/>
      <c r="L51" s="112"/>
      <c r="M51" s="174"/>
      <c r="N51" s="175"/>
      <c r="O51" s="174"/>
      <c r="P51" s="174"/>
      <c r="Q51" s="174"/>
      <c r="R51" s="174"/>
      <c r="S51" s="174"/>
      <c r="T51" s="174"/>
      <c r="U51" s="174"/>
    </row>
    <row r="52" spans="1:21" ht="15" customHeight="1" x14ac:dyDescent="0.2">
      <c r="A52" s="171"/>
      <c r="B52" s="171"/>
      <c r="C52" s="171"/>
      <c r="D52" s="171"/>
      <c r="E52" s="291"/>
      <c r="F52" s="291"/>
      <c r="G52" s="292"/>
      <c r="H52" s="109"/>
      <c r="I52" s="109"/>
      <c r="J52" s="293"/>
      <c r="K52" s="294"/>
      <c r="L52" s="112"/>
      <c r="M52" s="174"/>
      <c r="N52" s="175"/>
      <c r="O52" s="174"/>
      <c r="P52" s="174"/>
      <c r="Q52" s="174"/>
      <c r="R52" s="174"/>
      <c r="S52" s="174"/>
      <c r="T52" s="174"/>
      <c r="U52" s="174"/>
    </row>
    <row r="53" spans="1:21" ht="15" customHeight="1" x14ac:dyDescent="0.2">
      <c r="A53" s="171"/>
      <c r="B53" s="171"/>
      <c r="C53" s="171"/>
      <c r="D53" s="171"/>
      <c r="E53" s="291"/>
      <c r="F53" s="291"/>
      <c r="G53" s="292"/>
      <c r="H53" s="109"/>
      <c r="I53" s="109"/>
      <c r="J53" s="293"/>
      <c r="K53" s="294"/>
      <c r="L53" s="112"/>
      <c r="M53" s="174"/>
      <c r="N53" s="175"/>
      <c r="O53" s="174"/>
      <c r="P53" s="174"/>
      <c r="Q53" s="174"/>
      <c r="R53" s="174"/>
      <c r="S53" s="174"/>
      <c r="T53" s="174"/>
      <c r="U53" s="174"/>
    </row>
    <row r="54" spans="1:21" ht="15" customHeight="1" x14ac:dyDescent="0.2">
      <c r="A54" s="171"/>
      <c r="B54" s="171"/>
      <c r="C54" s="171"/>
      <c r="D54" s="171"/>
      <c r="E54" s="291"/>
      <c r="F54" s="291"/>
      <c r="G54" s="292"/>
      <c r="H54" s="109"/>
      <c r="I54" s="109"/>
      <c r="J54" s="293"/>
      <c r="K54" s="294"/>
      <c r="L54" s="112"/>
      <c r="M54" s="174"/>
      <c r="N54" s="175"/>
      <c r="O54" s="174"/>
      <c r="P54" s="174"/>
      <c r="Q54" s="174"/>
      <c r="R54" s="174"/>
      <c r="S54" s="174"/>
      <c r="T54" s="174"/>
      <c r="U54" s="174"/>
    </row>
    <row r="55" spans="1:21" ht="15" customHeight="1" x14ac:dyDescent="0.2">
      <c r="A55" s="171"/>
      <c r="B55" s="171"/>
      <c r="C55" s="171"/>
      <c r="D55" s="171"/>
      <c r="E55" s="291"/>
      <c r="F55" s="291"/>
      <c r="G55" s="292"/>
      <c r="H55" s="109"/>
      <c r="I55" s="109"/>
      <c r="J55" s="293"/>
      <c r="K55" s="294"/>
      <c r="L55" s="112"/>
      <c r="M55" s="174"/>
      <c r="N55" s="175"/>
      <c r="O55" s="174"/>
      <c r="P55" s="174"/>
      <c r="Q55" s="174"/>
      <c r="R55" s="174"/>
      <c r="S55" s="174"/>
      <c r="T55" s="174"/>
      <c r="U55" s="174"/>
    </row>
    <row r="56" spans="1:21" ht="15" customHeight="1" x14ac:dyDescent="0.2">
      <c r="A56" s="171"/>
      <c r="B56" s="171"/>
      <c r="C56" s="171"/>
      <c r="D56" s="171"/>
      <c r="E56" s="291"/>
      <c r="F56" s="291"/>
      <c r="G56" s="292"/>
      <c r="H56" s="109"/>
      <c r="I56" s="109"/>
      <c r="J56" s="293"/>
      <c r="K56" s="294"/>
      <c r="L56" s="112"/>
      <c r="M56" s="174"/>
      <c r="N56" s="175"/>
      <c r="O56" s="174"/>
      <c r="P56" s="174"/>
      <c r="Q56" s="174"/>
      <c r="R56" s="174"/>
      <c r="S56" s="174"/>
      <c r="T56" s="174"/>
      <c r="U56" s="174"/>
    </row>
    <row r="57" spans="1:21" ht="15" customHeight="1" x14ac:dyDescent="0.2">
      <c r="A57" s="171"/>
      <c r="B57" s="171"/>
      <c r="C57" s="171"/>
      <c r="D57" s="171"/>
      <c r="E57" s="291"/>
      <c r="F57" s="291"/>
      <c r="G57" s="292"/>
      <c r="H57" s="109"/>
      <c r="I57" s="109"/>
      <c r="J57" s="293"/>
      <c r="K57" s="294"/>
      <c r="L57" s="112"/>
      <c r="M57" s="174"/>
      <c r="N57" s="175"/>
      <c r="O57" s="174"/>
      <c r="P57" s="174"/>
      <c r="Q57" s="174"/>
      <c r="R57" s="174"/>
      <c r="S57" s="174"/>
      <c r="T57" s="174"/>
      <c r="U57" s="174"/>
    </row>
    <row r="58" spans="1:21" ht="15" customHeight="1" x14ac:dyDescent="0.2">
      <c r="A58" s="171"/>
      <c r="B58" s="171"/>
      <c r="C58" s="171"/>
      <c r="D58" s="171"/>
      <c r="E58" s="291"/>
      <c r="F58" s="291"/>
      <c r="G58" s="292"/>
      <c r="H58" s="109"/>
      <c r="I58" s="109"/>
      <c r="J58" s="293"/>
      <c r="K58" s="294"/>
      <c r="L58" s="112"/>
      <c r="M58" s="174"/>
      <c r="N58" s="175"/>
      <c r="O58" s="174"/>
      <c r="P58" s="174"/>
      <c r="Q58" s="174"/>
      <c r="R58" s="174"/>
      <c r="S58" s="174"/>
      <c r="T58" s="174"/>
      <c r="U58" s="174"/>
    </row>
    <row r="59" spans="1:21" ht="15" customHeight="1" x14ac:dyDescent="0.2">
      <c r="A59" s="171"/>
      <c r="B59" s="171"/>
      <c r="C59" s="171"/>
      <c r="D59" s="171"/>
      <c r="E59" s="291"/>
      <c r="F59" s="291"/>
      <c r="G59" s="292"/>
      <c r="H59" s="109"/>
      <c r="I59" s="109"/>
      <c r="J59" s="293"/>
      <c r="K59" s="294"/>
      <c r="L59" s="112"/>
      <c r="M59" s="174"/>
      <c r="N59" s="175"/>
      <c r="O59" s="174"/>
      <c r="P59" s="174"/>
      <c r="Q59" s="174"/>
      <c r="R59" s="174"/>
      <c r="S59" s="174"/>
      <c r="T59" s="174"/>
      <c r="U59" s="174"/>
    </row>
    <row r="60" spans="1:21" ht="15" customHeight="1" x14ac:dyDescent="0.2">
      <c r="A60" s="171"/>
      <c r="B60" s="171"/>
      <c r="C60" s="171"/>
      <c r="D60" s="171"/>
      <c r="E60" s="291"/>
      <c r="F60" s="291"/>
      <c r="G60" s="292"/>
      <c r="H60" s="109"/>
      <c r="I60" s="109"/>
      <c r="J60" s="293"/>
      <c r="K60" s="294"/>
      <c r="L60" s="112"/>
      <c r="M60" s="174"/>
      <c r="N60" s="175"/>
      <c r="O60" s="174"/>
      <c r="P60" s="174"/>
      <c r="Q60" s="174"/>
      <c r="R60" s="174"/>
      <c r="S60" s="174"/>
      <c r="T60" s="174"/>
      <c r="U60" s="174"/>
    </row>
    <row r="61" spans="1:21" ht="15" customHeight="1" x14ac:dyDescent="0.2">
      <c r="A61" s="171"/>
      <c r="B61" s="171"/>
      <c r="C61" s="171"/>
      <c r="D61" s="171"/>
      <c r="E61" s="291"/>
      <c r="F61" s="291"/>
      <c r="G61" s="292"/>
      <c r="H61" s="109"/>
      <c r="I61" s="109"/>
      <c r="J61" s="293"/>
      <c r="K61" s="294"/>
      <c r="L61" s="112"/>
      <c r="M61" s="174"/>
      <c r="N61" s="175"/>
      <c r="O61" s="174"/>
      <c r="P61" s="174"/>
      <c r="Q61" s="174"/>
      <c r="R61" s="174"/>
      <c r="S61" s="174"/>
      <c r="T61" s="174"/>
      <c r="U61" s="174"/>
    </row>
    <row r="62" spans="1:21" ht="15" customHeight="1" x14ac:dyDescent="0.2">
      <c r="A62" s="171"/>
      <c r="B62" s="171"/>
      <c r="C62" s="171"/>
      <c r="D62" s="171"/>
      <c r="E62" s="291"/>
      <c r="F62" s="291"/>
      <c r="G62" s="292"/>
      <c r="H62" s="109"/>
      <c r="I62" s="109"/>
      <c r="J62" s="293"/>
      <c r="K62" s="294"/>
      <c r="L62" s="112"/>
      <c r="M62" s="174"/>
      <c r="N62" s="175"/>
      <c r="O62" s="174"/>
      <c r="P62" s="174"/>
      <c r="Q62" s="174"/>
      <c r="R62" s="174"/>
      <c r="S62" s="174"/>
      <c r="T62" s="174"/>
      <c r="U62" s="174"/>
    </row>
    <row r="63" spans="1:21" ht="15" customHeight="1" x14ac:dyDescent="0.2">
      <c r="A63" s="171"/>
      <c r="B63" s="171"/>
      <c r="C63" s="171"/>
      <c r="D63" s="171"/>
      <c r="E63" s="291"/>
      <c r="F63" s="291"/>
      <c r="G63" s="292"/>
      <c r="H63" s="109"/>
      <c r="I63" s="109"/>
      <c r="J63" s="293"/>
      <c r="K63" s="294"/>
      <c r="L63" s="112"/>
      <c r="M63" s="174"/>
      <c r="N63" s="175"/>
      <c r="O63" s="174"/>
      <c r="P63" s="174"/>
      <c r="Q63" s="174"/>
      <c r="R63" s="174"/>
      <c r="S63" s="174"/>
      <c r="T63" s="174"/>
      <c r="U63" s="174"/>
    </row>
    <row r="64" spans="1:21" ht="15" customHeight="1" x14ac:dyDescent="0.2">
      <c r="A64" s="171"/>
      <c r="B64" s="171"/>
      <c r="C64" s="171"/>
      <c r="D64" s="171"/>
      <c r="E64" s="291"/>
      <c r="F64" s="291"/>
      <c r="G64" s="292"/>
      <c r="H64" s="109"/>
      <c r="I64" s="109"/>
      <c r="J64" s="293"/>
      <c r="K64" s="294"/>
      <c r="L64" s="112"/>
      <c r="M64" s="174"/>
      <c r="N64" s="175"/>
      <c r="O64" s="174"/>
      <c r="P64" s="174"/>
      <c r="Q64" s="174"/>
      <c r="R64" s="174"/>
      <c r="S64" s="174"/>
      <c r="T64" s="174"/>
      <c r="U64" s="174"/>
    </row>
    <row r="65" spans="1:21" ht="15" customHeight="1" x14ac:dyDescent="0.2">
      <c r="A65" s="171"/>
      <c r="B65" s="171"/>
      <c r="C65" s="171"/>
      <c r="D65" s="171"/>
      <c r="E65" s="291"/>
      <c r="F65" s="291"/>
      <c r="G65" s="292"/>
      <c r="H65" s="109"/>
      <c r="I65" s="109"/>
      <c r="J65" s="293"/>
      <c r="K65" s="294"/>
      <c r="L65" s="112"/>
      <c r="M65" s="174"/>
      <c r="N65" s="175"/>
      <c r="O65" s="174"/>
      <c r="P65" s="174"/>
      <c r="Q65" s="174"/>
      <c r="R65" s="174"/>
      <c r="S65" s="174"/>
      <c r="T65" s="174"/>
      <c r="U65" s="174"/>
    </row>
    <row r="66" spans="1:21" ht="15" customHeight="1" x14ac:dyDescent="0.2">
      <c r="A66" s="171"/>
      <c r="B66" s="171"/>
      <c r="C66" s="171"/>
      <c r="D66" s="171"/>
      <c r="E66" s="291"/>
      <c r="F66" s="291"/>
      <c r="G66" s="292"/>
      <c r="H66" s="109"/>
      <c r="I66" s="109"/>
      <c r="J66" s="293"/>
      <c r="K66" s="294"/>
      <c r="L66" s="112"/>
      <c r="M66" s="174"/>
      <c r="N66" s="175"/>
      <c r="O66" s="174"/>
      <c r="P66" s="174"/>
      <c r="Q66" s="174"/>
      <c r="R66" s="174"/>
      <c r="S66" s="174"/>
      <c r="T66" s="174"/>
      <c r="U66" s="174"/>
    </row>
    <row r="67" spans="1:21" ht="15" customHeight="1" x14ac:dyDescent="0.2">
      <c r="A67" s="171"/>
      <c r="B67" s="171"/>
      <c r="C67" s="171"/>
      <c r="D67" s="171"/>
      <c r="E67" s="291"/>
      <c r="F67" s="291"/>
      <c r="G67" s="292"/>
      <c r="H67" s="109"/>
      <c r="I67" s="109"/>
      <c r="J67" s="293"/>
      <c r="K67" s="294"/>
      <c r="L67" s="112"/>
      <c r="M67" s="174"/>
      <c r="N67" s="175"/>
      <c r="O67" s="174"/>
      <c r="P67" s="174"/>
      <c r="Q67" s="174"/>
      <c r="R67" s="174"/>
      <c r="S67" s="174"/>
      <c r="T67" s="174"/>
      <c r="U67" s="174"/>
    </row>
    <row r="68" spans="1:21" ht="15" customHeight="1" x14ac:dyDescent="0.2">
      <c r="A68" s="171"/>
      <c r="B68" s="171"/>
      <c r="C68" s="171"/>
      <c r="D68" s="171"/>
      <c r="E68" s="291"/>
      <c r="F68" s="291"/>
      <c r="G68" s="292"/>
      <c r="H68" s="109"/>
      <c r="I68" s="109"/>
      <c r="J68" s="293"/>
      <c r="K68" s="294"/>
      <c r="L68" s="112"/>
      <c r="M68" s="174"/>
      <c r="N68" s="175"/>
      <c r="O68" s="174"/>
      <c r="P68" s="174"/>
      <c r="Q68" s="174"/>
      <c r="R68" s="174"/>
      <c r="S68" s="174"/>
      <c r="T68" s="174"/>
      <c r="U68" s="174"/>
    </row>
    <row r="69" spans="1:21" ht="15" customHeight="1" x14ac:dyDescent="0.2">
      <c r="A69" s="171"/>
      <c r="B69" s="171"/>
      <c r="C69" s="171"/>
      <c r="D69" s="171"/>
      <c r="E69" s="291"/>
      <c r="F69" s="291"/>
      <c r="G69" s="292"/>
      <c r="H69" s="109"/>
      <c r="I69" s="109"/>
      <c r="J69" s="293"/>
      <c r="K69" s="294"/>
      <c r="L69" s="112"/>
      <c r="M69" s="174"/>
      <c r="N69" s="175"/>
      <c r="O69" s="174"/>
      <c r="P69" s="174"/>
      <c r="Q69" s="174"/>
      <c r="R69" s="174"/>
      <c r="S69" s="174"/>
      <c r="T69" s="174"/>
      <c r="U69" s="174"/>
    </row>
    <row r="70" spans="1:21" ht="15" customHeight="1" x14ac:dyDescent="0.2">
      <c r="A70" s="171"/>
      <c r="B70" s="171"/>
      <c r="C70" s="171"/>
      <c r="D70" s="171"/>
      <c r="E70" s="291"/>
      <c r="F70" s="291"/>
      <c r="G70" s="292"/>
      <c r="H70" s="109"/>
      <c r="I70" s="109"/>
      <c r="J70" s="293"/>
      <c r="K70" s="294"/>
      <c r="L70" s="112"/>
      <c r="M70" s="174"/>
      <c r="N70" s="175"/>
      <c r="O70" s="174"/>
      <c r="P70" s="174"/>
      <c r="Q70" s="174"/>
      <c r="R70" s="174"/>
      <c r="S70" s="174"/>
      <c r="T70" s="174"/>
      <c r="U70" s="174"/>
    </row>
    <row r="71" spans="1:21" ht="15" customHeight="1" x14ac:dyDescent="0.2">
      <c r="A71" s="171"/>
      <c r="B71" s="171"/>
      <c r="C71" s="171"/>
      <c r="D71" s="171"/>
      <c r="E71" s="291"/>
      <c r="F71" s="291"/>
      <c r="G71" s="292"/>
      <c r="H71" s="109"/>
      <c r="I71" s="109"/>
      <c r="J71" s="293"/>
      <c r="K71" s="294"/>
      <c r="L71" s="112"/>
      <c r="M71" s="174"/>
      <c r="N71" s="175"/>
      <c r="O71" s="174"/>
      <c r="P71" s="174"/>
      <c r="Q71" s="174"/>
      <c r="R71" s="174"/>
      <c r="S71" s="174"/>
      <c r="T71" s="174"/>
      <c r="U71" s="174"/>
    </row>
    <row r="72" spans="1:21" ht="15" customHeight="1" x14ac:dyDescent="0.2">
      <c r="A72" s="171"/>
      <c r="B72" s="171"/>
      <c r="C72" s="171"/>
      <c r="D72" s="171"/>
      <c r="E72" s="291"/>
      <c r="F72" s="291"/>
      <c r="G72" s="292"/>
      <c r="H72" s="109"/>
      <c r="I72" s="109"/>
      <c r="J72" s="293"/>
      <c r="K72" s="294"/>
      <c r="L72" s="112"/>
      <c r="M72" s="174"/>
      <c r="N72" s="175"/>
      <c r="O72" s="174"/>
      <c r="P72" s="174"/>
      <c r="Q72" s="174"/>
      <c r="R72" s="174"/>
      <c r="S72" s="174"/>
      <c r="T72" s="174"/>
      <c r="U72" s="174"/>
    </row>
    <row r="73" spans="1:21" ht="15" customHeight="1" x14ac:dyDescent="0.2">
      <c r="A73" s="171"/>
      <c r="B73" s="171"/>
      <c r="C73" s="171"/>
      <c r="D73" s="171"/>
      <c r="E73" s="291"/>
      <c r="F73" s="291"/>
      <c r="G73" s="292"/>
      <c r="H73" s="109"/>
      <c r="I73" s="109"/>
      <c r="J73" s="293"/>
      <c r="K73" s="294"/>
      <c r="L73" s="112"/>
      <c r="M73" s="174"/>
      <c r="N73" s="175"/>
      <c r="O73" s="174"/>
      <c r="P73" s="174"/>
      <c r="Q73" s="174"/>
      <c r="R73" s="174"/>
      <c r="S73" s="174"/>
      <c r="T73" s="174"/>
      <c r="U73" s="174"/>
    </row>
    <row r="74" spans="1:21" ht="15" customHeight="1" x14ac:dyDescent="0.2">
      <c r="A74" s="171"/>
      <c r="B74" s="171"/>
      <c r="C74" s="171"/>
      <c r="D74" s="171"/>
      <c r="E74" s="291"/>
      <c r="F74" s="291"/>
      <c r="G74" s="292"/>
      <c r="H74" s="109"/>
      <c r="I74" s="109"/>
      <c r="J74" s="293"/>
      <c r="K74" s="294"/>
      <c r="L74" s="112"/>
      <c r="M74" s="174"/>
      <c r="N74" s="175"/>
      <c r="O74" s="174"/>
      <c r="P74" s="174"/>
      <c r="Q74" s="174"/>
      <c r="R74" s="174"/>
      <c r="S74" s="174"/>
      <c r="T74" s="174"/>
      <c r="U74" s="174"/>
    </row>
    <row r="75" spans="1:21" ht="15" customHeight="1" x14ac:dyDescent="0.2">
      <c r="A75" s="171"/>
      <c r="B75" s="171"/>
      <c r="C75" s="171"/>
      <c r="D75" s="171"/>
      <c r="E75" s="291"/>
      <c r="F75" s="291"/>
      <c r="G75" s="292"/>
      <c r="H75" s="109"/>
      <c r="I75" s="109"/>
      <c r="J75" s="293"/>
      <c r="K75" s="294"/>
      <c r="L75" s="112"/>
      <c r="M75" s="174"/>
      <c r="N75" s="175"/>
      <c r="O75" s="174"/>
      <c r="P75" s="174"/>
      <c r="Q75" s="174"/>
      <c r="R75" s="174"/>
      <c r="S75" s="174"/>
      <c r="T75" s="174"/>
      <c r="U75" s="174"/>
    </row>
    <row r="76" spans="1:21" ht="15" customHeight="1" x14ac:dyDescent="0.2">
      <c r="A76" s="171"/>
      <c r="B76" s="171"/>
      <c r="C76" s="171"/>
      <c r="D76" s="171"/>
      <c r="E76" s="291"/>
      <c r="F76" s="291"/>
      <c r="G76" s="292"/>
      <c r="H76" s="109"/>
      <c r="I76" s="109"/>
      <c r="J76" s="293"/>
      <c r="K76" s="294"/>
      <c r="L76" s="112"/>
      <c r="M76" s="174"/>
      <c r="N76" s="175"/>
      <c r="O76" s="174"/>
      <c r="P76" s="174"/>
      <c r="Q76" s="174"/>
      <c r="R76" s="174"/>
      <c r="S76" s="174"/>
      <c r="T76" s="174"/>
      <c r="U76" s="174"/>
    </row>
    <row r="77" spans="1:21" ht="15" customHeight="1" x14ac:dyDescent="0.2">
      <c r="A77" s="171"/>
      <c r="B77" s="171"/>
      <c r="C77" s="171"/>
      <c r="D77" s="171"/>
      <c r="E77" s="291"/>
      <c r="F77" s="291"/>
      <c r="G77" s="292"/>
      <c r="H77" s="109"/>
      <c r="I77" s="109"/>
      <c r="J77" s="293"/>
      <c r="K77" s="294"/>
      <c r="L77" s="112"/>
      <c r="M77" s="174"/>
      <c r="N77" s="175"/>
      <c r="O77" s="174"/>
      <c r="P77" s="174"/>
      <c r="Q77" s="174"/>
      <c r="R77" s="174"/>
      <c r="S77" s="174"/>
      <c r="T77" s="174"/>
      <c r="U77" s="174"/>
    </row>
    <row r="78" spans="1:21" ht="15" customHeight="1" x14ac:dyDescent="0.2">
      <c r="A78" s="171"/>
      <c r="B78" s="171"/>
      <c r="C78" s="171"/>
      <c r="D78" s="171"/>
      <c r="E78" s="291"/>
      <c r="F78" s="291"/>
      <c r="G78" s="292"/>
      <c r="H78" s="109"/>
      <c r="I78" s="109"/>
      <c r="J78" s="293"/>
      <c r="K78" s="294"/>
      <c r="L78" s="112"/>
      <c r="M78" s="174"/>
      <c r="N78" s="175"/>
      <c r="O78" s="174"/>
      <c r="P78" s="174"/>
      <c r="Q78" s="174"/>
      <c r="R78" s="174"/>
      <c r="S78" s="174"/>
      <c r="T78" s="174"/>
      <c r="U78" s="174"/>
    </row>
    <row r="79" spans="1:21" ht="15" customHeight="1" x14ac:dyDescent="0.2">
      <c r="A79" s="171"/>
      <c r="B79" s="171"/>
      <c r="C79" s="171"/>
      <c r="D79" s="171"/>
      <c r="E79" s="291"/>
      <c r="F79" s="291"/>
      <c r="G79" s="292"/>
      <c r="H79" s="109"/>
      <c r="I79" s="109"/>
      <c r="J79" s="293"/>
      <c r="K79" s="294"/>
      <c r="L79" s="112"/>
      <c r="M79" s="174"/>
      <c r="N79" s="175"/>
      <c r="O79" s="174"/>
      <c r="P79" s="174"/>
      <c r="Q79" s="174"/>
      <c r="R79" s="174"/>
      <c r="S79" s="174"/>
      <c r="T79" s="174"/>
      <c r="U79" s="174"/>
    </row>
    <row r="80" spans="1:21" ht="15" customHeight="1" x14ac:dyDescent="0.2">
      <c r="A80" s="171"/>
      <c r="B80" s="171"/>
      <c r="C80" s="171"/>
      <c r="D80" s="171"/>
      <c r="E80" s="291"/>
      <c r="F80" s="291"/>
      <c r="G80" s="292"/>
      <c r="H80" s="109"/>
      <c r="I80" s="109"/>
      <c r="J80" s="293"/>
      <c r="K80" s="294"/>
      <c r="L80" s="112"/>
      <c r="M80" s="174"/>
      <c r="N80" s="175"/>
      <c r="O80" s="174"/>
      <c r="P80" s="174"/>
      <c r="Q80" s="174"/>
      <c r="R80" s="174"/>
      <c r="S80" s="174"/>
      <c r="T80" s="174"/>
      <c r="U80" s="174"/>
    </row>
    <row r="81" spans="1:16381" ht="15" customHeight="1" x14ac:dyDescent="0.2">
      <c r="A81" s="171"/>
      <c r="B81" s="171"/>
      <c r="C81" s="171"/>
      <c r="D81" s="171"/>
      <c r="E81" s="291"/>
      <c r="F81" s="291"/>
      <c r="G81" s="292"/>
      <c r="H81" s="109"/>
      <c r="I81" s="109"/>
      <c r="J81" s="293"/>
      <c r="K81" s="294"/>
      <c r="L81" s="112"/>
      <c r="M81" s="174"/>
      <c r="N81" s="175"/>
      <c r="O81" s="174"/>
      <c r="P81" s="174"/>
      <c r="Q81" s="174"/>
      <c r="R81" s="174"/>
      <c r="S81" s="174"/>
      <c r="T81" s="174"/>
      <c r="U81" s="174"/>
    </row>
    <row r="82" spans="1:16381" ht="15" customHeight="1" x14ac:dyDescent="0.2">
      <c r="A82" s="171"/>
      <c r="B82" s="171"/>
      <c r="C82" s="171"/>
      <c r="D82" s="171"/>
      <c r="E82" s="291"/>
      <c r="F82" s="291"/>
      <c r="G82" s="292"/>
      <c r="H82" s="109"/>
      <c r="I82" s="109"/>
      <c r="J82" s="293"/>
      <c r="K82" s="294"/>
      <c r="L82" s="112"/>
      <c r="M82" s="174"/>
      <c r="N82" s="175"/>
      <c r="O82" s="174"/>
      <c r="P82" s="174"/>
      <c r="Q82" s="174"/>
      <c r="R82" s="174"/>
      <c r="S82" s="174"/>
      <c r="T82" s="174"/>
      <c r="U82" s="174"/>
    </row>
    <row r="83" spans="1:16381" ht="15" customHeight="1" x14ac:dyDescent="0.2">
      <c r="A83" s="171"/>
      <c r="B83" s="171"/>
      <c r="C83" s="171"/>
      <c r="D83" s="171"/>
      <c r="E83" s="291"/>
      <c r="F83" s="291"/>
      <c r="G83" s="292"/>
      <c r="H83" s="109"/>
      <c r="I83" s="109"/>
      <c r="J83" s="293"/>
      <c r="K83" s="294"/>
      <c r="L83" s="112"/>
      <c r="M83" s="174"/>
      <c r="N83" s="175"/>
      <c r="O83" s="174"/>
      <c r="P83" s="174"/>
      <c r="Q83" s="174"/>
      <c r="R83" s="174"/>
      <c r="S83" s="174"/>
      <c r="T83" s="174"/>
      <c r="U83" s="174"/>
    </row>
    <row r="84" spans="1:16381" ht="15" customHeight="1" x14ac:dyDescent="0.2">
      <c r="A84" s="171"/>
      <c r="B84" s="171"/>
      <c r="C84" s="171"/>
      <c r="D84" s="171"/>
      <c r="E84" s="291"/>
      <c r="F84" s="291"/>
      <c r="G84" s="292"/>
      <c r="H84" s="109"/>
      <c r="I84" s="109"/>
      <c r="J84" s="293"/>
      <c r="K84" s="294"/>
      <c r="L84" s="112"/>
      <c r="M84" s="174"/>
      <c r="N84" s="175"/>
      <c r="O84" s="174"/>
      <c r="P84" s="174"/>
      <c r="Q84" s="174"/>
      <c r="R84" s="174"/>
      <c r="S84" s="174"/>
      <c r="T84" s="174"/>
      <c r="U84" s="174"/>
    </row>
    <row r="85" spans="1:16381" ht="15" customHeight="1" x14ac:dyDescent="0.2">
      <c r="A85" s="171"/>
      <c r="B85" s="171"/>
      <c r="C85" s="171"/>
      <c r="D85" s="171"/>
      <c r="E85" s="291"/>
      <c r="F85" s="291"/>
      <c r="G85" s="292"/>
      <c r="H85" s="109"/>
      <c r="I85" s="109"/>
      <c r="J85" s="293"/>
      <c r="K85" s="294"/>
      <c r="L85" s="112"/>
      <c r="M85" s="174"/>
      <c r="N85" s="175"/>
      <c r="O85" s="174"/>
      <c r="P85" s="174"/>
      <c r="Q85" s="174"/>
      <c r="R85" s="174"/>
      <c r="S85" s="174"/>
      <c r="T85" s="174"/>
      <c r="U85" s="174"/>
    </row>
    <row r="86" spans="1:16381" ht="15" customHeight="1" x14ac:dyDescent="0.2">
      <c r="A86" s="171"/>
      <c r="B86" s="171"/>
      <c r="C86" s="171"/>
      <c r="D86" s="171"/>
      <c r="E86" s="291"/>
      <c r="F86" s="291"/>
      <c r="G86" s="292"/>
      <c r="H86" s="109"/>
      <c r="I86" s="109"/>
      <c r="J86" s="293"/>
      <c r="K86" s="294"/>
      <c r="L86" s="112"/>
      <c r="M86" s="174"/>
      <c r="N86" s="175"/>
      <c r="O86" s="174"/>
      <c r="P86" s="174"/>
      <c r="Q86" s="174"/>
      <c r="R86" s="174"/>
      <c r="S86" s="174"/>
      <c r="T86" s="174"/>
      <c r="U86" s="174"/>
    </row>
    <row r="87" spans="1:16381" ht="15" customHeight="1" x14ac:dyDescent="0.2">
      <c r="A87" s="171"/>
      <c r="B87" s="171"/>
      <c r="C87" s="171"/>
      <c r="D87" s="171"/>
      <c r="E87" s="291"/>
      <c r="F87" s="291"/>
      <c r="G87" s="292"/>
      <c r="H87" s="109"/>
      <c r="I87" s="109"/>
      <c r="J87" s="293"/>
      <c r="K87" s="294"/>
      <c r="L87" s="112"/>
      <c r="M87" s="174"/>
      <c r="N87" s="175"/>
      <c r="O87" s="174"/>
      <c r="P87" s="174"/>
      <c r="Q87" s="174"/>
      <c r="R87" s="174"/>
      <c r="S87" s="174"/>
      <c r="T87" s="174"/>
      <c r="U87" s="174"/>
    </row>
    <row r="88" spans="1:16381" ht="15" customHeight="1" x14ac:dyDescent="0.2">
      <c r="A88" s="171"/>
      <c r="B88" s="171"/>
      <c r="C88" s="171"/>
      <c r="D88" s="171"/>
      <c r="E88" s="291"/>
      <c r="F88" s="291"/>
      <c r="G88" s="292"/>
      <c r="H88" s="109"/>
      <c r="I88" s="109"/>
      <c r="J88" s="293"/>
      <c r="K88" s="294"/>
      <c r="L88" s="112"/>
      <c r="M88" s="174"/>
      <c r="N88" s="175"/>
      <c r="O88" s="174"/>
      <c r="P88" s="174"/>
      <c r="Q88" s="174"/>
      <c r="R88" s="174"/>
      <c r="S88" s="174"/>
      <c r="T88" s="174"/>
      <c r="U88" s="174"/>
    </row>
    <row r="89" spans="1:16381" ht="15" customHeight="1" x14ac:dyDescent="0.2">
      <c r="A89" s="171"/>
      <c r="B89" s="171"/>
      <c r="C89" s="171"/>
      <c r="D89" s="171"/>
      <c r="E89" s="291"/>
      <c r="F89" s="291"/>
      <c r="G89" s="292"/>
      <c r="H89" s="109"/>
      <c r="I89" s="109"/>
      <c r="J89" s="293"/>
      <c r="K89" s="294"/>
      <c r="L89" s="112"/>
      <c r="M89" s="174"/>
      <c r="N89" s="175"/>
      <c r="O89" s="174"/>
      <c r="P89" s="174"/>
      <c r="Q89" s="174"/>
      <c r="R89" s="174"/>
      <c r="S89" s="174"/>
      <c r="T89" s="174"/>
      <c r="U89" s="174"/>
    </row>
    <row r="90" spans="1:16381" ht="15" customHeight="1" x14ac:dyDescent="0.2">
      <c r="A90" s="171"/>
      <c r="B90" s="171"/>
      <c r="C90" s="171"/>
      <c r="D90" s="171"/>
      <c r="E90" s="291"/>
      <c r="F90" s="291"/>
      <c r="G90" s="292"/>
      <c r="H90" s="109"/>
      <c r="I90" s="109"/>
      <c r="J90" s="293"/>
      <c r="K90" s="294"/>
      <c r="L90" s="112"/>
      <c r="M90" s="174"/>
      <c r="N90" s="175"/>
      <c r="O90" s="174"/>
      <c r="P90" s="174"/>
      <c r="Q90" s="174"/>
      <c r="R90" s="174"/>
      <c r="S90" s="174"/>
      <c r="T90" s="174"/>
      <c r="U90" s="174"/>
    </row>
    <row r="91" spans="1:16381" ht="15" customHeight="1" x14ac:dyDescent="0.2">
      <c r="A91" s="171"/>
      <c r="B91" s="171"/>
      <c r="C91" s="171"/>
      <c r="D91" s="171"/>
      <c r="E91" s="291"/>
      <c r="F91" s="291"/>
      <c r="G91" s="292"/>
      <c r="H91" s="109"/>
      <c r="I91" s="109"/>
      <c r="J91" s="293"/>
      <c r="K91" s="294"/>
      <c r="L91" s="112"/>
      <c r="M91" s="174"/>
      <c r="N91" s="175"/>
      <c r="O91" s="174"/>
      <c r="P91" s="174"/>
      <c r="Q91" s="174"/>
      <c r="R91" s="174"/>
      <c r="S91" s="174"/>
      <c r="T91" s="174"/>
      <c r="U91" s="174"/>
    </row>
    <row r="92" spans="1:16381" ht="15" customHeight="1" x14ac:dyDescent="0.2">
      <c r="A92" s="171"/>
      <c r="B92" s="171"/>
      <c r="C92" s="171"/>
      <c r="D92" s="171"/>
      <c r="E92" s="291"/>
      <c r="F92" s="291"/>
      <c r="G92" s="292"/>
      <c r="H92" s="109"/>
      <c r="I92" s="109"/>
      <c r="J92" s="293"/>
      <c r="K92" s="294"/>
      <c r="L92" s="112"/>
      <c r="M92" s="174"/>
      <c r="N92" s="175"/>
      <c r="O92" s="174"/>
      <c r="P92" s="174"/>
      <c r="Q92" s="174"/>
      <c r="R92" s="174"/>
      <c r="S92" s="174"/>
      <c r="T92" s="174"/>
      <c r="U92" s="174"/>
    </row>
    <row r="93" spans="1:16381" ht="15" customHeight="1" x14ac:dyDescent="0.2">
      <c r="A93" s="171"/>
      <c r="B93" s="171"/>
      <c r="C93" s="171"/>
      <c r="D93" s="171"/>
      <c r="E93" s="291"/>
      <c r="F93" s="291"/>
      <c r="G93" s="292"/>
      <c r="H93" s="109"/>
      <c r="I93" s="109"/>
      <c r="J93" s="293"/>
      <c r="K93" s="294"/>
      <c r="L93" s="112"/>
      <c r="M93" s="174"/>
      <c r="N93" s="175"/>
      <c r="O93" s="174"/>
      <c r="P93" s="174"/>
      <c r="Q93" s="174"/>
      <c r="R93" s="174"/>
      <c r="S93" s="174"/>
      <c r="T93" s="174"/>
      <c r="U93" s="174"/>
    </row>
    <row r="94" spans="1:16381" ht="15" customHeight="1" x14ac:dyDescent="0.2">
      <c r="A94" s="171"/>
      <c r="B94" s="171"/>
      <c r="C94" s="171"/>
      <c r="D94" s="171"/>
      <c r="E94" s="291"/>
      <c r="F94" s="291"/>
      <c r="G94" s="292"/>
      <c r="H94" s="109"/>
      <c r="I94" s="109"/>
      <c r="J94" s="293"/>
      <c r="K94" s="294"/>
      <c r="L94" s="112"/>
      <c r="M94" s="174"/>
      <c r="N94" s="175"/>
      <c r="O94" s="174"/>
      <c r="P94" s="174"/>
      <c r="Q94" s="174"/>
      <c r="R94" s="174"/>
      <c r="S94" s="174"/>
      <c r="T94" s="174"/>
      <c r="U94" s="174"/>
    </row>
    <row r="95" spans="1:16381" ht="15" customHeight="1" x14ac:dyDescent="0.2">
      <c r="A95" s="299"/>
      <c r="B95" s="299"/>
      <c r="C95" s="299"/>
      <c r="D95" s="299"/>
      <c r="E95" s="300"/>
      <c r="F95" s="300"/>
      <c r="G95" s="301"/>
      <c r="H95" s="302"/>
      <c r="I95" s="302"/>
      <c r="J95" s="302"/>
      <c r="K95" s="305">
        <f>SUMPRODUCT(K3:K94,J3:J94)</f>
        <v>70</v>
      </c>
      <c r="L95" s="305">
        <f>SUM(L3:L94)</f>
        <v>13642.9</v>
      </c>
      <c r="M95" s="303"/>
      <c r="N95" s="304"/>
      <c r="O95" s="303"/>
      <c r="P95" s="303"/>
      <c r="Q95" s="303"/>
      <c r="R95" s="303"/>
      <c r="S95" s="303"/>
      <c r="T95" s="303"/>
      <c r="U95" s="303">
        <f>+L95/K95</f>
        <v>194.89857142857142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306" t="s">
        <v>15</v>
      </c>
      <c r="K97" s="307">
        <f>+K95/(310)</f>
        <v>0.22580645161290322</v>
      </c>
      <c r="L97" s="153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zoomScale="70" zoomScaleNormal="70" workbookViewId="0">
      <selection activeCell="A242" sqref="A242:Q242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6" t="s">
        <v>210</v>
      </c>
      <c r="D1" s="246" t="s">
        <v>211</v>
      </c>
      <c r="E1" s="246" t="s">
        <v>212</v>
      </c>
      <c r="F1" s="246" t="s">
        <v>213</v>
      </c>
      <c r="G1" s="246" t="s">
        <v>214</v>
      </c>
      <c r="H1" s="246" t="s">
        <v>215</v>
      </c>
      <c r="I1" s="246" t="s">
        <v>216</v>
      </c>
      <c r="J1" s="246" t="s">
        <v>217</v>
      </c>
      <c r="K1" s="246" t="s">
        <v>101</v>
      </c>
      <c r="L1" s="246" t="s">
        <v>218</v>
      </c>
      <c r="M1" s="246" t="s">
        <v>219</v>
      </c>
      <c r="N1" s="246" t="s">
        <v>220</v>
      </c>
      <c r="O1" s="246" t="s">
        <v>221</v>
      </c>
      <c r="P1" s="246" t="s">
        <v>222</v>
      </c>
      <c r="Q1" s="246" t="s">
        <v>223</v>
      </c>
      <c r="R1" s="246" t="s">
        <v>224</v>
      </c>
      <c r="S1" s="246" t="s">
        <v>225</v>
      </c>
      <c r="T1" s="246" t="s">
        <v>226</v>
      </c>
      <c r="U1" s="246" t="s">
        <v>227</v>
      </c>
      <c r="V1" s="246" t="s">
        <v>228</v>
      </c>
    </row>
    <row r="3" spans="1:22" x14ac:dyDescent="0.25">
      <c r="A3" t="s">
        <v>231</v>
      </c>
      <c r="B3" t="s">
        <v>230</v>
      </c>
      <c r="C3" s="241" t="s">
        <v>210</v>
      </c>
      <c r="D3" s="241" t="s">
        <v>211</v>
      </c>
      <c r="E3" s="241" t="s">
        <v>212</v>
      </c>
      <c r="F3" s="241" t="s">
        <v>213</v>
      </c>
      <c r="G3" s="241" t="s">
        <v>214</v>
      </c>
      <c r="H3" s="241" t="s">
        <v>215</v>
      </c>
      <c r="I3" s="241" t="s">
        <v>216</v>
      </c>
      <c r="J3" s="241" t="s">
        <v>217</v>
      </c>
      <c r="K3" s="241" t="s">
        <v>101</v>
      </c>
      <c r="L3" s="241" t="s">
        <v>218</v>
      </c>
      <c r="M3" s="241" t="s">
        <v>219</v>
      </c>
      <c r="N3" s="241" t="s">
        <v>220</v>
      </c>
      <c r="O3" s="241" t="s">
        <v>221</v>
      </c>
      <c r="P3" s="241" t="s">
        <v>222</v>
      </c>
      <c r="Q3" s="241" t="s">
        <v>223</v>
      </c>
      <c r="R3" s="241" t="s">
        <v>224</v>
      </c>
      <c r="S3" s="241" t="s">
        <v>225</v>
      </c>
      <c r="T3" s="241" t="s">
        <v>226</v>
      </c>
      <c r="U3" s="241" t="s">
        <v>228</v>
      </c>
      <c r="V3" s="241" t="s">
        <v>228</v>
      </c>
    </row>
    <row r="4" spans="1:22" x14ac:dyDescent="0.25">
      <c r="A4">
        <f>+U4</f>
        <v>1239</v>
      </c>
      <c r="B4" s="155">
        <f>IF(O4="PESO",VALUE(K4),K4*EERR!$D$2)</f>
        <v>363542</v>
      </c>
      <c r="C4" s="241" t="s">
        <v>490</v>
      </c>
      <c r="D4" s="241"/>
      <c r="E4" s="241" t="s">
        <v>205</v>
      </c>
      <c r="F4" s="241"/>
      <c r="G4" s="241" t="s">
        <v>254</v>
      </c>
      <c r="H4" s="242"/>
      <c r="I4" s="242"/>
      <c r="J4" s="242"/>
      <c r="K4" s="242">
        <v>363542</v>
      </c>
      <c r="L4" s="241"/>
      <c r="M4" s="242"/>
      <c r="N4" s="243"/>
      <c r="O4" s="244" t="s">
        <v>229</v>
      </c>
      <c r="P4" s="241"/>
      <c r="Q4" s="241" t="s">
        <v>407</v>
      </c>
      <c r="R4" s="241"/>
      <c r="S4" s="241"/>
      <c r="T4" s="241"/>
      <c r="U4" s="241">
        <v>1239</v>
      </c>
      <c r="V4" s="241"/>
    </row>
    <row r="5" spans="1:22" x14ac:dyDescent="0.25">
      <c r="A5">
        <f t="shared" ref="A5:A59" si="0">+U5</f>
        <v>1240</v>
      </c>
      <c r="B5" s="155">
        <f>IF(O5="PESO",VALUE(K5),K5*EERR!$D$2)</f>
        <v>8500</v>
      </c>
      <c r="C5" s="241" t="s">
        <v>491</v>
      </c>
      <c r="D5" s="241"/>
      <c r="E5" s="241" t="s">
        <v>205</v>
      </c>
      <c r="F5" s="241"/>
      <c r="G5" s="241" t="s">
        <v>254</v>
      </c>
      <c r="H5" s="242"/>
      <c r="I5" s="242"/>
      <c r="J5" s="242"/>
      <c r="K5" s="242">
        <v>8500</v>
      </c>
      <c r="L5" s="241"/>
      <c r="M5" s="242"/>
      <c r="N5" s="243"/>
      <c r="O5" s="244" t="s">
        <v>229</v>
      </c>
      <c r="P5" s="241"/>
      <c r="Q5" s="241" t="s">
        <v>492</v>
      </c>
      <c r="R5" s="241"/>
      <c r="S5" s="241"/>
      <c r="T5" s="241"/>
      <c r="U5" s="241">
        <v>1240</v>
      </c>
      <c r="V5" s="241"/>
    </row>
    <row r="6" spans="1:22" x14ac:dyDescent="0.25">
      <c r="A6" s="343">
        <f t="shared" si="0"/>
        <v>1241</v>
      </c>
      <c r="B6" s="345">
        <f>IF(O6="PESO",VALUE(K6),K6*EERR!$D$2)</f>
        <v>151810</v>
      </c>
      <c r="C6" s="346" t="s">
        <v>493</v>
      </c>
      <c r="D6" s="346"/>
      <c r="E6" s="346" t="s">
        <v>242</v>
      </c>
      <c r="F6" s="346"/>
      <c r="G6" s="346" t="s">
        <v>246</v>
      </c>
      <c r="H6" s="347"/>
      <c r="I6" s="347"/>
      <c r="J6" s="347"/>
      <c r="K6" s="347">
        <v>190</v>
      </c>
      <c r="L6" s="346"/>
      <c r="M6" s="347"/>
      <c r="N6" s="348"/>
      <c r="O6" s="349" t="s">
        <v>243</v>
      </c>
      <c r="P6" s="241"/>
      <c r="Q6" s="241" t="s">
        <v>494</v>
      </c>
      <c r="R6" s="241"/>
      <c r="S6" s="241"/>
      <c r="T6" s="241"/>
      <c r="U6" s="241">
        <v>1241</v>
      </c>
      <c r="V6" s="241"/>
    </row>
    <row r="7" spans="1:22" x14ac:dyDescent="0.25">
      <c r="A7">
        <f t="shared" si="0"/>
        <v>1242</v>
      </c>
      <c r="B7" s="155">
        <f>IF(O7="PESO",VALUE(K7),K7*EERR!$D$2)</f>
        <v>175340.55</v>
      </c>
      <c r="C7" s="241" t="s">
        <v>495</v>
      </c>
      <c r="D7" s="241"/>
      <c r="E7" s="241" t="s">
        <v>242</v>
      </c>
      <c r="F7" s="241"/>
      <c r="G7" s="241" t="s">
        <v>246</v>
      </c>
      <c r="H7" s="242"/>
      <c r="I7" s="242"/>
      <c r="J7" s="242"/>
      <c r="K7" s="242">
        <v>219.45</v>
      </c>
      <c r="L7" s="241"/>
      <c r="M7" s="242"/>
      <c r="N7" s="243"/>
      <c r="O7" s="244" t="s">
        <v>243</v>
      </c>
      <c r="P7" s="241"/>
      <c r="Q7" s="241" t="s">
        <v>496</v>
      </c>
      <c r="R7" s="241"/>
      <c r="S7" s="241"/>
      <c r="T7" s="241"/>
      <c r="U7" s="241">
        <v>1242</v>
      </c>
      <c r="V7" s="241"/>
    </row>
    <row r="8" spans="1:22" x14ac:dyDescent="0.25">
      <c r="A8">
        <f t="shared" si="0"/>
        <v>1242</v>
      </c>
      <c r="B8" s="155">
        <f>IF(O8="PESO",VALUE(K8),K8*EERR!$D$2)</f>
        <v>175340.55</v>
      </c>
      <c r="C8" s="241" t="s">
        <v>495</v>
      </c>
      <c r="D8" s="241"/>
      <c r="E8" s="241" t="s">
        <v>242</v>
      </c>
      <c r="F8" s="241"/>
      <c r="G8" s="241" t="s">
        <v>246</v>
      </c>
      <c r="H8" s="242"/>
      <c r="I8" s="242"/>
      <c r="J8" s="242"/>
      <c r="K8" s="242">
        <v>219.45</v>
      </c>
      <c r="L8" s="241"/>
      <c r="M8" s="242"/>
      <c r="N8" s="243"/>
      <c r="O8" s="244" t="s">
        <v>243</v>
      </c>
      <c r="P8" s="241"/>
      <c r="Q8" s="241" t="s">
        <v>496</v>
      </c>
      <c r="R8" s="241"/>
      <c r="S8" s="241"/>
      <c r="T8" s="241"/>
      <c r="U8" s="241">
        <v>1242</v>
      </c>
      <c r="V8" s="241"/>
    </row>
    <row r="9" spans="1:22" x14ac:dyDescent="0.25">
      <c r="A9">
        <f t="shared" si="0"/>
        <v>1243</v>
      </c>
      <c r="B9" s="155">
        <f>IF(O9="PESO",VALUE(K9),K9*EERR!$D$2)</f>
        <v>150635.47</v>
      </c>
      <c r="C9" s="241" t="s">
        <v>497</v>
      </c>
      <c r="D9" s="241"/>
      <c r="E9" s="241" t="s">
        <v>242</v>
      </c>
      <c r="F9" s="241"/>
      <c r="G9" s="241" t="s">
        <v>246</v>
      </c>
      <c r="H9" s="242"/>
      <c r="I9" s="242"/>
      <c r="J9" s="242"/>
      <c r="K9" s="242">
        <v>188.53</v>
      </c>
      <c r="L9" s="241"/>
      <c r="M9" s="242"/>
      <c r="N9" s="243"/>
      <c r="O9" s="244" t="s">
        <v>243</v>
      </c>
      <c r="P9" s="241"/>
      <c r="Q9" s="241" t="s">
        <v>498</v>
      </c>
      <c r="R9" s="241"/>
      <c r="S9" s="241"/>
      <c r="T9" s="241"/>
      <c r="U9" s="241">
        <v>1243</v>
      </c>
      <c r="V9" s="241"/>
    </row>
    <row r="10" spans="1:22" x14ac:dyDescent="0.25">
      <c r="A10">
        <f t="shared" si="0"/>
        <v>1243</v>
      </c>
      <c r="B10" s="155">
        <f>IF(O10="PESO",VALUE(K10),K10*EERR!$D$2)</f>
        <v>150635.47</v>
      </c>
      <c r="C10" s="241" t="s">
        <v>497</v>
      </c>
      <c r="D10" s="241"/>
      <c r="E10" s="241" t="s">
        <v>242</v>
      </c>
      <c r="F10" s="241"/>
      <c r="G10" s="241" t="s">
        <v>246</v>
      </c>
      <c r="H10" s="242"/>
      <c r="I10" s="242"/>
      <c r="J10" s="242"/>
      <c r="K10" s="242">
        <v>188.53</v>
      </c>
      <c r="L10" s="241"/>
      <c r="M10" s="242"/>
      <c r="N10" s="243"/>
      <c r="O10" s="244" t="s">
        <v>243</v>
      </c>
      <c r="P10" s="241"/>
      <c r="Q10" s="241" t="s">
        <v>498</v>
      </c>
      <c r="R10" s="241"/>
      <c r="S10" s="241"/>
      <c r="T10" s="241"/>
      <c r="U10" s="241">
        <v>1243</v>
      </c>
      <c r="V10" s="241"/>
    </row>
    <row r="11" spans="1:22" x14ac:dyDescent="0.25">
      <c r="A11">
        <f t="shared" si="0"/>
        <v>1244</v>
      </c>
      <c r="B11" s="155">
        <f>IF(O11="PESO",VALUE(K11),K11*EERR!$D$2)</f>
        <v>198862</v>
      </c>
      <c r="C11" s="241" t="s">
        <v>499</v>
      </c>
      <c r="D11" s="241"/>
      <c r="E11" s="241" t="s">
        <v>205</v>
      </c>
      <c r="F11" s="241"/>
      <c r="G11" s="241" t="s">
        <v>254</v>
      </c>
      <c r="H11" s="242"/>
      <c r="I11" s="242"/>
      <c r="J11" s="242"/>
      <c r="K11" s="242">
        <v>198862</v>
      </c>
      <c r="L11" s="241"/>
      <c r="M11" s="242"/>
      <c r="N11" s="243"/>
      <c r="O11" s="244" t="s">
        <v>229</v>
      </c>
      <c r="P11" s="241"/>
      <c r="Q11" s="241" t="s">
        <v>500</v>
      </c>
      <c r="R11" s="241"/>
      <c r="S11" s="241"/>
      <c r="T11" s="241"/>
      <c r="U11" s="241">
        <v>1244</v>
      </c>
      <c r="V11" s="241"/>
    </row>
    <row r="12" spans="1:22" x14ac:dyDescent="0.25">
      <c r="A12">
        <f t="shared" si="0"/>
        <v>1245</v>
      </c>
      <c r="B12" s="155">
        <f>IF(O12="PESO",VALUE(K12),K12*EERR!$D$2)</f>
        <v>157810.49</v>
      </c>
      <c r="C12" s="241" t="s">
        <v>501</v>
      </c>
      <c r="D12" s="241"/>
      <c r="E12" s="241" t="s">
        <v>242</v>
      </c>
      <c r="F12" s="241"/>
      <c r="G12" s="241" t="s">
        <v>246</v>
      </c>
      <c r="H12" s="242"/>
      <c r="I12" s="242"/>
      <c r="J12" s="242"/>
      <c r="K12" s="242">
        <v>197.51</v>
      </c>
      <c r="L12" s="241"/>
      <c r="M12" s="242"/>
      <c r="N12" s="243"/>
      <c r="O12" s="244" t="s">
        <v>243</v>
      </c>
      <c r="P12" s="241"/>
      <c r="Q12" s="241" t="s">
        <v>502</v>
      </c>
      <c r="R12" s="241"/>
      <c r="S12" s="241"/>
      <c r="T12" s="241"/>
      <c r="U12" s="241">
        <v>1245</v>
      </c>
      <c r="V12" s="241"/>
    </row>
    <row r="13" spans="1:22" x14ac:dyDescent="0.25">
      <c r="A13">
        <f t="shared" si="0"/>
        <v>1246</v>
      </c>
      <c r="B13" s="155">
        <f>IF(O13="PESO",VALUE(K13),K13*EERR!$D$2)</f>
        <v>157810.49</v>
      </c>
      <c r="C13" s="241" t="s">
        <v>503</v>
      </c>
      <c r="D13" s="241"/>
      <c r="E13" s="241" t="s">
        <v>242</v>
      </c>
      <c r="F13" s="241"/>
      <c r="G13" s="241" t="s">
        <v>246</v>
      </c>
      <c r="H13" s="242"/>
      <c r="I13" s="242"/>
      <c r="J13" s="242"/>
      <c r="K13" s="242">
        <v>197.51</v>
      </c>
      <c r="L13" s="241"/>
      <c r="M13" s="242"/>
      <c r="N13" s="243"/>
      <c r="O13" s="244" t="s">
        <v>243</v>
      </c>
      <c r="P13" s="241"/>
      <c r="Q13" s="241" t="s">
        <v>504</v>
      </c>
      <c r="R13" s="241"/>
      <c r="S13" s="241"/>
      <c r="T13" s="241"/>
      <c r="U13" s="241">
        <v>1246</v>
      </c>
      <c r="V13" s="241"/>
    </row>
    <row r="14" spans="1:22" x14ac:dyDescent="0.25">
      <c r="A14">
        <f t="shared" si="0"/>
        <v>1247</v>
      </c>
      <c r="B14" s="155">
        <f>IF(O14="PESO",VALUE(K14),K14*EERR!$D$2)</f>
        <v>167374.51999999999</v>
      </c>
      <c r="C14" s="241" t="s">
        <v>505</v>
      </c>
      <c r="D14" s="241"/>
      <c r="E14" s="241" t="s">
        <v>242</v>
      </c>
      <c r="F14" s="241"/>
      <c r="G14" s="241" t="s">
        <v>246</v>
      </c>
      <c r="H14" s="242"/>
      <c r="I14" s="242"/>
      <c r="J14" s="242"/>
      <c r="K14" s="242">
        <v>209.48</v>
      </c>
      <c r="L14" s="241"/>
      <c r="M14" s="242"/>
      <c r="N14" s="243"/>
      <c r="O14" s="244" t="s">
        <v>243</v>
      </c>
      <c r="P14" s="241"/>
      <c r="Q14" s="241" t="s">
        <v>506</v>
      </c>
      <c r="R14" s="241"/>
      <c r="S14" s="241"/>
      <c r="T14" s="241"/>
      <c r="U14" s="241">
        <v>1247</v>
      </c>
      <c r="V14" s="241"/>
    </row>
    <row r="15" spans="1:22" x14ac:dyDescent="0.25">
      <c r="A15">
        <f t="shared" si="0"/>
        <v>1248</v>
      </c>
      <c r="B15" s="155">
        <f>IF(O15="PESO",VALUE(K15),K15*EERR!$D$2)</f>
        <v>167374.51999999999</v>
      </c>
      <c r="C15" s="241" t="s">
        <v>507</v>
      </c>
      <c r="D15" s="241"/>
      <c r="E15" s="241" t="s">
        <v>242</v>
      </c>
      <c r="F15" s="241"/>
      <c r="G15" s="241" t="s">
        <v>246</v>
      </c>
      <c r="H15" s="242"/>
      <c r="I15" s="242"/>
      <c r="J15" s="242"/>
      <c r="K15" s="242">
        <v>209.48</v>
      </c>
      <c r="L15" s="241"/>
      <c r="M15" s="242"/>
      <c r="N15" s="243"/>
      <c r="O15" s="244" t="s">
        <v>243</v>
      </c>
      <c r="P15" s="241"/>
      <c r="Q15" s="241" t="s">
        <v>506</v>
      </c>
      <c r="R15" s="241"/>
      <c r="S15" s="241"/>
      <c r="T15" s="241"/>
      <c r="U15" s="241">
        <v>1248</v>
      </c>
      <c r="V15" s="241"/>
    </row>
    <row r="16" spans="1:22" x14ac:dyDescent="0.25">
      <c r="A16">
        <f t="shared" si="0"/>
        <v>1249</v>
      </c>
      <c r="B16" s="155">
        <f>IF(O16="PESO",VALUE(K16),K16*EERR!$D$2)</f>
        <v>179404</v>
      </c>
      <c r="C16" s="241" t="s">
        <v>508</v>
      </c>
      <c r="D16" s="241"/>
      <c r="E16" s="241" t="s">
        <v>205</v>
      </c>
      <c r="F16" s="241"/>
      <c r="G16" s="241" t="s">
        <v>254</v>
      </c>
      <c r="H16" s="242"/>
      <c r="I16" s="242"/>
      <c r="J16" s="242"/>
      <c r="K16" s="242">
        <v>179404</v>
      </c>
      <c r="L16" s="241"/>
      <c r="M16" s="242"/>
      <c r="N16" s="243"/>
      <c r="O16" s="244" t="s">
        <v>229</v>
      </c>
      <c r="P16" s="241"/>
      <c r="Q16" s="241" t="s">
        <v>509</v>
      </c>
      <c r="R16" s="241"/>
      <c r="S16" s="241"/>
      <c r="T16" s="241"/>
      <c r="U16" s="241">
        <v>1249</v>
      </c>
      <c r="V16" s="271"/>
    </row>
    <row r="17" spans="1:22" x14ac:dyDescent="0.25">
      <c r="A17">
        <f t="shared" si="0"/>
        <v>1250</v>
      </c>
      <c r="B17" s="155">
        <f>IF(O17="PESO",VALUE(K17),K17*EERR!$D$2)</f>
        <v>150635.47</v>
      </c>
      <c r="C17" s="241" t="s">
        <v>510</v>
      </c>
      <c r="D17" s="241"/>
      <c r="E17" s="241" t="s">
        <v>242</v>
      </c>
      <c r="F17" s="241"/>
      <c r="G17" s="241" t="s">
        <v>246</v>
      </c>
      <c r="H17" s="242"/>
      <c r="I17" s="242"/>
      <c r="J17" s="242"/>
      <c r="K17" s="242">
        <v>188.53</v>
      </c>
      <c r="L17" s="241"/>
      <c r="M17" s="242"/>
      <c r="N17" s="243"/>
      <c r="O17" s="244" t="s">
        <v>243</v>
      </c>
      <c r="P17" s="241"/>
      <c r="Q17" s="241" t="s">
        <v>511</v>
      </c>
      <c r="R17" s="241"/>
      <c r="S17" s="241"/>
      <c r="T17" s="241"/>
      <c r="U17" s="241">
        <v>1250</v>
      </c>
      <c r="V17" s="271"/>
    </row>
    <row r="18" spans="1:22" x14ac:dyDescent="0.25">
      <c r="A18">
        <f t="shared" si="0"/>
        <v>1251</v>
      </c>
      <c r="B18" s="155">
        <f>IF(O18="PESO",VALUE(K18),K18*EERR!$D$2)</f>
        <v>177986</v>
      </c>
      <c r="C18" s="241" t="s">
        <v>512</v>
      </c>
      <c r="D18" s="241"/>
      <c r="E18" s="241" t="s">
        <v>205</v>
      </c>
      <c r="F18" s="241"/>
      <c r="G18" s="241" t="s">
        <v>254</v>
      </c>
      <c r="H18" s="242"/>
      <c r="I18" s="242"/>
      <c r="J18" s="242"/>
      <c r="K18" s="242">
        <v>177986</v>
      </c>
      <c r="L18" s="241"/>
      <c r="M18" s="242"/>
      <c r="N18" s="243"/>
      <c r="O18" s="244" t="s">
        <v>229</v>
      </c>
      <c r="P18" s="241"/>
      <c r="Q18" s="241" t="s">
        <v>513</v>
      </c>
      <c r="R18" s="241"/>
      <c r="S18" s="241"/>
      <c r="T18" s="241"/>
      <c r="U18" s="241">
        <v>1251</v>
      </c>
      <c r="V18" s="241"/>
    </row>
    <row r="19" spans="1:22" x14ac:dyDescent="0.25">
      <c r="A19">
        <f t="shared" si="0"/>
        <v>1252</v>
      </c>
      <c r="B19" s="155">
        <f>IF(O19="PESO",VALUE(K19),K19*EERR!$D$2)</f>
        <v>150635.47</v>
      </c>
      <c r="C19" s="241" t="s">
        <v>514</v>
      </c>
      <c r="D19" s="241"/>
      <c r="E19" s="241" t="s">
        <v>242</v>
      </c>
      <c r="F19" s="241"/>
      <c r="G19" s="241" t="s">
        <v>246</v>
      </c>
      <c r="H19" s="242"/>
      <c r="I19" s="242"/>
      <c r="J19" s="242"/>
      <c r="K19" s="242">
        <v>188.53</v>
      </c>
      <c r="L19" s="241"/>
      <c r="M19" s="242"/>
      <c r="N19" s="243"/>
      <c r="O19" s="244" t="s">
        <v>243</v>
      </c>
      <c r="P19" s="241"/>
      <c r="Q19" s="241" t="s">
        <v>515</v>
      </c>
      <c r="R19" s="241"/>
      <c r="S19" s="241"/>
      <c r="T19" s="241"/>
      <c r="U19" s="241">
        <v>1252</v>
      </c>
      <c r="V19" s="241"/>
    </row>
    <row r="20" spans="1:22" x14ac:dyDescent="0.25">
      <c r="A20">
        <f t="shared" si="0"/>
        <v>1253</v>
      </c>
      <c r="B20" s="155">
        <f>IF(O20="PESO",VALUE(K20),K20*EERR!$D$2)</f>
        <v>148614</v>
      </c>
      <c r="C20" s="241" t="s">
        <v>516</v>
      </c>
      <c r="D20" s="241"/>
      <c r="E20" s="241" t="s">
        <v>242</v>
      </c>
      <c r="F20" s="241"/>
      <c r="G20" s="241" t="s">
        <v>246</v>
      </c>
      <c r="H20" s="242"/>
      <c r="I20" s="242"/>
      <c r="J20" s="242"/>
      <c r="K20" s="242">
        <v>186</v>
      </c>
      <c r="L20" s="241"/>
      <c r="M20" s="242"/>
      <c r="N20" s="243"/>
      <c r="O20" s="244" t="s">
        <v>243</v>
      </c>
      <c r="P20" s="241"/>
      <c r="Q20" s="241" t="s">
        <v>517</v>
      </c>
      <c r="R20" s="241"/>
      <c r="S20" s="241"/>
      <c r="T20" s="241"/>
      <c r="U20" s="241">
        <v>1253</v>
      </c>
      <c r="V20" s="241"/>
    </row>
    <row r="21" spans="1:22" x14ac:dyDescent="0.25">
      <c r="A21">
        <f t="shared" si="0"/>
        <v>1254</v>
      </c>
      <c r="B21" s="155">
        <f>IF(O21="PESO",VALUE(K21),K21*EERR!$D$2)</f>
        <v>167374.51999999999</v>
      </c>
      <c r="C21" s="241" t="s">
        <v>518</v>
      </c>
      <c r="D21" s="241"/>
      <c r="E21" s="241" t="s">
        <v>242</v>
      </c>
      <c r="F21" s="241"/>
      <c r="G21" s="241" t="s">
        <v>246</v>
      </c>
      <c r="H21" s="242"/>
      <c r="I21" s="242"/>
      <c r="J21" s="242"/>
      <c r="K21" s="242">
        <v>209.48</v>
      </c>
      <c r="L21" s="241"/>
      <c r="M21" s="242"/>
      <c r="N21" s="243"/>
      <c r="O21" s="244" t="s">
        <v>243</v>
      </c>
      <c r="P21" s="241"/>
      <c r="Q21" s="241" t="s">
        <v>519</v>
      </c>
      <c r="R21" s="241"/>
      <c r="S21" s="241"/>
      <c r="T21" s="241"/>
      <c r="U21" s="241">
        <v>1254</v>
      </c>
      <c r="V21" s="241"/>
    </row>
    <row r="22" spans="1:22" x14ac:dyDescent="0.25">
      <c r="A22">
        <f t="shared" si="0"/>
        <v>1255</v>
      </c>
      <c r="B22" s="155">
        <f>IF(O22="PESO",VALUE(K22),K22*EERR!$D$2)</f>
        <v>179507</v>
      </c>
      <c r="C22" s="241" t="s">
        <v>520</v>
      </c>
      <c r="D22" s="241"/>
      <c r="E22" s="241" t="s">
        <v>205</v>
      </c>
      <c r="F22" s="241"/>
      <c r="G22" s="241" t="s">
        <v>254</v>
      </c>
      <c r="H22" s="242"/>
      <c r="I22" s="242"/>
      <c r="J22" s="242"/>
      <c r="K22" s="242">
        <v>179507</v>
      </c>
      <c r="L22" s="241"/>
      <c r="M22" s="242"/>
      <c r="N22" s="243"/>
      <c r="O22" s="244" t="s">
        <v>229</v>
      </c>
      <c r="P22" s="241"/>
      <c r="Q22" s="241" t="s">
        <v>521</v>
      </c>
      <c r="R22" s="241"/>
      <c r="S22" s="241"/>
      <c r="T22" s="241"/>
      <c r="U22" s="241">
        <v>1255</v>
      </c>
      <c r="V22" s="241"/>
    </row>
    <row r="23" spans="1:22" x14ac:dyDescent="0.25">
      <c r="A23">
        <f t="shared" si="0"/>
        <v>1256</v>
      </c>
      <c r="B23" s="155">
        <f>IF(O23="PESO",VALUE(K23),K23*EERR!$D$2)</f>
        <v>150635.47</v>
      </c>
      <c r="C23" s="241" t="s">
        <v>522</v>
      </c>
      <c r="D23" s="241"/>
      <c r="E23" s="241" t="s">
        <v>242</v>
      </c>
      <c r="F23" s="241"/>
      <c r="G23" s="241" t="s">
        <v>246</v>
      </c>
      <c r="H23" s="242"/>
      <c r="I23" s="242"/>
      <c r="J23" s="242"/>
      <c r="K23" s="242">
        <v>188.53</v>
      </c>
      <c r="L23" s="241"/>
      <c r="M23" s="242"/>
      <c r="N23" s="243"/>
      <c r="O23" s="244" t="s">
        <v>243</v>
      </c>
      <c r="P23" s="241"/>
      <c r="Q23" s="241" t="s">
        <v>523</v>
      </c>
      <c r="R23" s="241"/>
      <c r="S23" s="241"/>
      <c r="T23" s="241"/>
      <c r="U23" s="241">
        <v>1256</v>
      </c>
      <c r="V23" s="241"/>
    </row>
    <row r="24" spans="1:22" x14ac:dyDescent="0.25">
      <c r="A24">
        <f t="shared" si="0"/>
        <v>1257</v>
      </c>
      <c r="B24" s="155">
        <f>IF(O24="PESO",VALUE(K24),K24*EERR!$D$2)</f>
        <v>150635.47</v>
      </c>
      <c r="C24" s="241" t="s">
        <v>524</v>
      </c>
      <c r="D24" s="241"/>
      <c r="E24" s="241" t="s">
        <v>242</v>
      </c>
      <c r="F24" s="241"/>
      <c r="G24" s="241" t="s">
        <v>246</v>
      </c>
      <c r="H24" s="242"/>
      <c r="I24" s="242"/>
      <c r="J24" s="242"/>
      <c r="K24" s="242">
        <v>188.53</v>
      </c>
      <c r="L24" s="241"/>
      <c r="M24" s="242"/>
      <c r="N24" s="243"/>
      <c r="O24" s="244" t="s">
        <v>243</v>
      </c>
      <c r="P24" s="241"/>
      <c r="Q24" s="241" t="s">
        <v>525</v>
      </c>
      <c r="R24" s="241"/>
      <c r="S24" s="241"/>
      <c r="T24" s="241"/>
      <c r="U24" s="241">
        <v>1257</v>
      </c>
      <c r="V24" s="241"/>
    </row>
    <row r="25" spans="1:22" x14ac:dyDescent="0.25">
      <c r="A25">
        <f t="shared" si="0"/>
        <v>1258</v>
      </c>
      <c r="B25" s="155">
        <f>IF(O25="PESO",VALUE(K25),K25*EERR!$D$2)</f>
        <v>179376</v>
      </c>
      <c r="C25" s="241" t="s">
        <v>526</v>
      </c>
      <c r="D25" s="241"/>
      <c r="E25" s="241" t="s">
        <v>205</v>
      </c>
      <c r="F25" s="241"/>
      <c r="G25" s="241" t="s">
        <v>254</v>
      </c>
      <c r="H25" s="242"/>
      <c r="I25" s="242"/>
      <c r="J25" s="242"/>
      <c r="K25" s="242">
        <v>179376</v>
      </c>
      <c r="L25" s="241"/>
      <c r="M25" s="242"/>
      <c r="N25" s="243"/>
      <c r="O25" s="244" t="s">
        <v>229</v>
      </c>
      <c r="P25" s="241"/>
      <c r="Q25" s="241" t="s">
        <v>527</v>
      </c>
      <c r="R25" s="241"/>
      <c r="S25" s="241"/>
      <c r="T25" s="241"/>
      <c r="U25" s="241">
        <v>1258</v>
      </c>
      <c r="V25" s="241"/>
    </row>
    <row r="26" spans="1:22" x14ac:dyDescent="0.25">
      <c r="A26" s="343">
        <f t="shared" si="0"/>
        <v>1259</v>
      </c>
      <c r="B26" s="345">
        <f>IF(O26="PESO",VALUE(K26),K26*EERR!$D$2)</f>
        <v>150635.47</v>
      </c>
      <c r="C26" s="346" t="s">
        <v>528</v>
      </c>
      <c r="D26" s="346"/>
      <c r="E26" s="346" t="s">
        <v>242</v>
      </c>
      <c r="F26" s="346"/>
      <c r="G26" s="346" t="s">
        <v>246</v>
      </c>
      <c r="H26" s="347"/>
      <c r="I26" s="347"/>
      <c r="J26" s="347"/>
      <c r="K26" s="347">
        <v>188.53</v>
      </c>
      <c r="L26" s="346"/>
      <c r="M26" s="347"/>
      <c r="N26" s="348"/>
      <c r="O26" s="349" t="s">
        <v>243</v>
      </c>
      <c r="P26" s="241"/>
      <c r="Q26" s="241" t="s">
        <v>529</v>
      </c>
      <c r="R26" s="241"/>
      <c r="S26" s="241"/>
      <c r="T26" s="241"/>
      <c r="U26" s="241">
        <v>1259</v>
      </c>
      <c r="V26" s="241"/>
    </row>
    <row r="27" spans="1:22" x14ac:dyDescent="0.25">
      <c r="A27" s="343">
        <f t="shared" si="0"/>
        <v>1260</v>
      </c>
      <c r="B27" s="345">
        <f>IF(O27="PESO",VALUE(K27),K27*EERR!$D$2)</f>
        <v>607240</v>
      </c>
      <c r="C27" s="346" t="s">
        <v>530</v>
      </c>
      <c r="D27" s="346"/>
      <c r="E27" s="346" t="s">
        <v>242</v>
      </c>
      <c r="F27" s="346"/>
      <c r="G27" s="346" t="s">
        <v>246</v>
      </c>
      <c r="H27" s="347"/>
      <c r="I27" s="347"/>
      <c r="J27" s="347"/>
      <c r="K27" s="347">
        <v>760</v>
      </c>
      <c r="L27" s="346"/>
      <c r="M27" s="347"/>
      <c r="N27" s="348"/>
      <c r="O27" s="349" t="s">
        <v>243</v>
      </c>
      <c r="P27" s="241"/>
      <c r="Q27" s="241" t="s">
        <v>494</v>
      </c>
      <c r="R27" s="241"/>
      <c r="S27" s="241"/>
      <c r="T27" s="241"/>
      <c r="U27" s="241">
        <v>1260</v>
      </c>
      <c r="V27" s="241"/>
    </row>
    <row r="28" spans="1:22" x14ac:dyDescent="0.25">
      <c r="A28">
        <f t="shared" si="0"/>
        <v>1261</v>
      </c>
      <c r="B28" s="155">
        <f>IF(O28="PESO",VALUE(K28),K28*EERR!$D$2)</f>
        <v>150635.47</v>
      </c>
      <c r="C28" s="241" t="s">
        <v>531</v>
      </c>
      <c r="D28" s="241"/>
      <c r="E28" s="241" t="s">
        <v>242</v>
      </c>
      <c r="F28" s="241"/>
      <c r="G28" s="241" t="s">
        <v>246</v>
      </c>
      <c r="H28" s="242"/>
      <c r="I28" s="242"/>
      <c r="J28" s="242"/>
      <c r="K28" s="242">
        <v>188.53</v>
      </c>
      <c r="L28" s="241"/>
      <c r="M28" s="242"/>
      <c r="N28" s="243"/>
      <c r="O28" s="244" t="s">
        <v>243</v>
      </c>
      <c r="P28" s="241"/>
      <c r="Q28" s="241" t="s">
        <v>532</v>
      </c>
      <c r="R28" s="241"/>
      <c r="S28" s="241"/>
      <c r="T28" s="241"/>
      <c r="U28" s="241">
        <v>1261</v>
      </c>
      <c r="V28" s="241"/>
    </row>
    <row r="29" spans="1:22" x14ac:dyDescent="0.25">
      <c r="A29">
        <f t="shared" si="0"/>
        <v>1262</v>
      </c>
      <c r="B29" s="155">
        <f>IF(O29="PESO",VALUE(K29),K29*EERR!$D$2)</f>
        <v>946862.94</v>
      </c>
      <c r="C29" s="241" t="s">
        <v>533</v>
      </c>
      <c r="D29" s="241"/>
      <c r="E29" s="241" t="s">
        <v>242</v>
      </c>
      <c r="F29" s="241"/>
      <c r="G29" s="241" t="s">
        <v>246</v>
      </c>
      <c r="H29" s="242"/>
      <c r="I29" s="242"/>
      <c r="J29" s="242"/>
      <c r="K29" s="242">
        <v>1185.06</v>
      </c>
      <c r="L29" s="241"/>
      <c r="M29" s="242"/>
      <c r="N29" s="243"/>
      <c r="O29" s="244" t="s">
        <v>243</v>
      </c>
      <c r="P29" s="241"/>
      <c r="Q29" s="241" t="s">
        <v>496</v>
      </c>
      <c r="R29" s="241"/>
      <c r="S29" s="241"/>
      <c r="T29" s="241"/>
      <c r="U29" s="241">
        <v>1262</v>
      </c>
      <c r="V29" s="241"/>
    </row>
    <row r="30" spans="1:22" x14ac:dyDescent="0.25">
      <c r="A30">
        <f t="shared" si="0"/>
        <v>1263</v>
      </c>
      <c r="B30" s="155">
        <f>IF(O30="PESO",VALUE(K30),K30*EERR!$D$2)</f>
        <v>150635.47</v>
      </c>
      <c r="C30" s="241" t="s">
        <v>534</v>
      </c>
      <c r="D30" s="241"/>
      <c r="E30" s="241" t="s">
        <v>242</v>
      </c>
      <c r="F30" s="241"/>
      <c r="G30" s="241" t="s">
        <v>246</v>
      </c>
      <c r="H30" s="242"/>
      <c r="I30" s="242"/>
      <c r="J30" s="242"/>
      <c r="K30" s="242">
        <v>188.53</v>
      </c>
      <c r="L30" s="241"/>
      <c r="M30" s="242"/>
      <c r="N30" s="243"/>
      <c r="O30" s="244" t="s">
        <v>243</v>
      </c>
      <c r="P30" s="241"/>
      <c r="Q30" s="241" t="s">
        <v>535</v>
      </c>
      <c r="R30" s="241"/>
      <c r="S30" s="241"/>
      <c r="T30" s="241"/>
      <c r="U30" s="241">
        <v>1263</v>
      </c>
      <c r="V30" s="241"/>
    </row>
    <row r="31" spans="1:22" x14ac:dyDescent="0.25">
      <c r="A31">
        <f t="shared" si="0"/>
        <v>1264</v>
      </c>
      <c r="B31" s="155">
        <f>IF(O31="PESO",VALUE(K31),K31*EERR!$D$2)</f>
        <v>892501</v>
      </c>
      <c r="C31" s="241" t="s">
        <v>536</v>
      </c>
      <c r="D31" s="241"/>
      <c r="E31" s="241" t="s">
        <v>205</v>
      </c>
      <c r="F31" s="241"/>
      <c r="G31" s="241" t="s">
        <v>254</v>
      </c>
      <c r="H31" s="242"/>
      <c r="I31" s="242"/>
      <c r="J31" s="242"/>
      <c r="K31" s="242">
        <v>892501</v>
      </c>
      <c r="L31" s="241"/>
      <c r="M31" s="242"/>
      <c r="N31" s="243"/>
      <c r="O31" s="244" t="s">
        <v>229</v>
      </c>
      <c r="P31" s="241"/>
      <c r="Q31" s="241" t="s">
        <v>498</v>
      </c>
      <c r="R31" s="241"/>
      <c r="S31" s="241"/>
      <c r="T31" s="241"/>
      <c r="U31" s="241">
        <v>1264</v>
      </c>
      <c r="V31" s="241"/>
    </row>
    <row r="32" spans="1:22" x14ac:dyDescent="0.25">
      <c r="A32">
        <f t="shared" si="0"/>
        <v>1265</v>
      </c>
      <c r="B32" s="155">
        <f>IF(O32="PESO",VALUE(K32),K32*EERR!$D$2)</f>
        <v>539676</v>
      </c>
      <c r="C32" s="241" t="s">
        <v>537</v>
      </c>
      <c r="D32" s="241"/>
      <c r="E32" s="241" t="s">
        <v>205</v>
      </c>
      <c r="F32" s="241"/>
      <c r="G32" s="241" t="s">
        <v>254</v>
      </c>
      <c r="H32" s="242"/>
      <c r="I32" s="242"/>
      <c r="J32" s="242"/>
      <c r="K32" s="242">
        <v>539676</v>
      </c>
      <c r="L32" s="241"/>
      <c r="M32" s="242"/>
      <c r="N32" s="243"/>
      <c r="O32" s="244" t="s">
        <v>229</v>
      </c>
      <c r="P32" s="241"/>
      <c r="Q32" s="241" t="s">
        <v>513</v>
      </c>
      <c r="R32" s="241"/>
      <c r="S32" s="241"/>
      <c r="T32" s="241"/>
      <c r="U32" s="241">
        <v>1265</v>
      </c>
      <c r="V32" s="241"/>
    </row>
    <row r="33" spans="1:22" x14ac:dyDescent="0.25">
      <c r="A33">
        <f t="shared" si="0"/>
        <v>1267</v>
      </c>
      <c r="B33" s="155">
        <f>IF(O33="PESO",VALUE(K33),K33*EERR!$D$2)</f>
        <v>157810.49</v>
      </c>
      <c r="C33" s="241" t="s">
        <v>538</v>
      </c>
      <c r="D33" s="241"/>
      <c r="E33" s="241" t="s">
        <v>242</v>
      </c>
      <c r="F33" s="241"/>
      <c r="G33" s="241" t="s">
        <v>246</v>
      </c>
      <c r="H33" s="242"/>
      <c r="I33" s="242"/>
      <c r="J33" s="242"/>
      <c r="K33" s="242">
        <v>197.51</v>
      </c>
      <c r="L33" s="241"/>
      <c r="M33" s="242"/>
      <c r="N33" s="243"/>
      <c r="O33" s="244" t="s">
        <v>243</v>
      </c>
      <c r="P33" s="241"/>
      <c r="Q33" s="241" t="s">
        <v>539</v>
      </c>
      <c r="R33" s="241"/>
      <c r="S33" s="241"/>
      <c r="T33" s="241"/>
      <c r="U33" s="241">
        <v>1267</v>
      </c>
      <c r="V33" s="241"/>
    </row>
    <row r="34" spans="1:22" x14ac:dyDescent="0.25">
      <c r="A34">
        <f t="shared" si="0"/>
        <v>1268</v>
      </c>
      <c r="B34" s="155">
        <f>IF(O34="PESO",VALUE(K34),K34*EERR!$D$2)</f>
        <v>150635.47</v>
      </c>
      <c r="C34" s="241" t="s">
        <v>540</v>
      </c>
      <c r="D34" s="241"/>
      <c r="E34" s="241" t="s">
        <v>242</v>
      </c>
      <c r="F34" s="241"/>
      <c r="G34" s="241" t="s">
        <v>246</v>
      </c>
      <c r="H34" s="242"/>
      <c r="I34" s="242"/>
      <c r="J34" s="242"/>
      <c r="K34" s="242">
        <v>188.53</v>
      </c>
      <c r="L34" s="241"/>
      <c r="M34" s="242"/>
      <c r="N34" s="243"/>
      <c r="O34" s="244" t="s">
        <v>243</v>
      </c>
      <c r="P34" s="241"/>
      <c r="Q34" s="241" t="s">
        <v>541</v>
      </c>
      <c r="R34" s="241"/>
      <c r="S34" s="241"/>
      <c r="T34" s="241"/>
      <c r="U34" s="241">
        <v>1268</v>
      </c>
      <c r="V34" s="241"/>
    </row>
    <row r="35" spans="1:22" x14ac:dyDescent="0.25">
      <c r="A35">
        <f t="shared" si="0"/>
        <v>1269</v>
      </c>
      <c r="B35" s="155">
        <f>IF(O35="PESO",VALUE(K35),K35*EERR!$D$2)</f>
        <v>362619</v>
      </c>
      <c r="C35" s="241" t="s">
        <v>542</v>
      </c>
      <c r="D35" s="241"/>
      <c r="E35" s="241" t="s">
        <v>205</v>
      </c>
      <c r="F35" s="241"/>
      <c r="G35" s="241" t="s">
        <v>254</v>
      </c>
      <c r="H35" s="242"/>
      <c r="I35" s="242"/>
      <c r="J35" s="242"/>
      <c r="K35" s="242">
        <v>362619</v>
      </c>
      <c r="L35" s="241"/>
      <c r="M35" s="242"/>
      <c r="N35" s="243"/>
      <c r="O35" s="244" t="s">
        <v>229</v>
      </c>
      <c r="P35" s="241"/>
      <c r="Q35" s="241" t="s">
        <v>509</v>
      </c>
      <c r="R35" s="241"/>
      <c r="S35" s="241"/>
      <c r="T35" s="241"/>
      <c r="U35" s="241">
        <v>1269</v>
      </c>
      <c r="V35" s="241"/>
    </row>
    <row r="36" spans="1:22" x14ac:dyDescent="0.25">
      <c r="A36">
        <f t="shared" si="0"/>
        <v>1270</v>
      </c>
      <c r="B36" s="155">
        <f>IF(O36="PESO",VALUE(K36),K36*EERR!$D$2)</f>
        <v>502123.56000000006</v>
      </c>
      <c r="C36" s="241" t="s">
        <v>543</v>
      </c>
      <c r="D36" s="241"/>
      <c r="E36" s="241" t="s">
        <v>242</v>
      </c>
      <c r="F36" s="241"/>
      <c r="G36" s="241" t="s">
        <v>246</v>
      </c>
      <c r="H36" s="242"/>
      <c r="I36" s="242"/>
      <c r="J36" s="242"/>
      <c r="K36" s="242">
        <v>628.44000000000005</v>
      </c>
      <c r="L36" s="241"/>
      <c r="M36" s="242"/>
      <c r="N36" s="243"/>
      <c r="O36" s="244" t="s">
        <v>243</v>
      </c>
      <c r="P36" s="241"/>
      <c r="Q36" s="241" t="s">
        <v>506</v>
      </c>
      <c r="R36" s="241"/>
      <c r="S36" s="241"/>
      <c r="T36" s="241"/>
      <c r="U36" s="241">
        <v>1270</v>
      </c>
      <c r="V36" s="241"/>
    </row>
    <row r="37" spans="1:22" x14ac:dyDescent="0.25">
      <c r="A37">
        <f t="shared" si="0"/>
        <v>1271</v>
      </c>
      <c r="B37" s="155">
        <f>IF(O37="PESO",VALUE(K37),K37*EERR!$D$2)</f>
        <v>502123.56000000006</v>
      </c>
      <c r="C37" s="241" t="s">
        <v>544</v>
      </c>
      <c r="D37" s="241"/>
      <c r="E37" s="241" t="s">
        <v>242</v>
      </c>
      <c r="F37" s="241"/>
      <c r="G37" s="241" t="s">
        <v>246</v>
      </c>
      <c r="H37" s="242"/>
      <c r="I37" s="242"/>
      <c r="J37" s="242"/>
      <c r="K37" s="242">
        <v>628.44000000000005</v>
      </c>
      <c r="L37" s="241"/>
      <c r="M37" s="242"/>
      <c r="N37" s="243"/>
      <c r="O37" s="244" t="s">
        <v>243</v>
      </c>
      <c r="P37" s="241"/>
      <c r="Q37" s="241" t="s">
        <v>506</v>
      </c>
      <c r="R37" s="241"/>
      <c r="S37" s="241"/>
      <c r="T37" s="241"/>
      <c r="U37" s="241">
        <v>1271</v>
      </c>
      <c r="V37" s="241"/>
    </row>
    <row r="38" spans="1:22" x14ac:dyDescent="0.25">
      <c r="A38">
        <f t="shared" si="0"/>
        <v>1272</v>
      </c>
      <c r="B38" s="155">
        <f>IF(O38="PESO",VALUE(K38),K38*EERR!$D$2)</f>
        <v>753177.35</v>
      </c>
      <c r="C38" s="241" t="s">
        <v>545</v>
      </c>
      <c r="D38" s="241"/>
      <c r="E38" s="241" t="s">
        <v>242</v>
      </c>
      <c r="F38" s="241"/>
      <c r="G38" s="241" t="s">
        <v>246</v>
      </c>
      <c r="H38" s="242"/>
      <c r="I38" s="242"/>
      <c r="J38" s="242"/>
      <c r="K38" s="242">
        <v>942.65</v>
      </c>
      <c r="L38" s="241"/>
      <c r="M38" s="242"/>
      <c r="N38" s="243"/>
      <c r="O38" s="244" t="s">
        <v>243</v>
      </c>
      <c r="P38" s="241"/>
      <c r="Q38" s="241" t="s">
        <v>546</v>
      </c>
      <c r="R38" s="241"/>
      <c r="S38" s="241"/>
      <c r="T38" s="241"/>
      <c r="U38" s="241">
        <v>1272</v>
      </c>
      <c r="V38" s="241"/>
    </row>
    <row r="39" spans="1:22" x14ac:dyDescent="0.25">
      <c r="A39">
        <f t="shared" si="0"/>
        <v>1273</v>
      </c>
      <c r="B39" s="155">
        <f>IF(O39="PESO",VALUE(K39),K39*EERR!$D$2)</f>
        <v>182015</v>
      </c>
      <c r="C39" s="241" t="s">
        <v>547</v>
      </c>
      <c r="D39" s="241"/>
      <c r="E39" s="241" t="s">
        <v>205</v>
      </c>
      <c r="F39" s="241"/>
      <c r="G39" s="241" t="s">
        <v>254</v>
      </c>
      <c r="H39" s="242"/>
      <c r="I39" s="242"/>
      <c r="J39" s="242"/>
      <c r="K39" s="242">
        <v>182015</v>
      </c>
      <c r="L39" s="241"/>
      <c r="M39" s="242"/>
      <c r="N39" s="243"/>
      <c r="O39" s="244" t="s">
        <v>229</v>
      </c>
      <c r="P39" s="241"/>
      <c r="Q39" s="241" t="s">
        <v>548</v>
      </c>
      <c r="R39" s="241"/>
      <c r="S39" s="241"/>
      <c r="T39" s="241"/>
      <c r="U39" s="241">
        <v>1273</v>
      </c>
      <c r="V39" s="241"/>
    </row>
    <row r="40" spans="1:22" x14ac:dyDescent="0.25">
      <c r="A40">
        <f t="shared" si="0"/>
        <v>1274</v>
      </c>
      <c r="B40" s="155">
        <f>IF(O40="PESO",VALUE(K40),K40*EERR!$D$2)</f>
        <v>148614</v>
      </c>
      <c r="C40" s="241" t="s">
        <v>549</v>
      </c>
      <c r="D40" s="241"/>
      <c r="E40" s="241" t="s">
        <v>242</v>
      </c>
      <c r="F40" s="241"/>
      <c r="G40" s="241" t="s">
        <v>246</v>
      </c>
      <c r="H40" s="242"/>
      <c r="I40" s="242"/>
      <c r="J40" s="242"/>
      <c r="K40" s="242">
        <v>186</v>
      </c>
      <c r="L40" s="241"/>
      <c r="M40" s="242"/>
      <c r="N40" s="243"/>
      <c r="O40" s="244" t="s">
        <v>243</v>
      </c>
      <c r="P40" s="241"/>
      <c r="Q40" s="241" t="s">
        <v>550</v>
      </c>
      <c r="R40" s="241"/>
      <c r="S40" s="241"/>
      <c r="T40" s="241"/>
      <c r="U40" s="241">
        <v>1274</v>
      </c>
      <c r="V40" s="241"/>
    </row>
    <row r="41" spans="1:22" x14ac:dyDescent="0.25">
      <c r="A41">
        <f t="shared" si="0"/>
        <v>1275</v>
      </c>
      <c r="B41" s="155">
        <f>IF(O41="PESO",VALUE(K41),K41*EERR!$D$2)</f>
        <v>150635.47</v>
      </c>
      <c r="C41" s="241" t="s">
        <v>551</v>
      </c>
      <c r="D41" s="241"/>
      <c r="E41" s="241" t="s">
        <v>242</v>
      </c>
      <c r="F41" s="241"/>
      <c r="G41" s="241" t="s">
        <v>246</v>
      </c>
      <c r="H41" s="242"/>
      <c r="I41" s="242"/>
      <c r="J41" s="242"/>
      <c r="K41" s="242">
        <v>188.53</v>
      </c>
      <c r="L41" s="241"/>
      <c r="M41" s="242"/>
      <c r="N41" s="243"/>
      <c r="O41" s="244" t="s">
        <v>243</v>
      </c>
      <c r="P41" s="241"/>
      <c r="Q41" s="241" t="s">
        <v>552</v>
      </c>
      <c r="R41" s="241"/>
      <c r="S41" s="241"/>
      <c r="T41" s="241"/>
      <c r="U41" s="241">
        <v>1275</v>
      </c>
      <c r="V41" s="241"/>
    </row>
    <row r="42" spans="1:22" x14ac:dyDescent="0.25">
      <c r="A42">
        <f t="shared" si="0"/>
        <v>1276</v>
      </c>
      <c r="B42" s="155">
        <f>IF(O42="PESO",VALUE(K42),K42*EERR!$D$2)</f>
        <v>167374.51999999999</v>
      </c>
      <c r="C42" s="241" t="s">
        <v>553</v>
      </c>
      <c r="D42" s="241"/>
      <c r="E42" s="241" t="s">
        <v>242</v>
      </c>
      <c r="F42" s="241"/>
      <c r="G42" s="241" t="s">
        <v>246</v>
      </c>
      <c r="H42" s="242"/>
      <c r="I42" s="242"/>
      <c r="J42" s="242"/>
      <c r="K42" s="242">
        <v>209.48</v>
      </c>
      <c r="L42" s="241"/>
      <c r="M42" s="242"/>
      <c r="N42" s="243"/>
      <c r="O42" s="244" t="s">
        <v>243</v>
      </c>
      <c r="P42" s="241"/>
      <c r="Q42" s="241" t="s">
        <v>554</v>
      </c>
      <c r="R42" s="241"/>
      <c r="S42" s="241"/>
      <c r="T42" s="241"/>
      <c r="U42" s="241">
        <v>1276</v>
      </c>
      <c r="V42" s="241"/>
    </row>
    <row r="43" spans="1:22" x14ac:dyDescent="0.25">
      <c r="A43">
        <f t="shared" si="0"/>
        <v>1277</v>
      </c>
      <c r="B43" s="155">
        <f>IF(O43="PESO",VALUE(K43),K43*EERR!$D$2)</f>
        <v>445842</v>
      </c>
      <c r="C43" s="241" t="s">
        <v>555</v>
      </c>
      <c r="D43" s="241"/>
      <c r="E43" s="241" t="s">
        <v>242</v>
      </c>
      <c r="F43" s="241"/>
      <c r="G43" s="241" t="s">
        <v>246</v>
      </c>
      <c r="H43" s="242"/>
      <c r="I43" s="242"/>
      <c r="J43" s="242"/>
      <c r="K43" s="242">
        <v>558</v>
      </c>
      <c r="L43" s="241"/>
      <c r="M43" s="242"/>
      <c r="N43" s="243"/>
      <c r="O43" s="244" t="s">
        <v>243</v>
      </c>
      <c r="P43" s="241"/>
      <c r="Q43" s="241" t="s">
        <v>517</v>
      </c>
      <c r="R43" s="241"/>
      <c r="S43" s="241"/>
      <c r="T43" s="241"/>
      <c r="U43" s="241">
        <v>1277</v>
      </c>
      <c r="V43" s="241"/>
    </row>
    <row r="44" spans="1:22" x14ac:dyDescent="0.25">
      <c r="A44">
        <f t="shared" si="0"/>
        <v>1278</v>
      </c>
      <c r="B44" s="155">
        <f>IF(O44="PESO",VALUE(K44),K44*EERR!$D$2)</f>
        <v>546045</v>
      </c>
      <c r="C44" s="241" t="s">
        <v>556</v>
      </c>
      <c r="D44" s="241"/>
      <c r="E44" s="241" t="s">
        <v>205</v>
      </c>
      <c r="F44" s="241"/>
      <c r="G44" s="241" t="s">
        <v>254</v>
      </c>
      <c r="H44" s="242"/>
      <c r="I44" s="242"/>
      <c r="J44" s="242"/>
      <c r="K44" s="242">
        <v>546045</v>
      </c>
      <c r="L44" s="241"/>
      <c r="M44" s="242"/>
      <c r="N44" s="243"/>
      <c r="O44" s="244" t="s">
        <v>229</v>
      </c>
      <c r="P44" s="241"/>
      <c r="Q44" s="241" t="s">
        <v>557</v>
      </c>
      <c r="R44" s="241"/>
      <c r="S44" s="241"/>
      <c r="T44" s="241"/>
      <c r="U44" s="241">
        <v>1278</v>
      </c>
      <c r="V44" s="241"/>
    </row>
    <row r="45" spans="1:22" x14ac:dyDescent="0.25">
      <c r="A45">
        <f t="shared" si="0"/>
        <v>1279</v>
      </c>
      <c r="B45" s="155">
        <f>IF(O45="PESO",VALUE(K45),K45*EERR!$D$2)</f>
        <v>180606</v>
      </c>
      <c r="C45" s="241" t="s">
        <v>558</v>
      </c>
      <c r="D45" s="241"/>
      <c r="E45" s="241" t="s">
        <v>205</v>
      </c>
      <c r="F45" s="241"/>
      <c r="G45" s="241" t="s">
        <v>254</v>
      </c>
      <c r="H45" s="242"/>
      <c r="I45" s="242"/>
      <c r="J45" s="242"/>
      <c r="K45" s="242">
        <v>180606</v>
      </c>
      <c r="L45" s="241"/>
      <c r="M45" s="242"/>
      <c r="N45" s="243"/>
      <c r="O45" s="244" t="s">
        <v>229</v>
      </c>
      <c r="P45" s="241"/>
      <c r="Q45" s="241" t="s">
        <v>559</v>
      </c>
      <c r="R45" s="241"/>
      <c r="S45" s="241"/>
      <c r="T45" s="241"/>
      <c r="U45" s="241">
        <v>1279</v>
      </c>
      <c r="V45" s="241"/>
    </row>
    <row r="46" spans="1:22" x14ac:dyDescent="0.25">
      <c r="A46">
        <f t="shared" si="0"/>
        <v>1280</v>
      </c>
      <c r="B46" s="155">
        <f>IF(O46="PESO",VALUE(K46),K46*EERR!$D$2)</f>
        <v>362645</v>
      </c>
      <c r="C46" s="241" t="s">
        <v>560</v>
      </c>
      <c r="D46" s="241"/>
      <c r="E46" s="241" t="s">
        <v>205</v>
      </c>
      <c r="F46" s="241"/>
      <c r="G46" s="241" t="s">
        <v>254</v>
      </c>
      <c r="H46" s="242"/>
      <c r="I46" s="242"/>
      <c r="J46" s="242"/>
      <c r="K46" s="242">
        <v>362645</v>
      </c>
      <c r="L46" s="241"/>
      <c r="M46" s="242"/>
      <c r="N46" s="243"/>
      <c r="O46" s="244" t="s">
        <v>229</v>
      </c>
      <c r="P46" s="241"/>
      <c r="Q46" s="241" t="s">
        <v>561</v>
      </c>
      <c r="R46" s="241"/>
      <c r="S46" s="241"/>
      <c r="T46" s="241"/>
      <c r="U46" s="241">
        <v>1280</v>
      </c>
      <c r="V46" s="241"/>
    </row>
    <row r="47" spans="1:22" x14ac:dyDescent="0.25">
      <c r="A47">
        <f t="shared" si="0"/>
        <v>1281</v>
      </c>
      <c r="B47" s="155">
        <f>IF(O47="PESO",VALUE(K47),K47*EERR!$D$2)</f>
        <v>167374.51999999999</v>
      </c>
      <c r="C47" s="241" t="s">
        <v>562</v>
      </c>
      <c r="D47" s="241"/>
      <c r="E47" s="241" t="s">
        <v>242</v>
      </c>
      <c r="F47" s="241"/>
      <c r="G47" s="241" t="s">
        <v>246</v>
      </c>
      <c r="H47" s="242"/>
      <c r="I47" s="242"/>
      <c r="J47" s="242"/>
      <c r="K47" s="242">
        <v>209.48</v>
      </c>
      <c r="L47" s="241"/>
      <c r="M47" s="242"/>
      <c r="N47" s="243"/>
      <c r="O47" s="244" t="s">
        <v>243</v>
      </c>
      <c r="P47" s="241"/>
      <c r="Q47" s="241" t="s">
        <v>563</v>
      </c>
      <c r="R47" s="241"/>
      <c r="S47" s="241"/>
      <c r="T47" s="241"/>
      <c r="U47" s="241">
        <v>1281</v>
      </c>
      <c r="V47" s="241"/>
    </row>
    <row r="48" spans="1:22" x14ac:dyDescent="0.25">
      <c r="A48">
        <f t="shared" si="0"/>
        <v>1282</v>
      </c>
      <c r="B48" s="155">
        <f>IF(O48="PESO",VALUE(K48),K48*EERR!$D$2)</f>
        <v>167374.51999999999</v>
      </c>
      <c r="C48" s="241" t="s">
        <v>564</v>
      </c>
      <c r="D48" s="241"/>
      <c r="E48" s="241" t="s">
        <v>242</v>
      </c>
      <c r="F48" s="241"/>
      <c r="G48" s="241" t="s">
        <v>246</v>
      </c>
      <c r="H48" s="242"/>
      <c r="I48" s="242"/>
      <c r="J48" s="242"/>
      <c r="K48" s="242">
        <v>209.48</v>
      </c>
      <c r="L48" s="241"/>
      <c r="M48" s="242"/>
      <c r="N48" s="243"/>
      <c r="O48" s="244" t="s">
        <v>243</v>
      </c>
      <c r="P48" s="241"/>
      <c r="Q48" s="241" t="s">
        <v>565</v>
      </c>
      <c r="R48" s="241"/>
      <c r="S48" s="241"/>
      <c r="T48" s="241"/>
      <c r="U48" s="241">
        <v>1282</v>
      </c>
      <c r="V48" s="241"/>
    </row>
    <row r="49" spans="1:22" x14ac:dyDescent="0.25">
      <c r="A49">
        <f t="shared" si="0"/>
        <v>1283</v>
      </c>
      <c r="B49" s="155">
        <f>IF(O49="PESO",VALUE(K49),K49*EERR!$D$2)</f>
        <v>167374.51999999999</v>
      </c>
      <c r="C49" s="241" t="s">
        <v>566</v>
      </c>
      <c r="D49" s="241"/>
      <c r="E49" s="241" t="s">
        <v>242</v>
      </c>
      <c r="F49" s="241"/>
      <c r="G49" s="241" t="s">
        <v>246</v>
      </c>
      <c r="H49" s="242"/>
      <c r="I49" s="242"/>
      <c r="J49" s="242"/>
      <c r="K49" s="242">
        <v>209.48</v>
      </c>
      <c r="L49" s="241"/>
      <c r="M49" s="242"/>
      <c r="N49" s="243"/>
      <c r="O49" s="244" t="s">
        <v>243</v>
      </c>
      <c r="P49" s="241"/>
      <c r="Q49" s="241" t="s">
        <v>567</v>
      </c>
      <c r="R49" s="241"/>
      <c r="S49" s="241"/>
      <c r="T49" s="241"/>
      <c r="U49" s="241">
        <v>1283</v>
      </c>
      <c r="V49" s="241"/>
    </row>
    <row r="50" spans="1:22" x14ac:dyDescent="0.25">
      <c r="A50">
        <f t="shared" si="0"/>
        <v>1284</v>
      </c>
      <c r="B50" s="155">
        <f>IF(O50="PESO",VALUE(K50),K50*EERR!$D$2)</f>
        <v>334749.03999999998</v>
      </c>
      <c r="C50" s="241" t="s">
        <v>568</v>
      </c>
      <c r="D50" s="241"/>
      <c r="E50" s="241" t="s">
        <v>242</v>
      </c>
      <c r="F50" s="241"/>
      <c r="G50" s="241" t="s">
        <v>246</v>
      </c>
      <c r="H50" s="242"/>
      <c r="I50" s="242"/>
      <c r="J50" s="242"/>
      <c r="K50" s="242">
        <v>418.96</v>
      </c>
      <c r="L50" s="241"/>
      <c r="M50" s="242"/>
      <c r="N50" s="243"/>
      <c r="O50" s="244" t="s">
        <v>243</v>
      </c>
      <c r="P50" s="241"/>
      <c r="Q50" s="241" t="s">
        <v>519</v>
      </c>
      <c r="R50" s="241"/>
      <c r="S50" s="241"/>
      <c r="T50" s="241"/>
      <c r="U50" s="241">
        <v>1284</v>
      </c>
      <c r="V50" s="241"/>
    </row>
    <row r="51" spans="1:22" x14ac:dyDescent="0.25">
      <c r="A51">
        <f t="shared" si="0"/>
        <v>1285</v>
      </c>
      <c r="B51" s="155">
        <f>IF(O51="PESO",VALUE(K51),K51*EERR!$D$2)</f>
        <v>167374.51999999999</v>
      </c>
      <c r="C51" s="241" t="s">
        <v>569</v>
      </c>
      <c r="D51" s="241"/>
      <c r="E51" s="241" t="s">
        <v>242</v>
      </c>
      <c r="F51" s="241"/>
      <c r="G51" s="241" t="s">
        <v>246</v>
      </c>
      <c r="H51" s="242"/>
      <c r="I51" s="242"/>
      <c r="J51" s="242"/>
      <c r="K51" s="242">
        <v>209.48</v>
      </c>
      <c r="L51" s="241"/>
      <c r="M51" s="242"/>
      <c r="N51" s="243"/>
      <c r="O51" s="244" t="s">
        <v>243</v>
      </c>
      <c r="P51" s="241"/>
      <c r="Q51" s="241" t="s">
        <v>570</v>
      </c>
      <c r="R51" s="241"/>
      <c r="S51" s="241"/>
      <c r="T51" s="241"/>
      <c r="U51" s="241">
        <v>1285</v>
      </c>
      <c r="V51" s="241"/>
    </row>
    <row r="52" spans="1:22" x14ac:dyDescent="0.25">
      <c r="A52">
        <f t="shared" si="0"/>
        <v>1286</v>
      </c>
      <c r="B52" s="155">
        <f>IF(O52="PESO",VALUE(K52),K52*EERR!$D$2)</f>
        <v>151810</v>
      </c>
      <c r="C52" s="241" t="s">
        <v>571</v>
      </c>
      <c r="D52" s="241"/>
      <c r="E52" s="241" t="s">
        <v>242</v>
      </c>
      <c r="F52" s="241"/>
      <c r="G52" s="241" t="s">
        <v>246</v>
      </c>
      <c r="H52" s="242"/>
      <c r="I52" s="242"/>
      <c r="J52" s="242"/>
      <c r="K52" s="242">
        <v>190</v>
      </c>
      <c r="L52" s="241"/>
      <c r="M52" s="242"/>
      <c r="N52" s="243"/>
      <c r="O52" s="244" t="s">
        <v>243</v>
      </c>
      <c r="P52" s="241"/>
      <c r="Q52" s="241" t="s">
        <v>572</v>
      </c>
      <c r="R52" s="241"/>
      <c r="S52" s="241"/>
      <c r="T52" s="241"/>
      <c r="U52" s="241">
        <v>1286</v>
      </c>
      <c r="V52" s="241"/>
    </row>
    <row r="53" spans="1:22" x14ac:dyDescent="0.25">
      <c r="A53">
        <f t="shared" si="0"/>
        <v>1287</v>
      </c>
      <c r="B53" s="155">
        <f>IF(O53="PESO",VALUE(K53),K53*EERR!$D$2)</f>
        <v>150635.47</v>
      </c>
      <c r="C53" s="241" t="s">
        <v>573</v>
      </c>
      <c r="D53" s="241"/>
      <c r="E53" s="241" t="s">
        <v>242</v>
      </c>
      <c r="F53" s="241"/>
      <c r="G53" s="241" t="s">
        <v>246</v>
      </c>
      <c r="H53" s="242"/>
      <c r="I53" s="242"/>
      <c r="J53" s="242"/>
      <c r="K53" s="242">
        <v>188.53</v>
      </c>
      <c r="L53" s="241"/>
      <c r="M53" s="242"/>
      <c r="N53" s="243"/>
      <c r="O53" s="244" t="s">
        <v>243</v>
      </c>
      <c r="P53" s="241"/>
      <c r="Q53" s="241" t="s">
        <v>574</v>
      </c>
      <c r="R53" s="241"/>
      <c r="S53" s="241"/>
      <c r="T53" s="241"/>
      <c r="U53" s="241">
        <v>1287</v>
      </c>
      <c r="V53" s="241"/>
    </row>
    <row r="54" spans="1:22" x14ac:dyDescent="0.25">
      <c r="A54">
        <f t="shared" si="0"/>
        <v>1288</v>
      </c>
      <c r="B54" s="155">
        <f>IF(O54="PESO",VALUE(K54),K54*EERR!$D$2)</f>
        <v>179680</v>
      </c>
      <c r="C54" s="241" t="s">
        <v>575</v>
      </c>
      <c r="D54" s="241"/>
      <c r="E54" s="241" t="s">
        <v>205</v>
      </c>
      <c r="F54" s="241"/>
      <c r="G54" s="241" t="s">
        <v>254</v>
      </c>
      <c r="H54" s="242"/>
      <c r="I54" s="242"/>
      <c r="J54" s="242"/>
      <c r="K54" s="242">
        <v>179680</v>
      </c>
      <c r="L54" s="241"/>
      <c r="M54" s="242"/>
      <c r="N54" s="243"/>
      <c r="O54" s="244" t="s">
        <v>229</v>
      </c>
      <c r="P54" s="241"/>
      <c r="Q54" s="241" t="s">
        <v>521</v>
      </c>
      <c r="R54" s="241"/>
      <c r="S54" s="241"/>
      <c r="T54" s="241"/>
      <c r="U54" s="241">
        <v>1288</v>
      </c>
      <c r="V54" s="241"/>
    </row>
    <row r="55" spans="1:22" x14ac:dyDescent="0.25">
      <c r="A55">
        <f t="shared" si="0"/>
        <v>1289</v>
      </c>
      <c r="B55" s="155">
        <f>IF(O55="PESO",VALUE(K55),K55*EERR!$D$2)</f>
        <v>200093</v>
      </c>
      <c r="C55" s="241" t="s">
        <v>576</v>
      </c>
      <c r="D55" s="241"/>
      <c r="E55" s="241" t="s">
        <v>205</v>
      </c>
      <c r="F55" s="241"/>
      <c r="G55" s="241" t="s">
        <v>254</v>
      </c>
      <c r="H55" s="242"/>
      <c r="I55" s="242"/>
      <c r="J55" s="242"/>
      <c r="K55" s="242">
        <v>200093</v>
      </c>
      <c r="L55" s="241"/>
      <c r="M55" s="242"/>
      <c r="N55" s="243"/>
      <c r="O55" s="244" t="s">
        <v>229</v>
      </c>
      <c r="P55" s="241"/>
      <c r="Q55" s="241" t="s">
        <v>577</v>
      </c>
      <c r="R55" s="241"/>
      <c r="S55" s="241"/>
      <c r="T55" s="241"/>
      <c r="U55" s="241">
        <v>1289</v>
      </c>
      <c r="V55" s="241"/>
    </row>
    <row r="56" spans="1:22" x14ac:dyDescent="0.25">
      <c r="A56">
        <f t="shared" si="0"/>
        <v>1290</v>
      </c>
      <c r="B56" s="155">
        <f>IF(O56="PESO",VALUE(K56),K56*EERR!$D$2)</f>
        <v>148614</v>
      </c>
      <c r="C56" s="241" t="s">
        <v>578</v>
      </c>
      <c r="D56" s="241"/>
      <c r="E56" s="241" t="s">
        <v>242</v>
      </c>
      <c r="F56" s="241"/>
      <c r="G56" s="241" t="s">
        <v>246</v>
      </c>
      <c r="H56" s="242"/>
      <c r="I56" s="242"/>
      <c r="J56" s="242"/>
      <c r="K56" s="242">
        <v>186</v>
      </c>
      <c r="L56" s="241"/>
      <c r="M56" s="242"/>
      <c r="N56" s="243"/>
      <c r="O56" s="244" t="s">
        <v>243</v>
      </c>
      <c r="P56" s="241"/>
      <c r="Q56" s="241" t="s">
        <v>579</v>
      </c>
      <c r="R56" s="241"/>
      <c r="S56" s="241"/>
      <c r="T56" s="241"/>
      <c r="U56" s="241">
        <v>1290</v>
      </c>
      <c r="V56" s="241"/>
    </row>
    <row r="57" spans="1:22" x14ac:dyDescent="0.25">
      <c r="A57">
        <f t="shared" si="0"/>
        <v>1291</v>
      </c>
      <c r="B57" s="155">
        <f>IF(O57="PESO",VALUE(K57),K57*EERR!$D$2)</f>
        <v>334749.03999999998</v>
      </c>
      <c r="C57" s="241" t="s">
        <v>580</v>
      </c>
      <c r="D57" s="241"/>
      <c r="E57" s="241" t="s">
        <v>242</v>
      </c>
      <c r="F57" s="241"/>
      <c r="G57" s="241" t="s">
        <v>246</v>
      </c>
      <c r="H57" s="242"/>
      <c r="I57" s="242"/>
      <c r="J57" s="242"/>
      <c r="K57" s="242">
        <v>418.96</v>
      </c>
      <c r="L57" s="241"/>
      <c r="M57" s="242"/>
      <c r="N57" s="243"/>
      <c r="O57" s="244" t="s">
        <v>243</v>
      </c>
      <c r="P57" s="241"/>
      <c r="Q57" s="241" t="s">
        <v>581</v>
      </c>
      <c r="R57" s="241"/>
      <c r="S57" s="241"/>
      <c r="T57" s="241"/>
      <c r="U57" s="241">
        <v>1291</v>
      </c>
      <c r="V57" s="241"/>
    </row>
    <row r="58" spans="1:22" x14ac:dyDescent="0.25">
      <c r="A58">
        <f t="shared" si="0"/>
        <v>1292</v>
      </c>
      <c r="B58" s="155">
        <f>IF(O58="PESO",VALUE(K58),K58*EERR!$D$2)</f>
        <v>6000</v>
      </c>
      <c r="C58" s="241" t="s">
        <v>582</v>
      </c>
      <c r="D58" s="241"/>
      <c r="E58" s="241" t="s">
        <v>205</v>
      </c>
      <c r="F58" s="241"/>
      <c r="G58" s="241" t="s">
        <v>254</v>
      </c>
      <c r="H58" s="242"/>
      <c r="I58" s="242"/>
      <c r="J58" s="242"/>
      <c r="K58" s="242">
        <v>6000</v>
      </c>
      <c r="L58" s="241"/>
      <c r="M58" s="242"/>
      <c r="N58" s="243"/>
      <c r="O58" s="244" t="s">
        <v>229</v>
      </c>
      <c r="P58" s="241"/>
      <c r="Q58" s="241" t="s">
        <v>511</v>
      </c>
      <c r="R58" s="241"/>
      <c r="S58" s="241"/>
      <c r="T58" s="241"/>
      <c r="U58" s="241">
        <v>1292</v>
      </c>
      <c r="V58" s="241"/>
    </row>
    <row r="59" spans="1:22" x14ac:dyDescent="0.25">
      <c r="A59">
        <f t="shared" si="0"/>
        <v>1293</v>
      </c>
      <c r="B59" s="155">
        <f>IF(O59="PESO",VALUE(K59),K59*EERR!$D$2)</f>
        <v>150635.47</v>
      </c>
      <c r="C59" s="241" t="s">
        <v>583</v>
      </c>
      <c r="D59" s="241"/>
      <c r="E59" s="241" t="s">
        <v>242</v>
      </c>
      <c r="F59" s="241"/>
      <c r="G59" s="241" t="s">
        <v>246</v>
      </c>
      <c r="H59" s="242"/>
      <c r="I59" s="242"/>
      <c r="J59" s="242"/>
      <c r="K59" s="242">
        <v>188.53</v>
      </c>
      <c r="L59" s="241"/>
      <c r="M59" s="242"/>
      <c r="N59" s="243"/>
      <c r="O59" s="244" t="s">
        <v>243</v>
      </c>
      <c r="P59" s="241"/>
      <c r="Q59" s="241" t="s">
        <v>523</v>
      </c>
      <c r="R59" s="241"/>
      <c r="S59" s="241"/>
      <c r="T59" s="241"/>
      <c r="U59" s="241">
        <v>1293</v>
      </c>
      <c r="V59" s="241"/>
    </row>
    <row r="60" spans="1:22" x14ac:dyDescent="0.25">
      <c r="A60">
        <v>100000</v>
      </c>
      <c r="B60" s="155">
        <f>IF(O60="PESO",VALUE(K60),K60*EERR!$D$2)</f>
        <v>0</v>
      </c>
      <c r="C60" s="241"/>
      <c r="D60" s="241"/>
      <c r="E60" s="241"/>
      <c r="F60" s="241"/>
      <c r="G60" s="241"/>
      <c r="H60" s="242"/>
      <c r="I60" s="242"/>
      <c r="J60" s="242"/>
      <c r="K60" s="242"/>
      <c r="L60" s="241"/>
      <c r="M60" s="242"/>
      <c r="N60" s="243"/>
      <c r="O60" s="244"/>
      <c r="P60" s="241"/>
      <c r="Q60" s="241"/>
      <c r="R60" s="241"/>
      <c r="S60" s="241"/>
      <c r="T60" s="241"/>
      <c r="U60" s="241"/>
      <c r="V60" s="241"/>
    </row>
    <row r="61" spans="1:22" x14ac:dyDescent="0.25">
      <c r="A61">
        <v>100000</v>
      </c>
      <c r="B61" s="155">
        <f>IF(O61="PESO",VALUE(K61),K61*EERR!$D$2)</f>
        <v>0</v>
      </c>
      <c r="C61" s="241"/>
      <c r="D61" s="241"/>
      <c r="E61" s="241"/>
      <c r="F61" s="241"/>
      <c r="G61" s="241"/>
      <c r="H61" s="242"/>
      <c r="I61" s="242"/>
      <c r="J61" s="242"/>
      <c r="K61" s="242"/>
      <c r="L61" s="241"/>
      <c r="M61" s="242"/>
      <c r="N61" s="243"/>
      <c r="O61" s="244"/>
      <c r="P61" s="241"/>
      <c r="Q61" s="241"/>
      <c r="R61" s="241"/>
      <c r="S61" s="241"/>
      <c r="T61" s="241"/>
      <c r="U61" s="241"/>
      <c r="V61" s="241"/>
    </row>
    <row r="62" spans="1:22" x14ac:dyDescent="0.25">
      <c r="A62">
        <v>100000</v>
      </c>
      <c r="B62" s="155">
        <f>IF(O62="PESO",VALUE(K62),K62*EERR!$D$2)</f>
        <v>0</v>
      </c>
      <c r="C62" s="241"/>
      <c r="D62" s="241"/>
      <c r="E62" s="241"/>
      <c r="F62" s="241"/>
      <c r="G62" s="241"/>
      <c r="H62" s="242"/>
      <c r="I62" s="242"/>
      <c r="J62" s="242"/>
      <c r="K62" s="242"/>
      <c r="L62" s="241"/>
      <c r="M62" s="242"/>
      <c r="N62" s="243"/>
      <c r="O62" s="244"/>
      <c r="P62" s="241"/>
      <c r="Q62" s="241"/>
      <c r="R62" s="241"/>
      <c r="S62" s="241"/>
      <c r="T62" s="241"/>
      <c r="U62" s="241"/>
      <c r="V62" s="241"/>
    </row>
    <row r="63" spans="1:22" x14ac:dyDescent="0.25">
      <c r="A63">
        <v>100000</v>
      </c>
      <c r="B63" s="155">
        <f>IF(O63="PESO",VALUE(K63),K63*EERR!$D$2)</f>
        <v>0</v>
      </c>
      <c r="C63" s="241"/>
      <c r="D63" s="241"/>
      <c r="E63" s="241"/>
      <c r="F63" s="241"/>
      <c r="G63" s="241"/>
      <c r="H63" s="242"/>
      <c r="I63" s="242"/>
      <c r="J63" s="242"/>
      <c r="K63" s="242"/>
      <c r="L63" s="241"/>
      <c r="M63" s="242"/>
      <c r="N63" s="243"/>
      <c r="O63" s="244"/>
      <c r="P63" s="241"/>
      <c r="Q63" s="241"/>
      <c r="R63" s="241"/>
      <c r="S63" s="241"/>
      <c r="T63" s="241"/>
      <c r="U63" s="241"/>
      <c r="V63" s="241"/>
    </row>
    <row r="64" spans="1:22" x14ac:dyDescent="0.25">
      <c r="A64">
        <v>100000</v>
      </c>
      <c r="B64" s="155">
        <f>IF(O64="PESO",VALUE(K64),K64*EERR!$D$2)</f>
        <v>0</v>
      </c>
      <c r="C64" s="241"/>
      <c r="D64" s="241"/>
      <c r="E64" s="241"/>
      <c r="F64" s="241"/>
      <c r="G64" s="241"/>
      <c r="H64" s="242"/>
      <c r="I64" s="242"/>
      <c r="J64" s="242"/>
      <c r="K64" s="242"/>
      <c r="L64" s="241"/>
      <c r="M64" s="242"/>
      <c r="N64" s="243"/>
      <c r="O64" s="244"/>
      <c r="P64" s="241"/>
      <c r="Q64" s="241"/>
      <c r="R64" s="241"/>
      <c r="S64" s="241"/>
      <c r="T64" s="241"/>
      <c r="U64" s="241"/>
      <c r="V64" s="241"/>
    </row>
    <row r="65" spans="1:22" x14ac:dyDescent="0.25">
      <c r="A65">
        <v>100000</v>
      </c>
      <c r="B65" s="155">
        <f>IF(O65="PESO",VALUE(K65),K65*EERR!$D$2)</f>
        <v>0</v>
      </c>
      <c r="C65" s="241"/>
      <c r="D65" s="241"/>
      <c r="E65" s="241"/>
      <c r="F65" s="241"/>
      <c r="G65" s="241"/>
      <c r="H65" s="242"/>
      <c r="I65" s="242"/>
      <c r="J65" s="242"/>
      <c r="K65" s="242"/>
      <c r="L65" s="241"/>
      <c r="M65" s="242"/>
      <c r="N65" s="243"/>
      <c r="O65" s="244"/>
      <c r="P65" s="241"/>
      <c r="Q65" s="241"/>
      <c r="R65" s="241"/>
      <c r="S65" s="241"/>
      <c r="T65" s="241"/>
      <c r="U65" s="241"/>
      <c r="V65" s="241"/>
    </row>
    <row r="66" spans="1:22" x14ac:dyDescent="0.25">
      <c r="A66">
        <v>100000</v>
      </c>
      <c r="B66" s="155">
        <f>IF(O66="PESO",VALUE(K66),K66*EERR!$D$2)</f>
        <v>0</v>
      </c>
      <c r="C66" s="241"/>
      <c r="D66" s="241"/>
      <c r="E66" s="241"/>
      <c r="F66" s="241"/>
      <c r="G66" s="241"/>
      <c r="H66" s="242"/>
      <c r="I66" s="242"/>
      <c r="J66" s="242"/>
      <c r="K66" s="242"/>
      <c r="L66" s="241"/>
      <c r="M66" s="242"/>
      <c r="N66" s="243"/>
      <c r="O66" s="244"/>
      <c r="P66" s="241"/>
      <c r="Q66" s="241"/>
      <c r="R66" s="241"/>
      <c r="S66" s="241"/>
      <c r="T66" s="241"/>
      <c r="U66" s="241"/>
      <c r="V66" s="241"/>
    </row>
    <row r="67" spans="1:22" x14ac:dyDescent="0.25">
      <c r="A67">
        <v>100000</v>
      </c>
      <c r="B67" s="155">
        <f>IF(O67="PESO",VALUE(K67),K67*EERR!$D$2)</f>
        <v>0</v>
      </c>
      <c r="C67" s="241"/>
      <c r="D67" s="241"/>
      <c r="E67" s="241"/>
      <c r="F67" s="241"/>
      <c r="G67" s="241"/>
      <c r="H67" s="242"/>
      <c r="I67" s="242"/>
      <c r="J67" s="242"/>
      <c r="K67" s="242"/>
      <c r="L67" s="241"/>
      <c r="M67" s="242"/>
      <c r="N67" s="243"/>
      <c r="O67" s="244"/>
      <c r="P67" s="241"/>
      <c r="Q67" s="241"/>
      <c r="R67" s="241"/>
      <c r="S67" s="241"/>
      <c r="T67" s="241"/>
      <c r="U67" s="241"/>
      <c r="V67" s="241"/>
    </row>
    <row r="68" spans="1:22" x14ac:dyDescent="0.25">
      <c r="A68">
        <v>100000</v>
      </c>
      <c r="B68" s="155">
        <f>IF(O68="PESO",VALUE(K68),K68*EERR!$D$2)</f>
        <v>0</v>
      </c>
      <c r="C68" s="241"/>
      <c r="D68" s="241"/>
      <c r="E68" s="241"/>
      <c r="F68" s="241"/>
      <c r="G68" s="241"/>
      <c r="H68" s="242"/>
      <c r="I68" s="242"/>
      <c r="J68" s="242"/>
      <c r="K68" s="242"/>
      <c r="L68" s="241"/>
      <c r="M68" s="242"/>
      <c r="N68" s="243"/>
      <c r="O68" s="244"/>
      <c r="P68" s="241"/>
      <c r="Q68" s="241"/>
      <c r="R68" s="241"/>
      <c r="S68" s="241"/>
      <c r="T68" s="241"/>
      <c r="U68" s="241"/>
      <c r="V68" s="241"/>
    </row>
    <row r="69" spans="1:22" x14ac:dyDescent="0.25">
      <c r="A69">
        <v>100000</v>
      </c>
      <c r="B69" s="155">
        <f>IF(O69="PESO",VALUE(K69),K69*EERR!$D$2)</f>
        <v>0</v>
      </c>
      <c r="C69" s="241"/>
      <c r="D69" s="241"/>
      <c r="E69" s="241"/>
      <c r="F69" s="241"/>
      <c r="G69" s="241"/>
      <c r="H69" s="242"/>
      <c r="I69" s="242"/>
      <c r="J69" s="242"/>
      <c r="K69" s="242"/>
      <c r="L69" s="241"/>
      <c r="M69" s="242"/>
      <c r="N69" s="243"/>
      <c r="O69" s="244"/>
      <c r="P69" s="241"/>
      <c r="Q69" s="241"/>
      <c r="R69" s="241"/>
      <c r="S69" s="241"/>
      <c r="T69" s="241"/>
      <c r="U69" s="241"/>
      <c r="V69" s="241"/>
    </row>
    <row r="70" spans="1:22" x14ac:dyDescent="0.25">
      <c r="A70">
        <v>100000</v>
      </c>
      <c r="B70" s="155">
        <f>IF(O70="PESO",VALUE(K70),K70*EERR!$D$2)</f>
        <v>0</v>
      </c>
      <c r="C70" s="241"/>
      <c r="D70" s="241"/>
      <c r="E70" s="241"/>
      <c r="F70" s="241"/>
      <c r="G70" s="241"/>
      <c r="H70" s="242"/>
      <c r="I70" s="242"/>
      <c r="J70" s="242"/>
      <c r="K70" s="242"/>
      <c r="L70" s="241"/>
      <c r="M70" s="242"/>
      <c r="N70" s="243"/>
      <c r="O70" s="244"/>
      <c r="P70" s="241"/>
      <c r="Q70" s="241"/>
      <c r="R70" s="241"/>
      <c r="S70" s="241"/>
      <c r="T70" s="241"/>
      <c r="U70" s="241"/>
      <c r="V70" s="241"/>
    </row>
    <row r="71" spans="1:22" x14ac:dyDescent="0.25">
      <c r="A71">
        <v>100000</v>
      </c>
      <c r="B71" s="155">
        <f>IF(O71="PESO",VALUE(K71),K71*EERR!$D$2)</f>
        <v>0</v>
      </c>
      <c r="C71" s="241"/>
      <c r="D71" s="241"/>
      <c r="E71" s="241"/>
      <c r="F71" s="241"/>
      <c r="G71" s="241"/>
      <c r="H71" s="242"/>
      <c r="I71" s="242"/>
      <c r="J71" s="242"/>
      <c r="K71" s="242"/>
      <c r="L71" s="241"/>
      <c r="M71" s="242"/>
      <c r="N71" s="243"/>
      <c r="O71" s="244"/>
      <c r="P71" s="241"/>
      <c r="Q71" s="241"/>
      <c r="R71" s="241"/>
      <c r="S71" s="241"/>
      <c r="T71" s="241"/>
      <c r="U71" s="241"/>
      <c r="V71" s="241"/>
    </row>
    <row r="72" spans="1:22" x14ac:dyDescent="0.25">
      <c r="A72">
        <v>100000</v>
      </c>
      <c r="B72" s="155">
        <f>IF(O72="PESO",VALUE(K72),K72*EERR!$D$2)</f>
        <v>0</v>
      </c>
      <c r="C72" s="241"/>
      <c r="D72" s="241"/>
      <c r="E72" s="241"/>
      <c r="F72" s="241"/>
      <c r="G72" s="241"/>
      <c r="H72" s="242"/>
      <c r="I72" s="242"/>
      <c r="J72" s="242"/>
      <c r="K72" s="242"/>
      <c r="L72" s="241"/>
      <c r="M72" s="242"/>
      <c r="N72" s="243"/>
      <c r="O72" s="244"/>
      <c r="P72" s="241"/>
      <c r="Q72" s="241"/>
      <c r="R72" s="241"/>
      <c r="S72" s="241"/>
      <c r="T72" s="241"/>
      <c r="U72" s="241"/>
      <c r="V72" s="241"/>
    </row>
    <row r="73" spans="1:22" x14ac:dyDescent="0.25">
      <c r="A73">
        <v>100000</v>
      </c>
      <c r="B73" s="155">
        <f>IF(O73="PESO",VALUE(K73),K73*EERR!$D$2)</f>
        <v>0</v>
      </c>
      <c r="C73" s="241"/>
      <c r="D73" s="241"/>
      <c r="E73" s="241"/>
      <c r="F73" s="241"/>
      <c r="G73" s="241"/>
      <c r="H73" s="242"/>
      <c r="I73" s="242"/>
      <c r="J73" s="242"/>
      <c r="K73" s="242"/>
      <c r="L73" s="241"/>
      <c r="M73" s="242"/>
      <c r="N73" s="243"/>
      <c r="O73" s="244"/>
      <c r="P73" s="241"/>
      <c r="Q73" s="241"/>
      <c r="R73" s="241"/>
      <c r="S73" s="241"/>
      <c r="T73" s="241"/>
      <c r="U73" s="241"/>
      <c r="V73" s="241"/>
    </row>
    <row r="74" spans="1:22" x14ac:dyDescent="0.25">
      <c r="A74">
        <v>100000</v>
      </c>
      <c r="B74" s="155">
        <f>IF(O74="PESO",VALUE(K74),K74*EERR!$D$2)</f>
        <v>0</v>
      </c>
      <c r="C74" s="241"/>
      <c r="D74" s="241"/>
      <c r="E74" s="241"/>
      <c r="F74" s="241"/>
      <c r="G74" s="241"/>
      <c r="H74" s="242"/>
      <c r="I74" s="242"/>
      <c r="J74" s="242"/>
      <c r="K74" s="242"/>
      <c r="L74" s="241"/>
      <c r="M74" s="242"/>
      <c r="N74" s="243"/>
      <c r="O74" s="244"/>
      <c r="P74" s="241"/>
      <c r="Q74" s="241"/>
      <c r="R74" s="241"/>
      <c r="S74" s="241"/>
      <c r="T74" s="241"/>
      <c r="U74" s="241"/>
      <c r="V74" s="241"/>
    </row>
    <row r="75" spans="1:22" x14ac:dyDescent="0.25">
      <c r="A75">
        <v>100000</v>
      </c>
      <c r="B75" s="155">
        <f>IF(O75="PESO",VALUE(K75),K75*EERR!$D$2)</f>
        <v>0</v>
      </c>
      <c r="C75" s="241"/>
      <c r="D75" s="241"/>
      <c r="E75" s="241"/>
      <c r="F75" s="241"/>
      <c r="G75" s="241"/>
      <c r="H75" s="242"/>
      <c r="I75" s="242"/>
      <c r="J75" s="242"/>
      <c r="K75" s="242"/>
      <c r="L75" s="241"/>
      <c r="M75" s="242"/>
      <c r="N75" s="243"/>
      <c r="O75" s="244"/>
      <c r="P75" s="241"/>
      <c r="Q75" s="241"/>
      <c r="R75" s="241"/>
      <c r="S75" s="241"/>
      <c r="T75" s="241"/>
      <c r="U75" s="241"/>
      <c r="V75" s="241"/>
    </row>
    <row r="76" spans="1:22" x14ac:dyDescent="0.25">
      <c r="A76">
        <v>100000</v>
      </c>
      <c r="B76" s="155">
        <f>IF(O76="PESO",VALUE(K76),K76*EERR!$D$2)</f>
        <v>0</v>
      </c>
      <c r="C76" s="241"/>
      <c r="D76" s="241"/>
      <c r="E76" s="241"/>
      <c r="F76" s="241"/>
      <c r="G76" s="241"/>
      <c r="H76" s="242"/>
      <c r="I76" s="242"/>
      <c r="J76" s="242"/>
      <c r="K76" s="242"/>
      <c r="L76" s="241"/>
      <c r="M76" s="242"/>
      <c r="N76" s="243"/>
      <c r="O76" s="244"/>
      <c r="P76" s="241"/>
      <c r="Q76" s="241"/>
      <c r="R76" s="241"/>
      <c r="S76" s="241"/>
      <c r="T76" s="241"/>
      <c r="U76" s="241"/>
      <c r="V76" s="241"/>
    </row>
    <row r="77" spans="1:22" x14ac:dyDescent="0.25">
      <c r="A77">
        <v>100000</v>
      </c>
      <c r="B77" s="155">
        <f>IF(O77="PESO",VALUE(K77),K77*EERR!$D$2)</f>
        <v>0</v>
      </c>
      <c r="C77" s="241"/>
      <c r="D77" s="241"/>
      <c r="E77" s="241"/>
      <c r="F77" s="241"/>
      <c r="G77" s="241"/>
      <c r="H77" s="242"/>
      <c r="I77" s="242"/>
      <c r="J77" s="242"/>
      <c r="K77" s="242"/>
      <c r="L77" s="241"/>
      <c r="M77" s="242"/>
      <c r="N77" s="243"/>
      <c r="O77" s="244"/>
      <c r="P77" s="241"/>
      <c r="Q77" s="241"/>
      <c r="R77" s="241"/>
      <c r="S77" s="241"/>
      <c r="T77" s="241"/>
      <c r="U77" s="241"/>
      <c r="V77" s="241"/>
    </row>
    <row r="78" spans="1:22" x14ac:dyDescent="0.25">
      <c r="A78">
        <v>100000</v>
      </c>
      <c r="B78" s="155">
        <f>IF(O78="PESO",VALUE(K78),K78*EERR!$D$2)</f>
        <v>0</v>
      </c>
      <c r="C78" s="241"/>
      <c r="D78" s="241"/>
      <c r="E78" s="241"/>
      <c r="F78" s="241"/>
      <c r="G78" s="241"/>
      <c r="H78" s="242"/>
      <c r="I78" s="242"/>
      <c r="J78" s="242"/>
      <c r="K78" s="242"/>
      <c r="L78" s="241"/>
      <c r="M78" s="242"/>
      <c r="N78" s="243"/>
      <c r="O78" s="244"/>
      <c r="P78" s="241"/>
      <c r="Q78" s="241"/>
      <c r="R78" s="241"/>
      <c r="S78" s="241"/>
      <c r="T78" s="241"/>
      <c r="U78" s="241"/>
      <c r="V78" s="241"/>
    </row>
    <row r="79" spans="1:22" x14ac:dyDescent="0.25">
      <c r="A79">
        <v>100000</v>
      </c>
      <c r="B79" s="155">
        <f>IF(O79="PESO",VALUE(K79),K79*EERR!$D$2)</f>
        <v>0</v>
      </c>
      <c r="C79" s="241"/>
      <c r="D79" s="241"/>
      <c r="E79" s="241"/>
      <c r="F79" s="241"/>
      <c r="G79" s="241"/>
      <c r="H79" s="242"/>
      <c r="I79" s="242"/>
      <c r="J79" s="242"/>
      <c r="K79" s="242"/>
      <c r="L79" s="241"/>
      <c r="M79" s="242"/>
      <c r="N79" s="243"/>
      <c r="O79" s="244"/>
      <c r="P79" s="241"/>
      <c r="Q79" s="241"/>
      <c r="R79" s="241"/>
      <c r="S79" s="241"/>
      <c r="T79" s="241"/>
      <c r="U79" s="241"/>
      <c r="V79" s="241"/>
    </row>
    <row r="80" spans="1:22" x14ac:dyDescent="0.25">
      <c r="A80">
        <v>100000</v>
      </c>
      <c r="B80" s="155">
        <f>IF(O80="PESO",VALUE(K80),K80*EERR!$D$2)</f>
        <v>0</v>
      </c>
      <c r="C80" s="241"/>
      <c r="D80" s="241"/>
      <c r="E80" s="241"/>
      <c r="F80" s="241"/>
      <c r="G80" s="241"/>
      <c r="H80" s="242"/>
      <c r="I80" s="242"/>
      <c r="J80" s="242"/>
      <c r="K80" s="242"/>
      <c r="L80" s="241"/>
      <c r="M80" s="242"/>
      <c r="N80" s="243"/>
      <c r="O80" s="244"/>
      <c r="P80" s="241"/>
      <c r="Q80" s="241"/>
      <c r="R80" s="241"/>
      <c r="S80" s="241"/>
      <c r="T80" s="241"/>
      <c r="U80" s="241"/>
      <c r="V80" s="241"/>
    </row>
    <row r="81" spans="1:22" x14ac:dyDescent="0.25">
      <c r="A81">
        <v>100000</v>
      </c>
      <c r="B81" s="155">
        <f>IF(O81="PESO",VALUE(K81),K81*EERR!$D$2)</f>
        <v>0</v>
      </c>
      <c r="C81" s="241"/>
      <c r="D81" s="241"/>
      <c r="E81" s="241"/>
      <c r="F81" s="241"/>
      <c r="G81" s="241"/>
      <c r="H81" s="242"/>
      <c r="I81" s="242"/>
      <c r="J81" s="242"/>
      <c r="K81" s="242"/>
      <c r="L81" s="241"/>
      <c r="M81" s="242"/>
      <c r="N81" s="243"/>
      <c r="O81" s="244"/>
      <c r="P81" s="241"/>
      <c r="Q81" s="241"/>
      <c r="R81" s="241"/>
      <c r="S81" s="241"/>
      <c r="T81" s="241"/>
      <c r="U81" s="241"/>
      <c r="V81" s="241"/>
    </row>
    <row r="82" spans="1:22" x14ac:dyDescent="0.25">
      <c r="A82">
        <v>100000</v>
      </c>
      <c r="B82" s="155">
        <f>IF(O82="PESO",VALUE(K82),K82*EERR!$D$2)</f>
        <v>0</v>
      </c>
      <c r="C82" s="241"/>
      <c r="D82" s="241"/>
      <c r="E82" s="241"/>
      <c r="F82" s="241"/>
      <c r="G82" s="241"/>
      <c r="H82" s="242"/>
      <c r="I82" s="242"/>
      <c r="J82" s="242"/>
      <c r="K82" s="242"/>
      <c r="L82" s="241"/>
      <c r="M82" s="242"/>
      <c r="N82" s="243"/>
      <c r="O82" s="244"/>
      <c r="P82" s="241"/>
      <c r="Q82" s="241"/>
      <c r="R82" s="241"/>
      <c r="S82" s="241"/>
      <c r="T82" s="241"/>
      <c r="U82" s="241"/>
      <c r="V82" s="241"/>
    </row>
    <row r="83" spans="1:22" x14ac:dyDescent="0.25">
      <c r="A83">
        <v>100000</v>
      </c>
      <c r="B83" s="155">
        <f>IF(O83="PESO",VALUE(K83),K83*EERR!$D$2)</f>
        <v>0</v>
      </c>
      <c r="C83" s="241"/>
      <c r="D83" s="241"/>
      <c r="E83" s="241"/>
      <c r="F83" s="241"/>
      <c r="G83" s="241"/>
      <c r="H83" s="242"/>
      <c r="I83" s="242"/>
      <c r="J83" s="242"/>
      <c r="K83" s="242"/>
      <c r="L83" s="241"/>
      <c r="M83" s="242"/>
      <c r="N83" s="243"/>
      <c r="O83" s="244"/>
      <c r="P83" s="241"/>
      <c r="Q83" s="241"/>
      <c r="R83" s="241"/>
      <c r="S83" s="241"/>
      <c r="T83" s="241"/>
      <c r="U83" s="241"/>
      <c r="V83" s="241"/>
    </row>
    <row r="84" spans="1:22" x14ac:dyDescent="0.25">
      <c r="A84">
        <v>100000</v>
      </c>
      <c r="B84" s="155">
        <f>IF(O84="PESO",VALUE(K84),K84*EERR!$D$2)</f>
        <v>0</v>
      </c>
      <c r="C84" s="241"/>
      <c r="D84" s="241"/>
      <c r="E84" s="241"/>
      <c r="F84" s="241"/>
      <c r="G84" s="241"/>
      <c r="H84" s="242"/>
      <c r="I84" s="242"/>
      <c r="J84" s="242"/>
      <c r="K84" s="242"/>
      <c r="L84" s="241"/>
      <c r="M84" s="242"/>
      <c r="N84" s="243"/>
      <c r="O84" s="244"/>
      <c r="P84" s="241"/>
      <c r="Q84" s="241"/>
      <c r="R84" s="241"/>
      <c r="S84" s="241"/>
      <c r="T84" s="241"/>
      <c r="U84" s="241"/>
      <c r="V84" s="241"/>
    </row>
    <row r="85" spans="1:22" x14ac:dyDescent="0.25">
      <c r="A85">
        <v>100000</v>
      </c>
      <c r="B85" s="155">
        <f>IF(O85="PESO",VALUE(K85),K85*EERR!$D$2)</f>
        <v>0</v>
      </c>
      <c r="C85" s="241"/>
      <c r="D85" s="241"/>
      <c r="E85" s="241"/>
      <c r="F85" s="241"/>
      <c r="G85" s="241"/>
      <c r="H85" s="242"/>
      <c r="I85" s="242"/>
      <c r="J85" s="242"/>
      <c r="K85" s="242"/>
      <c r="L85" s="241"/>
      <c r="M85" s="242"/>
      <c r="N85" s="243"/>
      <c r="O85" s="244"/>
      <c r="P85" s="241"/>
      <c r="Q85" s="241"/>
      <c r="R85" s="241"/>
      <c r="S85" s="241"/>
      <c r="T85" s="241"/>
      <c r="U85" s="241"/>
      <c r="V85" s="241"/>
    </row>
    <row r="86" spans="1:22" x14ac:dyDescent="0.25">
      <c r="A86">
        <v>100000</v>
      </c>
      <c r="B86" s="155">
        <f>IF(O86="PESO",VALUE(K86),K86*EERR!$D$2)</f>
        <v>0</v>
      </c>
      <c r="C86" s="241"/>
      <c r="D86" s="241"/>
      <c r="E86" s="241"/>
      <c r="F86" s="241"/>
      <c r="G86" s="241"/>
      <c r="H86" s="242"/>
      <c r="I86" s="242"/>
      <c r="J86" s="242"/>
      <c r="K86" s="242"/>
      <c r="L86" s="241"/>
      <c r="M86" s="242"/>
      <c r="N86" s="243"/>
      <c r="O86" s="244"/>
      <c r="P86" s="241"/>
      <c r="Q86" s="241"/>
      <c r="R86" s="241"/>
      <c r="S86" s="241"/>
      <c r="T86" s="241"/>
      <c r="U86" s="241"/>
      <c r="V86" s="241"/>
    </row>
    <row r="87" spans="1:22" x14ac:dyDescent="0.25">
      <c r="A87">
        <v>100000</v>
      </c>
      <c r="B87" s="155">
        <f>IF(O87="PESO",VALUE(K87),K87*EERR!$D$2)</f>
        <v>0</v>
      </c>
      <c r="C87" s="241"/>
      <c r="D87" s="241"/>
      <c r="E87" s="241"/>
      <c r="F87" s="241"/>
      <c r="G87" s="241"/>
      <c r="H87" s="242"/>
      <c r="I87" s="242"/>
      <c r="J87" s="242"/>
      <c r="K87" s="242"/>
      <c r="L87" s="241"/>
      <c r="M87" s="242"/>
      <c r="N87" s="243"/>
      <c r="O87" s="244"/>
      <c r="P87" s="241"/>
      <c r="Q87" s="241"/>
      <c r="R87" s="241"/>
      <c r="S87" s="241"/>
      <c r="T87" s="241"/>
      <c r="U87" s="241"/>
      <c r="V87" s="241"/>
    </row>
    <row r="88" spans="1:22" x14ac:dyDescent="0.25">
      <c r="A88">
        <v>100000</v>
      </c>
      <c r="B88" s="155">
        <f>IF(O88="PESO",VALUE(K88),K88*EERR!$D$2)</f>
        <v>0</v>
      </c>
      <c r="C88" s="241"/>
      <c r="D88" s="241"/>
      <c r="E88" s="241"/>
      <c r="F88" s="241"/>
      <c r="G88" s="241"/>
      <c r="H88" s="242"/>
      <c r="I88" s="242"/>
      <c r="J88" s="242"/>
      <c r="K88" s="242"/>
      <c r="L88" s="241"/>
      <c r="M88" s="242"/>
      <c r="N88" s="243"/>
      <c r="O88" s="244"/>
      <c r="P88" s="241"/>
      <c r="Q88" s="241"/>
      <c r="R88" s="241"/>
      <c r="S88" s="241"/>
      <c r="T88" s="241"/>
      <c r="U88" s="241"/>
      <c r="V88" s="241"/>
    </row>
    <row r="89" spans="1:22" x14ac:dyDescent="0.25">
      <c r="A89">
        <v>100000</v>
      </c>
      <c r="B89" s="155">
        <f>IF(O89="PESO",VALUE(K89),K89*EERR!$D$2)</f>
        <v>0</v>
      </c>
      <c r="C89" s="241"/>
      <c r="D89" s="241"/>
      <c r="E89" s="241"/>
      <c r="F89" s="241"/>
      <c r="G89" s="241"/>
      <c r="H89" s="242"/>
      <c r="I89" s="242"/>
      <c r="J89" s="242"/>
      <c r="K89" s="242"/>
      <c r="L89" s="241"/>
      <c r="M89" s="242"/>
      <c r="N89" s="243"/>
      <c r="O89" s="244"/>
      <c r="P89" s="241"/>
      <c r="Q89" s="241"/>
      <c r="R89" s="241"/>
      <c r="S89" s="241"/>
      <c r="T89" s="241"/>
      <c r="U89" s="241"/>
      <c r="V89" s="241"/>
    </row>
    <row r="90" spans="1:22" x14ac:dyDescent="0.25">
      <c r="A90">
        <v>100000</v>
      </c>
      <c r="B90" s="155">
        <f>IF(O90="PESO",VALUE(K90),K90*EERR!$D$2)</f>
        <v>0</v>
      </c>
      <c r="C90" s="241"/>
      <c r="D90" s="241"/>
      <c r="E90" s="241"/>
      <c r="F90" s="241"/>
      <c r="G90" s="241"/>
      <c r="H90" s="242"/>
      <c r="I90" s="242"/>
      <c r="J90" s="242"/>
      <c r="K90" s="242"/>
      <c r="L90" s="241"/>
      <c r="M90" s="242"/>
      <c r="N90" s="243"/>
      <c r="O90" s="244"/>
      <c r="P90" s="241"/>
      <c r="Q90" s="241"/>
      <c r="R90" s="241"/>
      <c r="S90" s="241"/>
      <c r="T90" s="241"/>
      <c r="U90" s="241"/>
      <c r="V90" s="241"/>
    </row>
    <row r="91" spans="1:22" x14ac:dyDescent="0.25">
      <c r="A91">
        <v>100000</v>
      </c>
      <c r="B91" s="155">
        <f>IF(O91="PESO",VALUE(K91),K91*EERR!$D$2)</f>
        <v>0</v>
      </c>
      <c r="C91" s="241"/>
      <c r="D91" s="241"/>
      <c r="E91" s="241"/>
      <c r="F91" s="241"/>
      <c r="G91" s="241"/>
      <c r="H91" s="242"/>
      <c r="I91" s="242"/>
      <c r="J91" s="242"/>
      <c r="K91" s="242"/>
      <c r="L91" s="241"/>
      <c r="M91" s="242"/>
      <c r="N91" s="243"/>
      <c r="O91" s="244"/>
      <c r="P91" s="241"/>
      <c r="Q91" s="241"/>
      <c r="R91" s="241"/>
      <c r="S91" s="241"/>
      <c r="T91" s="241"/>
      <c r="U91" s="241"/>
      <c r="V91" s="241"/>
    </row>
    <row r="92" spans="1:22" x14ac:dyDescent="0.25">
      <c r="A92">
        <v>100000</v>
      </c>
      <c r="B92" s="155">
        <f>IF(O92="PESO",VALUE(K92),K92*EERR!$D$2)</f>
        <v>0</v>
      </c>
      <c r="C92" s="241"/>
      <c r="D92" s="241"/>
      <c r="E92" s="241"/>
      <c r="F92" s="241"/>
      <c r="G92" s="241"/>
      <c r="H92" s="242"/>
      <c r="I92" s="242"/>
      <c r="J92" s="242"/>
      <c r="K92" s="242"/>
      <c r="L92" s="241"/>
      <c r="M92" s="242"/>
      <c r="N92" s="243"/>
      <c r="O92" s="244"/>
      <c r="P92" s="241"/>
      <c r="Q92" s="241"/>
      <c r="R92" s="241"/>
      <c r="S92" s="241"/>
      <c r="T92" s="241"/>
      <c r="U92" s="241"/>
      <c r="V92" s="241"/>
    </row>
    <row r="93" spans="1:22" x14ac:dyDescent="0.25">
      <c r="A93">
        <v>100000</v>
      </c>
      <c r="B93" s="155">
        <f>IF(O93="PESO",VALUE(K93),K93*EERR!$D$2)</f>
        <v>0</v>
      </c>
      <c r="C93" s="241"/>
      <c r="D93" s="241"/>
      <c r="E93" s="241"/>
      <c r="F93" s="241"/>
      <c r="G93" s="241"/>
      <c r="H93" s="242"/>
      <c r="I93" s="242"/>
      <c r="J93" s="242"/>
      <c r="K93" s="242"/>
      <c r="L93" s="241"/>
      <c r="M93" s="242"/>
      <c r="N93" s="243"/>
      <c r="O93" s="244"/>
      <c r="P93" s="241"/>
      <c r="Q93" s="241"/>
      <c r="R93" s="241"/>
      <c r="S93" s="241"/>
      <c r="T93" s="241"/>
      <c r="U93" s="241"/>
      <c r="V93" s="241"/>
    </row>
    <row r="94" spans="1:22" x14ac:dyDescent="0.25">
      <c r="A94">
        <v>100000</v>
      </c>
      <c r="B94" s="155">
        <f>IF(O94="PESO",VALUE(K94),K94*EERR!$D$2)</f>
        <v>0</v>
      </c>
      <c r="C94" s="241"/>
      <c r="D94" s="241"/>
      <c r="E94" s="241"/>
      <c r="F94" s="241"/>
      <c r="G94" s="241"/>
      <c r="H94" s="242"/>
      <c r="I94" s="242"/>
      <c r="J94" s="242"/>
      <c r="K94" s="242"/>
      <c r="L94" s="241"/>
      <c r="M94" s="242"/>
      <c r="N94" s="243"/>
      <c r="O94" s="244"/>
      <c r="P94" s="241"/>
      <c r="Q94" s="241"/>
      <c r="R94" s="241"/>
      <c r="S94" s="241"/>
      <c r="T94" s="241"/>
      <c r="U94" s="241"/>
      <c r="V94" s="241"/>
    </row>
    <row r="95" spans="1:22" x14ac:dyDescent="0.25">
      <c r="A95">
        <v>100000</v>
      </c>
      <c r="B95" s="155">
        <f>IF(O95="PESO",VALUE(K95),K95*EERR!$D$2)</f>
        <v>0</v>
      </c>
      <c r="C95" s="241"/>
      <c r="D95" s="241"/>
      <c r="E95" s="241"/>
      <c r="F95" s="241"/>
      <c r="G95" s="241"/>
      <c r="H95" s="242"/>
      <c r="I95" s="242"/>
      <c r="J95" s="242"/>
      <c r="K95" s="242"/>
      <c r="L95" s="241"/>
      <c r="M95" s="242"/>
      <c r="N95" s="243"/>
      <c r="O95" s="244"/>
      <c r="P95" s="241"/>
      <c r="Q95" s="241"/>
      <c r="R95" s="241"/>
      <c r="S95" s="241"/>
      <c r="T95" s="241"/>
      <c r="U95" s="241"/>
      <c r="V95" s="241"/>
    </row>
    <row r="96" spans="1:22" x14ac:dyDescent="0.25">
      <c r="A96">
        <v>100000</v>
      </c>
      <c r="B96" s="155">
        <f>IF(O96="PESO",VALUE(K96),K96*EERR!$D$2)</f>
        <v>0</v>
      </c>
      <c r="C96" s="241"/>
      <c r="D96" s="241"/>
      <c r="E96" s="241"/>
      <c r="F96" s="241"/>
      <c r="G96" s="241"/>
      <c r="H96" s="242"/>
      <c r="I96" s="242"/>
      <c r="J96" s="242"/>
      <c r="K96" s="242"/>
      <c r="L96" s="241"/>
      <c r="M96" s="242"/>
      <c r="N96" s="243"/>
      <c r="O96" s="244"/>
      <c r="P96" s="241"/>
      <c r="Q96" s="241"/>
      <c r="R96" s="241"/>
      <c r="S96" s="241"/>
      <c r="T96" s="241"/>
      <c r="U96" s="241"/>
      <c r="V96" s="241"/>
    </row>
    <row r="97" spans="1:22" x14ac:dyDescent="0.25">
      <c r="A97">
        <v>100000</v>
      </c>
      <c r="B97" s="155">
        <f>IF(O97="PESO",VALUE(K97),K97*EERR!$D$2)</f>
        <v>0</v>
      </c>
      <c r="C97" s="241"/>
      <c r="D97" s="241"/>
      <c r="E97" s="241"/>
      <c r="F97" s="241"/>
      <c r="G97" s="241"/>
      <c r="H97" s="242"/>
      <c r="I97" s="242"/>
      <c r="J97" s="242"/>
      <c r="K97" s="242"/>
      <c r="L97" s="241"/>
      <c r="M97" s="242"/>
      <c r="N97" s="243"/>
      <c r="O97" s="244"/>
      <c r="P97" s="241"/>
      <c r="Q97" s="241"/>
      <c r="R97" s="241"/>
      <c r="S97" s="241"/>
      <c r="T97" s="241"/>
      <c r="U97" s="241"/>
      <c r="V97" s="241"/>
    </row>
    <row r="98" spans="1:22" x14ac:dyDescent="0.25">
      <c r="A98">
        <v>100000</v>
      </c>
      <c r="B98" s="155">
        <f>IF(O98="PESO",VALUE(K98),K98*EERR!$D$2)</f>
        <v>0</v>
      </c>
      <c r="C98" s="241"/>
      <c r="D98" s="241"/>
      <c r="E98" s="241"/>
      <c r="F98" s="241"/>
      <c r="G98" s="241"/>
      <c r="H98" s="242"/>
      <c r="I98" s="242"/>
      <c r="J98" s="242"/>
      <c r="K98" s="242"/>
      <c r="L98" s="241"/>
      <c r="M98" s="242"/>
      <c r="N98" s="243"/>
      <c r="O98" s="244"/>
      <c r="P98" s="241"/>
      <c r="Q98" s="241"/>
      <c r="R98" s="241"/>
      <c r="S98" s="241"/>
      <c r="T98" s="241"/>
      <c r="U98" s="241"/>
      <c r="V98" s="241"/>
    </row>
    <row r="99" spans="1:22" x14ac:dyDescent="0.25">
      <c r="A99">
        <v>100000</v>
      </c>
      <c r="B99" s="155">
        <f>IF(O99="PESO",VALUE(K99),K99*EERR!$D$2)</f>
        <v>0</v>
      </c>
      <c r="C99" s="241"/>
      <c r="D99" s="241"/>
      <c r="E99" s="241"/>
      <c r="F99" s="241"/>
      <c r="G99" s="241"/>
      <c r="H99" s="242"/>
      <c r="I99" s="242"/>
      <c r="J99" s="242"/>
      <c r="K99" s="242"/>
      <c r="L99" s="241"/>
      <c r="M99" s="242"/>
      <c r="N99" s="243"/>
      <c r="O99" s="244"/>
      <c r="P99" s="241"/>
      <c r="Q99" s="241"/>
      <c r="R99" s="241"/>
      <c r="S99" s="241"/>
      <c r="T99" s="241"/>
      <c r="U99" s="241"/>
      <c r="V99" s="241"/>
    </row>
    <row r="100" spans="1:22" x14ac:dyDescent="0.25">
      <c r="A100">
        <v>100000</v>
      </c>
      <c r="B100" s="155">
        <f>IF(O100="PESO",VALUE(K100),K100*EERR!$D$2)</f>
        <v>0</v>
      </c>
      <c r="C100" s="241"/>
      <c r="D100" s="241"/>
      <c r="E100" s="241"/>
      <c r="F100" s="241"/>
      <c r="G100" s="241"/>
      <c r="H100" s="242"/>
      <c r="I100" s="242"/>
      <c r="J100" s="242"/>
      <c r="K100" s="242"/>
      <c r="L100" s="241"/>
      <c r="M100" s="242"/>
      <c r="N100" s="243"/>
      <c r="O100" s="244"/>
      <c r="P100" s="241"/>
      <c r="Q100" s="241"/>
      <c r="R100" s="241"/>
      <c r="S100" s="241"/>
      <c r="T100" s="241"/>
      <c r="U100" s="241"/>
      <c r="V100" s="241"/>
    </row>
    <row r="101" spans="1:22" x14ac:dyDescent="0.25">
      <c r="A101">
        <v>100000</v>
      </c>
      <c r="B101" s="155">
        <f>IF(O101="PESO",VALUE(K101),K101*EERR!$D$2)</f>
        <v>0</v>
      </c>
      <c r="C101" s="241"/>
      <c r="D101" s="241"/>
      <c r="E101" s="241"/>
      <c r="F101" s="241"/>
      <c r="G101" s="241"/>
      <c r="H101" s="242"/>
      <c r="I101" s="242"/>
      <c r="J101" s="242"/>
      <c r="K101" s="242"/>
      <c r="L101" s="241"/>
      <c r="M101" s="242"/>
      <c r="N101" s="243"/>
      <c r="O101" s="244"/>
      <c r="P101" s="241"/>
      <c r="Q101" s="241"/>
      <c r="R101" s="241"/>
      <c r="S101" s="241"/>
      <c r="T101" s="241"/>
      <c r="U101" s="241"/>
      <c r="V101" s="241"/>
    </row>
    <row r="102" spans="1:22" x14ac:dyDescent="0.25">
      <c r="A102">
        <v>100000</v>
      </c>
      <c r="B102" s="155">
        <f>IF(O102="PESO",VALUE(K102),K102*EERR!$D$2)</f>
        <v>0</v>
      </c>
      <c r="C102" s="241"/>
      <c r="D102" s="241"/>
      <c r="E102" s="241"/>
      <c r="F102" s="241"/>
      <c r="G102" s="241"/>
      <c r="H102" s="242"/>
      <c r="I102" s="242"/>
      <c r="J102" s="242"/>
      <c r="K102" s="242"/>
      <c r="L102" s="241"/>
      <c r="M102" s="242"/>
      <c r="N102" s="243"/>
      <c r="O102" s="244"/>
      <c r="P102" s="241"/>
      <c r="Q102" s="241"/>
      <c r="R102" s="241"/>
      <c r="S102" s="241"/>
      <c r="T102" s="241"/>
      <c r="U102" s="241"/>
      <c r="V102" s="241"/>
    </row>
    <row r="103" spans="1:22" x14ac:dyDescent="0.25">
      <c r="A103">
        <v>100000</v>
      </c>
      <c r="B103" s="155">
        <f>IF(O103="PESO",VALUE(K103),K103*EERR!$D$2)</f>
        <v>0</v>
      </c>
      <c r="C103" s="241"/>
      <c r="D103" s="241"/>
      <c r="E103" s="241"/>
      <c r="F103" s="241"/>
      <c r="G103" s="241"/>
      <c r="H103" s="242"/>
      <c r="I103" s="242"/>
      <c r="J103" s="242"/>
      <c r="K103" s="242"/>
      <c r="L103" s="241"/>
      <c r="M103" s="242"/>
      <c r="N103" s="243"/>
      <c r="O103" s="244"/>
      <c r="P103" s="241"/>
      <c r="Q103" s="241"/>
      <c r="R103" s="241"/>
      <c r="S103" s="241"/>
      <c r="T103" s="241"/>
      <c r="U103" s="241"/>
      <c r="V103" s="241"/>
    </row>
    <row r="104" spans="1:22" x14ac:dyDescent="0.25">
      <c r="A104">
        <v>100000</v>
      </c>
      <c r="B104" s="155">
        <f>IF(O104="PESO",VALUE(K104),K104*EERR!$D$2)</f>
        <v>0</v>
      </c>
      <c r="C104" s="241"/>
      <c r="D104" s="241"/>
      <c r="E104" s="241"/>
      <c r="F104" s="241"/>
      <c r="G104" s="241"/>
      <c r="H104" s="242"/>
      <c r="I104" s="242"/>
      <c r="J104" s="242"/>
      <c r="K104" s="242"/>
      <c r="L104" s="241"/>
      <c r="M104" s="242"/>
      <c r="N104" s="243"/>
      <c r="O104" s="244"/>
      <c r="P104" s="241"/>
      <c r="Q104" s="241"/>
      <c r="R104" s="241"/>
      <c r="S104" s="241"/>
      <c r="T104" s="241"/>
      <c r="U104" s="241"/>
      <c r="V104" s="241"/>
    </row>
    <row r="105" spans="1:22" x14ac:dyDescent="0.25">
      <c r="A105">
        <v>100000</v>
      </c>
      <c r="B105" s="155">
        <f>IF(O105="PESO",VALUE(K105),K105*EERR!$D$2)</f>
        <v>0</v>
      </c>
      <c r="C105" s="241"/>
      <c r="D105" s="241"/>
      <c r="E105" s="241"/>
      <c r="F105" s="241"/>
      <c r="G105" s="241"/>
      <c r="H105" s="242"/>
      <c r="I105" s="242"/>
      <c r="J105" s="242"/>
      <c r="K105" s="242"/>
      <c r="L105" s="241"/>
      <c r="M105" s="242"/>
      <c r="N105" s="243"/>
      <c r="O105" s="244"/>
      <c r="P105" s="241"/>
      <c r="Q105" s="241"/>
      <c r="R105" s="241"/>
      <c r="S105" s="241"/>
      <c r="T105" s="241"/>
      <c r="U105" s="241"/>
      <c r="V105" s="241"/>
    </row>
    <row r="106" spans="1:22" x14ac:dyDescent="0.25">
      <c r="A106">
        <v>100000</v>
      </c>
      <c r="B106" s="155">
        <f>IF(O106="PESO",VALUE(K106),K106*EERR!$D$2)</f>
        <v>0</v>
      </c>
      <c r="C106" s="241"/>
      <c r="D106" s="241"/>
      <c r="E106" s="241"/>
      <c r="F106" s="241"/>
      <c r="G106" s="241"/>
      <c r="H106" s="242"/>
      <c r="I106" s="242"/>
      <c r="J106" s="242"/>
      <c r="K106" s="242"/>
      <c r="L106" s="241"/>
      <c r="M106" s="242"/>
      <c r="N106" s="243"/>
      <c r="O106" s="244"/>
      <c r="P106" s="241"/>
      <c r="Q106" s="241"/>
      <c r="R106" s="241"/>
      <c r="S106" s="241"/>
      <c r="T106" s="241"/>
      <c r="U106" s="241"/>
      <c r="V106" s="241"/>
    </row>
    <row r="107" spans="1:22" x14ac:dyDescent="0.25">
      <c r="A107">
        <v>100000</v>
      </c>
      <c r="B107" s="155">
        <f>IF(O107="PESO",VALUE(K107),K107*EERR!$D$2)</f>
        <v>0</v>
      </c>
      <c r="C107" s="241"/>
      <c r="D107" s="241"/>
      <c r="E107" s="241"/>
      <c r="F107" s="241"/>
      <c r="G107" s="241"/>
      <c r="H107" s="242"/>
      <c r="I107" s="242"/>
      <c r="J107" s="242"/>
      <c r="K107" s="242"/>
      <c r="L107" s="241"/>
      <c r="M107" s="242"/>
      <c r="N107" s="243"/>
      <c r="O107" s="244"/>
      <c r="P107" s="241"/>
      <c r="Q107" s="241"/>
      <c r="R107" s="241"/>
      <c r="S107" s="241"/>
      <c r="T107" s="241"/>
      <c r="U107" s="241"/>
      <c r="V107" s="241"/>
    </row>
    <row r="108" spans="1:22" x14ac:dyDescent="0.25">
      <c r="A108">
        <v>100000</v>
      </c>
      <c r="B108" s="155">
        <f>IF(O108="PESO",VALUE(K108),K108*EERR!$D$2)</f>
        <v>0</v>
      </c>
      <c r="C108" s="241"/>
      <c r="D108" s="241"/>
      <c r="E108" s="241"/>
      <c r="F108" s="241"/>
      <c r="G108" s="241"/>
      <c r="H108" s="242"/>
      <c r="I108" s="242"/>
      <c r="J108" s="242"/>
      <c r="K108" s="242"/>
      <c r="L108" s="241"/>
      <c r="M108" s="242"/>
      <c r="N108" s="243"/>
      <c r="O108" s="244"/>
      <c r="P108" s="241"/>
      <c r="Q108" s="241"/>
      <c r="R108" s="241"/>
      <c r="S108" s="241"/>
      <c r="T108" s="241"/>
      <c r="U108" s="241"/>
      <c r="V108" s="241"/>
    </row>
    <row r="109" spans="1:22" x14ac:dyDescent="0.25">
      <c r="A109">
        <v>100000</v>
      </c>
      <c r="B109" s="155">
        <f>IF(O109="PESO",VALUE(K109),K109*EERR!$D$2)</f>
        <v>0</v>
      </c>
      <c r="C109" s="241"/>
      <c r="D109" s="241"/>
      <c r="E109" s="241"/>
      <c r="F109" s="241"/>
      <c r="G109" s="241"/>
      <c r="H109" s="242"/>
      <c r="I109" s="242"/>
      <c r="J109" s="242"/>
      <c r="K109" s="242"/>
      <c r="L109" s="241"/>
      <c r="M109" s="242"/>
      <c r="N109" s="243"/>
      <c r="O109" s="244"/>
      <c r="P109" s="241"/>
      <c r="Q109" s="241"/>
      <c r="R109" s="241"/>
      <c r="S109" s="241"/>
      <c r="T109" s="241"/>
      <c r="U109" s="241"/>
      <c r="V109" s="241"/>
    </row>
    <row r="110" spans="1:22" x14ac:dyDescent="0.25">
      <c r="A110">
        <v>100000</v>
      </c>
      <c r="B110" s="155">
        <f>IF(O110="PESO",VALUE(K110),K110*EERR!$D$2)</f>
        <v>0</v>
      </c>
      <c r="C110" s="241"/>
      <c r="D110" s="241"/>
      <c r="E110" s="241"/>
      <c r="F110" s="241"/>
      <c r="G110" s="241"/>
      <c r="H110" s="242"/>
      <c r="I110" s="242"/>
      <c r="J110" s="242"/>
      <c r="K110" s="242"/>
      <c r="L110" s="241"/>
      <c r="M110" s="242"/>
      <c r="N110" s="243"/>
      <c r="O110" s="244"/>
      <c r="P110" s="241"/>
      <c r="Q110" s="241"/>
      <c r="R110" s="241"/>
      <c r="S110" s="241"/>
      <c r="T110" s="241"/>
      <c r="U110" s="241"/>
      <c r="V110" s="241"/>
    </row>
    <row r="111" spans="1:22" x14ac:dyDescent="0.25">
      <c r="A111">
        <v>100000</v>
      </c>
      <c r="B111" s="155">
        <f>IF(O111="PESO",VALUE(K111),K111*EERR!$D$2)</f>
        <v>0</v>
      </c>
      <c r="C111" s="241"/>
      <c r="D111" s="241"/>
      <c r="E111" s="241"/>
      <c r="F111" s="241"/>
      <c r="G111" s="241"/>
      <c r="H111" s="242"/>
      <c r="I111" s="242"/>
      <c r="J111" s="242"/>
      <c r="K111" s="242"/>
      <c r="L111" s="241"/>
      <c r="M111" s="242"/>
      <c r="N111" s="243"/>
      <c r="O111" s="244"/>
      <c r="P111" s="241"/>
      <c r="Q111" s="241"/>
      <c r="R111" s="241"/>
      <c r="S111" s="241"/>
      <c r="T111" s="241"/>
      <c r="U111" s="241"/>
      <c r="V111" s="241"/>
    </row>
    <row r="112" spans="1:22" x14ac:dyDescent="0.25">
      <c r="A112">
        <v>100000</v>
      </c>
      <c r="B112" s="155">
        <f>IF(O112="PESO",VALUE(K112),K112*EERR!$D$2)</f>
        <v>0</v>
      </c>
      <c r="C112" s="241"/>
      <c r="D112" s="241"/>
      <c r="E112" s="241"/>
      <c r="F112" s="241"/>
      <c r="G112" s="241"/>
      <c r="H112" s="242"/>
      <c r="I112" s="242"/>
      <c r="J112" s="242"/>
      <c r="K112" s="242"/>
      <c r="L112" s="241"/>
      <c r="M112" s="242"/>
      <c r="N112" s="243"/>
      <c r="O112" s="244"/>
      <c r="P112" s="241"/>
      <c r="Q112" s="241"/>
      <c r="R112" s="241"/>
      <c r="S112" s="241"/>
      <c r="T112" s="241"/>
      <c r="U112" s="241"/>
      <c r="V112" s="241"/>
    </row>
    <row r="113" spans="1:22" x14ac:dyDescent="0.25">
      <c r="A113">
        <v>100000</v>
      </c>
      <c r="B113" s="155">
        <f>IF(O113="PESO",VALUE(K113),K113*EERR!$D$2)</f>
        <v>0</v>
      </c>
      <c r="C113" s="241"/>
      <c r="D113" s="241"/>
      <c r="E113" s="241"/>
      <c r="F113" s="241"/>
      <c r="G113" s="241"/>
      <c r="H113" s="242"/>
      <c r="I113" s="242"/>
      <c r="J113" s="242"/>
      <c r="K113" s="242"/>
      <c r="L113" s="241"/>
      <c r="M113" s="242"/>
      <c r="N113" s="243"/>
      <c r="O113" s="244"/>
      <c r="P113" s="241"/>
      <c r="Q113" s="241"/>
      <c r="R113" s="241"/>
      <c r="S113" s="241"/>
      <c r="T113" s="241"/>
      <c r="U113" s="241"/>
      <c r="V113" s="241"/>
    </row>
    <row r="114" spans="1:22" x14ac:dyDescent="0.25">
      <c r="A114">
        <v>100000</v>
      </c>
      <c r="B114" s="155">
        <f>IF(O114="PESO",VALUE(K114),K114*EERR!$D$2)</f>
        <v>0</v>
      </c>
      <c r="C114" s="241"/>
      <c r="D114" s="241"/>
      <c r="E114" s="241"/>
      <c r="F114" s="241"/>
      <c r="G114" s="241"/>
      <c r="H114" s="242"/>
      <c r="I114" s="242"/>
      <c r="J114" s="242"/>
      <c r="K114" s="242"/>
      <c r="L114" s="241"/>
      <c r="M114" s="242"/>
      <c r="N114" s="243"/>
      <c r="O114" s="244"/>
      <c r="P114" s="241"/>
      <c r="Q114" s="241"/>
      <c r="R114" s="241"/>
      <c r="S114" s="241"/>
      <c r="T114" s="241"/>
      <c r="U114" s="241"/>
      <c r="V114" s="241"/>
    </row>
    <row r="115" spans="1:22" x14ac:dyDescent="0.25">
      <c r="A115">
        <v>100000</v>
      </c>
      <c r="B115" s="155">
        <f>IF(O115="PESO",VALUE(K115),K115*EERR!$D$2)</f>
        <v>0</v>
      </c>
      <c r="C115" s="241"/>
      <c r="D115" s="241"/>
      <c r="E115" s="241"/>
      <c r="F115" s="241"/>
      <c r="G115" s="241"/>
      <c r="H115" s="242"/>
      <c r="I115" s="242"/>
      <c r="J115" s="242"/>
      <c r="K115" s="242"/>
      <c r="L115" s="241"/>
      <c r="M115" s="242"/>
      <c r="N115" s="243"/>
      <c r="O115" s="244"/>
      <c r="P115" s="241"/>
      <c r="Q115" s="241"/>
      <c r="R115" s="241"/>
      <c r="S115" s="241"/>
      <c r="T115" s="241"/>
      <c r="U115" s="241"/>
      <c r="V115" s="241"/>
    </row>
    <row r="116" spans="1:22" x14ac:dyDescent="0.25">
      <c r="A116">
        <v>100000</v>
      </c>
      <c r="B116" s="155">
        <f>IF(O116="PESO",VALUE(K116),K116*EERR!$D$2)</f>
        <v>0</v>
      </c>
      <c r="C116" s="241"/>
      <c r="D116" s="241"/>
      <c r="E116" s="241"/>
      <c r="F116" s="241"/>
      <c r="G116" s="241"/>
      <c r="H116" s="242"/>
      <c r="I116" s="242"/>
      <c r="J116" s="242"/>
      <c r="K116" s="242"/>
      <c r="L116" s="241"/>
      <c r="M116" s="242"/>
      <c r="N116" s="243"/>
      <c r="O116" s="244"/>
      <c r="P116" s="241"/>
      <c r="Q116" s="241"/>
      <c r="R116" s="241"/>
      <c r="S116" s="241"/>
      <c r="T116" s="241"/>
      <c r="U116" s="241"/>
      <c r="V116" s="241"/>
    </row>
    <row r="117" spans="1:22" x14ac:dyDescent="0.25">
      <c r="A117">
        <v>100000</v>
      </c>
      <c r="B117" s="155">
        <f>IF(O117="PESO",VALUE(K117),K117*EERR!$D$2)</f>
        <v>0</v>
      </c>
      <c r="C117" s="241"/>
      <c r="D117" s="241"/>
      <c r="E117" s="241"/>
      <c r="F117" s="241"/>
      <c r="G117" s="241"/>
      <c r="H117" s="242"/>
      <c r="I117" s="242"/>
      <c r="J117" s="242"/>
      <c r="K117" s="242"/>
      <c r="L117" s="241"/>
      <c r="M117" s="242"/>
      <c r="N117" s="243"/>
      <c r="O117" s="244"/>
      <c r="P117" s="241"/>
      <c r="Q117" s="241"/>
      <c r="R117" s="241"/>
      <c r="S117" s="241"/>
      <c r="T117" s="241"/>
      <c r="U117" s="241"/>
      <c r="V117" s="241"/>
    </row>
    <row r="118" spans="1:22" x14ac:dyDescent="0.25">
      <c r="A118">
        <v>100000</v>
      </c>
      <c r="B118" s="155">
        <f>IF(O118="PESO",VALUE(K118),K118*EERR!$D$2)</f>
        <v>0</v>
      </c>
      <c r="C118" s="241"/>
      <c r="D118" s="241"/>
      <c r="E118" s="241"/>
      <c r="F118" s="241"/>
      <c r="G118" s="241"/>
      <c r="H118" s="242"/>
      <c r="I118" s="242"/>
      <c r="J118" s="242"/>
      <c r="K118" s="242"/>
      <c r="L118" s="241"/>
      <c r="M118" s="242"/>
      <c r="N118" s="243"/>
      <c r="O118" s="244"/>
      <c r="P118" s="241"/>
      <c r="Q118" s="241"/>
      <c r="R118" s="241"/>
      <c r="S118" s="241"/>
      <c r="T118" s="241"/>
      <c r="U118" s="241"/>
      <c r="V118" s="241"/>
    </row>
    <row r="119" spans="1:22" x14ac:dyDescent="0.25">
      <c r="A119">
        <v>100000</v>
      </c>
      <c r="B119" s="155">
        <f>IF(O119="PESO",VALUE(K119),K119*EERR!$D$2)</f>
        <v>0</v>
      </c>
      <c r="C119" s="241"/>
      <c r="D119" s="241"/>
      <c r="E119" s="241"/>
      <c r="F119" s="241"/>
      <c r="G119" s="241"/>
      <c r="H119" s="242"/>
      <c r="I119" s="242"/>
      <c r="J119" s="242"/>
      <c r="K119" s="242"/>
      <c r="L119" s="241"/>
      <c r="M119" s="242"/>
      <c r="N119" s="243"/>
      <c r="O119" s="244"/>
      <c r="P119" s="241"/>
      <c r="Q119" s="241"/>
      <c r="R119" s="241"/>
      <c r="S119" s="241"/>
      <c r="T119" s="241"/>
      <c r="U119" s="241"/>
      <c r="V119" s="241"/>
    </row>
    <row r="120" spans="1:22" x14ac:dyDescent="0.25">
      <c r="A120">
        <v>100000</v>
      </c>
      <c r="B120" s="155">
        <f>IF(O120="PESO",VALUE(K120),K120*EERR!$D$2)</f>
        <v>0</v>
      </c>
      <c r="C120" s="241"/>
      <c r="D120" s="241"/>
      <c r="E120" s="241"/>
      <c r="F120" s="241"/>
      <c r="G120" s="241"/>
      <c r="H120" s="242"/>
      <c r="I120" s="242"/>
      <c r="J120" s="242"/>
      <c r="K120" s="242"/>
      <c r="L120" s="241"/>
      <c r="M120" s="242"/>
      <c r="N120" s="243"/>
      <c r="O120" s="244"/>
      <c r="P120" s="241"/>
      <c r="Q120" s="241"/>
      <c r="R120" s="241"/>
      <c r="S120" s="241"/>
      <c r="T120" s="241"/>
      <c r="U120" s="241"/>
      <c r="V120" s="241"/>
    </row>
    <row r="121" spans="1:22" x14ac:dyDescent="0.25">
      <c r="A121">
        <v>100000</v>
      </c>
      <c r="B121" s="155">
        <f>IF(O121="PESO",VALUE(K121),K121*EERR!$D$2)</f>
        <v>0</v>
      </c>
      <c r="C121" s="241"/>
      <c r="D121" s="241"/>
      <c r="E121" s="241"/>
      <c r="F121" s="241"/>
      <c r="G121" s="241"/>
      <c r="H121" s="242"/>
      <c r="I121" s="242"/>
      <c r="J121" s="242"/>
      <c r="K121" s="242"/>
      <c r="L121" s="241"/>
      <c r="M121" s="242"/>
      <c r="N121" s="243"/>
      <c r="O121" s="244"/>
      <c r="P121" s="241"/>
      <c r="Q121" s="241"/>
      <c r="R121" s="241"/>
      <c r="S121" s="241"/>
      <c r="T121" s="241"/>
      <c r="U121" s="241"/>
      <c r="V121" s="241"/>
    </row>
    <row r="122" spans="1:22" x14ac:dyDescent="0.25">
      <c r="A122">
        <v>100000</v>
      </c>
      <c r="B122" s="155">
        <f>IF(O122="PESO",VALUE(K122),K122*EERR!$D$2)</f>
        <v>0</v>
      </c>
      <c r="C122" s="241"/>
      <c r="D122" s="241"/>
      <c r="E122" s="241"/>
      <c r="F122" s="241"/>
      <c r="G122" s="241"/>
      <c r="H122" s="242"/>
      <c r="I122" s="242"/>
      <c r="J122" s="242"/>
      <c r="K122" s="242"/>
      <c r="L122" s="241"/>
      <c r="M122" s="242"/>
      <c r="N122" s="243"/>
      <c r="O122" s="244"/>
      <c r="P122" s="241"/>
      <c r="Q122" s="241"/>
      <c r="R122" s="241"/>
      <c r="S122" s="241"/>
      <c r="T122" s="241"/>
      <c r="U122" s="241"/>
      <c r="V122" s="241"/>
    </row>
    <row r="123" spans="1:22" x14ac:dyDescent="0.25">
      <c r="A123">
        <v>100000</v>
      </c>
      <c r="B123" s="155">
        <f>IF(O123="PESO",VALUE(K123),K123*EERR!$D$2)</f>
        <v>0</v>
      </c>
      <c r="C123" s="241"/>
      <c r="D123" s="241"/>
      <c r="E123" s="241"/>
      <c r="F123" s="241"/>
      <c r="G123" s="241"/>
      <c r="H123" s="242"/>
      <c r="I123" s="242"/>
      <c r="J123" s="242"/>
      <c r="K123" s="242"/>
      <c r="L123" s="241"/>
      <c r="M123" s="242"/>
      <c r="N123" s="243"/>
      <c r="O123" s="244"/>
      <c r="P123" s="241"/>
      <c r="Q123" s="241"/>
      <c r="R123" s="241"/>
      <c r="S123" s="241"/>
      <c r="T123" s="241"/>
      <c r="U123" s="241"/>
      <c r="V123" s="241"/>
    </row>
    <row r="124" spans="1:22" x14ac:dyDescent="0.25">
      <c r="A124">
        <v>100000</v>
      </c>
      <c r="B124" s="155">
        <f>IF(O124="PESO",VALUE(K124),K124*EERR!$D$2)</f>
        <v>0</v>
      </c>
      <c r="C124" s="241"/>
      <c r="D124" s="241"/>
      <c r="E124" s="241"/>
      <c r="F124" s="241"/>
      <c r="G124" s="241"/>
      <c r="H124" s="242"/>
      <c r="I124" s="242"/>
      <c r="J124" s="242"/>
      <c r="K124" s="242"/>
      <c r="L124" s="241"/>
      <c r="M124" s="242"/>
      <c r="N124" s="243"/>
      <c r="O124" s="244"/>
      <c r="P124" s="241"/>
      <c r="Q124" s="241"/>
      <c r="R124" s="241"/>
      <c r="S124" s="241"/>
      <c r="T124" s="241"/>
      <c r="U124" s="241"/>
      <c r="V124" s="241"/>
    </row>
    <row r="125" spans="1:22" x14ac:dyDescent="0.25">
      <c r="A125">
        <v>100000</v>
      </c>
      <c r="B125" s="155">
        <f>IF(O125="PESO",VALUE(K125),K125*EERR!$D$2)</f>
        <v>0</v>
      </c>
      <c r="C125" s="241"/>
      <c r="D125" s="241"/>
      <c r="E125" s="241"/>
      <c r="F125" s="241"/>
      <c r="G125" s="241"/>
      <c r="H125" s="242"/>
      <c r="I125" s="242"/>
      <c r="J125" s="242"/>
      <c r="K125" s="242"/>
      <c r="L125" s="241"/>
      <c r="M125" s="242"/>
      <c r="N125" s="243"/>
      <c r="O125" s="244"/>
      <c r="P125" s="241"/>
      <c r="Q125" s="241"/>
      <c r="R125" s="241"/>
      <c r="S125" s="241"/>
      <c r="T125" s="241"/>
      <c r="U125" s="241"/>
      <c r="V125" s="241"/>
    </row>
    <row r="126" spans="1:22" x14ac:dyDescent="0.25">
      <c r="A126">
        <v>100000</v>
      </c>
      <c r="B126" s="155">
        <f>IF(O126="PESO",VALUE(K126),K126*EERR!$D$2)</f>
        <v>0</v>
      </c>
      <c r="C126" s="241"/>
      <c r="D126" s="241"/>
      <c r="E126" s="241"/>
      <c r="F126" s="241"/>
      <c r="G126" s="241"/>
      <c r="H126" s="242"/>
      <c r="I126" s="242"/>
      <c r="J126" s="242"/>
      <c r="K126" s="242"/>
      <c r="L126" s="241"/>
      <c r="M126" s="242"/>
      <c r="N126" s="243"/>
      <c r="O126" s="244"/>
      <c r="P126" s="241"/>
      <c r="Q126" s="241"/>
      <c r="R126" s="241"/>
      <c r="S126" s="241"/>
      <c r="T126" s="241"/>
      <c r="U126" s="241"/>
      <c r="V126" s="241"/>
    </row>
    <row r="127" spans="1:22" x14ac:dyDescent="0.25">
      <c r="A127">
        <v>100000</v>
      </c>
      <c r="B127" s="155">
        <f>IF(O127="PESO",VALUE(K127),K127*EERR!$D$2)</f>
        <v>0</v>
      </c>
      <c r="C127" s="241"/>
      <c r="D127" s="241"/>
      <c r="E127" s="241"/>
      <c r="F127" s="241"/>
      <c r="G127" s="241"/>
      <c r="H127" s="242"/>
      <c r="I127" s="242"/>
      <c r="J127" s="242"/>
      <c r="K127" s="242"/>
      <c r="L127" s="241"/>
      <c r="M127" s="242"/>
      <c r="N127" s="243"/>
      <c r="O127" s="244"/>
      <c r="P127" s="241"/>
      <c r="Q127" s="241"/>
      <c r="R127" s="241"/>
      <c r="S127" s="241"/>
      <c r="T127" s="241"/>
      <c r="U127" s="241"/>
    </row>
    <row r="128" spans="1:22" x14ac:dyDescent="0.25">
      <c r="A128">
        <v>100000</v>
      </c>
      <c r="B128" s="155">
        <f>IF(O128="PESO",VALUE(K128),K128*EERR!$D$2)</f>
        <v>0</v>
      </c>
      <c r="C128" s="241"/>
      <c r="D128" s="241"/>
      <c r="E128" s="241"/>
      <c r="F128" s="241"/>
      <c r="G128" s="241"/>
      <c r="H128" s="242"/>
      <c r="I128" s="242"/>
      <c r="J128" s="242"/>
      <c r="K128" s="242"/>
      <c r="L128" s="241"/>
      <c r="M128" s="242"/>
      <c r="N128" s="243"/>
      <c r="O128" s="244"/>
      <c r="P128" s="241"/>
      <c r="Q128" s="241"/>
      <c r="R128" s="241"/>
      <c r="S128" s="241"/>
      <c r="T128" s="241"/>
      <c r="U128" s="241"/>
    </row>
    <row r="129" spans="1:21" x14ac:dyDescent="0.25">
      <c r="A129">
        <v>100000</v>
      </c>
      <c r="B129" s="155">
        <f>IF(O129="PESO",VALUE(K129),K129*EERR!$D$2)</f>
        <v>0</v>
      </c>
      <c r="C129" s="241"/>
      <c r="D129" s="241"/>
      <c r="E129" s="241"/>
      <c r="F129" s="241"/>
      <c r="G129" s="241"/>
      <c r="H129" s="242"/>
      <c r="I129" s="242"/>
      <c r="J129" s="242"/>
      <c r="K129" s="242"/>
      <c r="L129" s="241"/>
      <c r="M129" s="242"/>
      <c r="N129" s="243"/>
      <c r="O129" s="244"/>
      <c r="P129" s="241"/>
      <c r="Q129" s="241"/>
      <c r="R129" s="241"/>
      <c r="S129" s="241"/>
      <c r="T129" s="241"/>
      <c r="U129" s="241"/>
    </row>
    <row r="130" spans="1:21" x14ac:dyDescent="0.25">
      <c r="A130">
        <v>100000</v>
      </c>
      <c r="B130" s="155">
        <f>IF(O130="PESO",VALUE(K130),K130*EERR!$D$2)</f>
        <v>0</v>
      </c>
      <c r="C130" s="241"/>
      <c r="D130" s="241"/>
      <c r="E130" s="241"/>
      <c r="F130" s="241"/>
      <c r="G130" s="241"/>
      <c r="H130" s="242"/>
      <c r="I130" s="242"/>
      <c r="J130" s="242"/>
      <c r="K130" s="242"/>
      <c r="L130" s="241"/>
      <c r="M130" s="242"/>
      <c r="N130" s="243"/>
      <c r="O130" s="244"/>
      <c r="P130" s="241"/>
      <c r="Q130" s="241"/>
      <c r="R130" s="241"/>
      <c r="S130" s="241"/>
      <c r="T130" s="241"/>
      <c r="U130" s="241"/>
    </row>
    <row r="131" spans="1:21" x14ac:dyDescent="0.25">
      <c r="A131">
        <v>100000</v>
      </c>
      <c r="B131" s="155">
        <f>IF(O131="PESO",VALUE(K131),K131*EERR!$D$2)</f>
        <v>0</v>
      </c>
      <c r="C131" s="241"/>
      <c r="D131" s="241"/>
      <c r="E131" s="241"/>
      <c r="F131" s="241"/>
      <c r="G131" s="241"/>
      <c r="H131" s="242"/>
      <c r="I131" s="242"/>
      <c r="J131" s="242"/>
      <c r="K131" s="242"/>
      <c r="L131" s="241"/>
      <c r="M131" s="242"/>
      <c r="N131" s="243"/>
      <c r="O131" s="244"/>
      <c r="P131" s="241"/>
      <c r="Q131" s="241"/>
      <c r="R131" s="241"/>
      <c r="S131" s="241"/>
      <c r="T131" s="241"/>
      <c r="U131" s="241"/>
    </row>
    <row r="132" spans="1:21" x14ac:dyDescent="0.25">
      <c r="A132">
        <v>100000</v>
      </c>
      <c r="B132" s="155">
        <f>IF(O132="PESO",VALUE(K132),K132*EERR!$D$2)</f>
        <v>0</v>
      </c>
      <c r="C132" s="241"/>
      <c r="D132" s="241"/>
      <c r="E132" s="241"/>
      <c r="F132" s="241"/>
      <c r="G132" s="241"/>
      <c r="H132" s="242"/>
      <c r="I132" s="242"/>
      <c r="J132" s="242"/>
      <c r="K132" s="242"/>
      <c r="L132" s="241"/>
      <c r="M132" s="242"/>
      <c r="N132" s="243"/>
      <c r="O132" s="244"/>
      <c r="P132" s="241"/>
      <c r="Q132" s="241"/>
      <c r="R132" s="241"/>
      <c r="S132" s="241"/>
      <c r="T132" s="241"/>
      <c r="U132" s="241"/>
    </row>
    <row r="133" spans="1:21" x14ac:dyDescent="0.25">
      <c r="A133">
        <v>100000</v>
      </c>
      <c r="B133" s="155">
        <f>IF(O133="PESO",VALUE(K133),K133*EERR!$D$2)</f>
        <v>0</v>
      </c>
      <c r="C133" s="241"/>
      <c r="D133" s="241"/>
      <c r="E133" s="241"/>
      <c r="F133" s="241"/>
      <c r="G133" s="241"/>
      <c r="H133" s="242"/>
      <c r="I133" s="242"/>
      <c r="J133" s="242"/>
      <c r="K133" s="242"/>
      <c r="L133" s="241"/>
      <c r="M133" s="242"/>
      <c r="N133" s="243"/>
      <c r="O133" s="244"/>
      <c r="P133" s="241"/>
      <c r="Q133" s="241"/>
      <c r="R133" s="241"/>
      <c r="S133" s="241"/>
      <c r="T133" s="241"/>
      <c r="U133" s="241"/>
    </row>
    <row r="134" spans="1:21" x14ac:dyDescent="0.25">
      <c r="A134">
        <v>100000</v>
      </c>
      <c r="B134" s="155">
        <f>IF(O134="PESO",VALUE(K134),K134*EERR!$D$2)</f>
        <v>0</v>
      </c>
      <c r="C134" s="241"/>
      <c r="D134" s="241"/>
      <c r="E134" s="241"/>
      <c r="F134" s="241"/>
      <c r="G134" s="241"/>
      <c r="H134" s="242"/>
      <c r="I134" s="242"/>
      <c r="J134" s="242"/>
      <c r="K134" s="242"/>
      <c r="L134" s="241"/>
      <c r="M134" s="242"/>
      <c r="N134" s="243"/>
      <c r="O134" s="244"/>
      <c r="P134" s="241"/>
      <c r="Q134" s="241"/>
      <c r="R134" s="241"/>
      <c r="S134" s="241"/>
      <c r="T134" s="241"/>
      <c r="U134" s="241"/>
    </row>
    <row r="135" spans="1:21" x14ac:dyDescent="0.25">
      <c r="A135">
        <v>100000</v>
      </c>
      <c r="B135" s="155">
        <f>IF(O135="PESO",VALUE(K135),K135*EERR!$D$2)</f>
        <v>0</v>
      </c>
      <c r="C135" s="241"/>
      <c r="D135" s="241"/>
      <c r="E135" s="241"/>
      <c r="F135" s="241"/>
      <c r="G135" s="241"/>
      <c r="H135" s="242"/>
      <c r="I135" s="242"/>
      <c r="J135" s="242"/>
      <c r="K135" s="242"/>
      <c r="L135" s="241"/>
      <c r="M135" s="242"/>
      <c r="N135" s="243"/>
      <c r="O135" s="244"/>
      <c r="P135" s="241"/>
      <c r="Q135" s="241"/>
      <c r="R135" s="241"/>
      <c r="S135" s="241"/>
      <c r="T135" s="241"/>
      <c r="U135" s="241"/>
    </row>
    <row r="136" spans="1:21" x14ac:dyDescent="0.25">
      <c r="A136">
        <v>100000</v>
      </c>
      <c r="B136" s="155">
        <f>IF(O136="PESO",VALUE(K136),K136*EERR!$D$2)</f>
        <v>0</v>
      </c>
      <c r="C136" s="241"/>
      <c r="D136" s="241"/>
      <c r="E136" s="241"/>
      <c r="F136" s="241"/>
      <c r="G136" s="241"/>
      <c r="H136" s="242"/>
      <c r="I136" s="242"/>
      <c r="J136" s="242"/>
      <c r="K136" s="242"/>
      <c r="L136" s="241"/>
      <c r="M136" s="242"/>
      <c r="N136" s="243"/>
      <c r="O136" s="244"/>
      <c r="P136" s="241"/>
      <c r="Q136" s="241"/>
      <c r="R136" s="241"/>
      <c r="S136" s="241"/>
      <c r="T136" s="241"/>
      <c r="U136" s="241"/>
    </row>
    <row r="137" spans="1:21" x14ac:dyDescent="0.25">
      <c r="A137">
        <v>100000</v>
      </c>
      <c r="B137" s="155">
        <f>IF(O137="PESO",VALUE(K137),K137*EERR!$D$2)</f>
        <v>0</v>
      </c>
      <c r="C137" s="241"/>
      <c r="D137" s="241"/>
      <c r="E137" s="241"/>
      <c r="F137" s="241"/>
      <c r="G137" s="241"/>
      <c r="H137" s="242"/>
      <c r="I137" s="242"/>
      <c r="J137" s="242"/>
      <c r="K137" s="242"/>
      <c r="L137" s="241"/>
      <c r="M137" s="242"/>
      <c r="N137" s="243"/>
      <c r="O137" s="244"/>
      <c r="P137" s="241"/>
      <c r="Q137" s="241"/>
      <c r="R137" s="241"/>
      <c r="S137" s="241"/>
      <c r="T137" s="241"/>
      <c r="U137" s="241"/>
    </row>
    <row r="138" spans="1:21" x14ac:dyDescent="0.25">
      <c r="A138">
        <v>100000</v>
      </c>
      <c r="B138" s="155">
        <f>IF(O138="PESO",VALUE(K138),K138*EERR!$D$2)</f>
        <v>0</v>
      </c>
      <c r="C138" s="241"/>
      <c r="D138" s="241"/>
      <c r="E138" s="241"/>
      <c r="F138" s="241"/>
      <c r="G138" s="241"/>
      <c r="H138" s="242"/>
      <c r="I138" s="242"/>
      <c r="J138" s="242"/>
      <c r="K138" s="242"/>
      <c r="L138" s="241"/>
      <c r="M138" s="242"/>
      <c r="N138" s="243"/>
      <c r="O138" s="244"/>
      <c r="P138" s="241"/>
      <c r="Q138" s="241"/>
      <c r="R138" s="241"/>
      <c r="S138" s="241"/>
      <c r="T138" s="241"/>
      <c r="U138" s="241"/>
    </row>
    <row r="139" spans="1:21" x14ac:dyDescent="0.25">
      <c r="A139">
        <v>100000</v>
      </c>
      <c r="B139" s="155">
        <f>IF(O139="PESO",VALUE(K139),K139*EERR!$D$2)</f>
        <v>0</v>
      </c>
      <c r="C139" s="241"/>
      <c r="D139" s="241"/>
      <c r="E139" s="241"/>
      <c r="F139" s="241"/>
      <c r="G139" s="241"/>
      <c r="H139" s="242"/>
      <c r="I139" s="242"/>
      <c r="J139" s="242"/>
      <c r="K139" s="242"/>
      <c r="L139" s="241"/>
      <c r="M139" s="242"/>
      <c r="N139" s="243"/>
      <c r="O139" s="244"/>
      <c r="P139" s="241"/>
      <c r="Q139" s="241"/>
      <c r="R139" s="241"/>
      <c r="S139" s="241"/>
      <c r="T139" s="241"/>
      <c r="U139" s="241"/>
    </row>
    <row r="140" spans="1:21" x14ac:dyDescent="0.25">
      <c r="A140">
        <v>100000</v>
      </c>
      <c r="B140" s="155">
        <f>IF(O140="PESO",VALUE(K140),K140*EERR!$D$2)</f>
        <v>0</v>
      </c>
      <c r="C140" s="241"/>
      <c r="D140" s="241"/>
      <c r="E140" s="241"/>
      <c r="F140" s="241"/>
      <c r="G140" s="241"/>
      <c r="H140" s="242"/>
      <c r="I140" s="242"/>
      <c r="J140" s="242"/>
      <c r="K140" s="242"/>
      <c r="L140" s="241"/>
      <c r="M140" s="242"/>
      <c r="N140" s="243"/>
      <c r="O140" s="244"/>
      <c r="P140" s="241"/>
      <c r="Q140" s="241"/>
      <c r="R140" s="241"/>
      <c r="S140" s="241"/>
      <c r="T140" s="241"/>
      <c r="U140" s="241"/>
    </row>
    <row r="141" spans="1:21" x14ac:dyDescent="0.25">
      <c r="A141">
        <v>100000</v>
      </c>
      <c r="B141" s="155">
        <f>IF(O141="PESO",VALUE(K141),K141*EERR!$D$2)</f>
        <v>0</v>
      </c>
      <c r="C141" s="241"/>
      <c r="D141" s="241"/>
      <c r="E141" s="241"/>
      <c r="F141" s="241"/>
      <c r="G141" s="241"/>
      <c r="H141" s="242"/>
      <c r="I141" s="242"/>
      <c r="J141" s="242"/>
      <c r="K141" s="242"/>
      <c r="L141" s="241"/>
      <c r="M141" s="242"/>
      <c r="N141" s="243"/>
      <c r="O141" s="244"/>
      <c r="P141" s="241"/>
      <c r="Q141" s="241"/>
      <c r="R141" s="241"/>
      <c r="S141" s="241"/>
      <c r="T141" s="241"/>
      <c r="U141" s="241"/>
    </row>
    <row r="142" spans="1:21" x14ac:dyDescent="0.25">
      <c r="A142">
        <v>100000</v>
      </c>
      <c r="B142" s="155">
        <f>IF(O142="PESO",VALUE(K142),K142*EERR!$D$2)</f>
        <v>0</v>
      </c>
      <c r="C142" s="241"/>
      <c r="D142" s="241"/>
      <c r="E142" s="241"/>
      <c r="F142" s="241"/>
      <c r="G142" s="241"/>
      <c r="H142" s="242"/>
      <c r="I142" s="242"/>
      <c r="J142" s="242"/>
      <c r="K142" s="242"/>
      <c r="L142" s="241"/>
      <c r="M142" s="242"/>
      <c r="N142" s="243"/>
      <c r="O142" s="244"/>
      <c r="P142" s="241"/>
      <c r="Q142" s="241"/>
      <c r="R142" s="241"/>
      <c r="S142" s="241"/>
      <c r="T142" s="241"/>
      <c r="U142" s="241"/>
    </row>
    <row r="143" spans="1:21" x14ac:dyDescent="0.25">
      <c r="A143">
        <v>100000</v>
      </c>
      <c r="B143" s="155">
        <f>IF(O143="PESO",VALUE(K143),K143*EERR!$D$2)</f>
        <v>0</v>
      </c>
      <c r="C143" s="241"/>
      <c r="D143" s="241"/>
      <c r="E143" s="241"/>
      <c r="F143" s="241"/>
      <c r="G143" s="241"/>
      <c r="H143" s="242"/>
      <c r="I143" s="242"/>
      <c r="J143" s="242"/>
      <c r="K143" s="242"/>
      <c r="L143" s="241"/>
      <c r="M143" s="242"/>
      <c r="N143" s="243"/>
      <c r="O143" s="244"/>
      <c r="P143" s="241"/>
      <c r="Q143" s="241"/>
      <c r="R143" s="241"/>
      <c r="S143" s="241"/>
      <c r="T143" s="241"/>
      <c r="U143" s="241"/>
    </row>
    <row r="144" spans="1:21" x14ac:dyDescent="0.25">
      <c r="A144">
        <v>100000</v>
      </c>
      <c r="B144" s="155">
        <f>IF(O144="PESO",VALUE(K144),K144*EERR!$D$2)</f>
        <v>0</v>
      </c>
      <c r="C144" s="241"/>
      <c r="D144" s="241"/>
      <c r="E144" s="241"/>
      <c r="F144" s="241"/>
      <c r="G144" s="241"/>
      <c r="H144" s="242"/>
      <c r="I144" s="242"/>
      <c r="J144" s="242"/>
      <c r="K144" s="242"/>
      <c r="L144" s="241"/>
      <c r="M144" s="242"/>
      <c r="N144" s="243"/>
      <c r="O144" s="244"/>
      <c r="P144" s="241"/>
      <c r="Q144" s="241"/>
      <c r="R144" s="241"/>
      <c r="S144" s="241"/>
      <c r="T144" s="241"/>
      <c r="U144" s="241"/>
    </row>
    <row r="145" spans="1:21" x14ac:dyDescent="0.25">
      <c r="A145">
        <v>100000</v>
      </c>
      <c r="B145" s="155">
        <f>IF(O145="PESO",VALUE(K145),K145*EERR!$D$2)</f>
        <v>0</v>
      </c>
      <c r="C145" s="241"/>
      <c r="D145" s="241"/>
      <c r="E145" s="241"/>
      <c r="F145" s="241"/>
      <c r="G145" s="241"/>
      <c r="H145" s="242"/>
      <c r="I145" s="242"/>
      <c r="J145" s="242"/>
      <c r="K145" s="242"/>
      <c r="L145" s="241"/>
      <c r="M145" s="242"/>
      <c r="N145" s="243"/>
      <c r="O145" s="244"/>
      <c r="P145" s="241"/>
      <c r="Q145" s="241"/>
      <c r="R145" s="241"/>
      <c r="S145" s="241"/>
      <c r="T145" s="241"/>
      <c r="U145" s="241"/>
    </row>
    <row r="146" spans="1:21" x14ac:dyDescent="0.25">
      <c r="A146">
        <v>100000</v>
      </c>
      <c r="B146" s="155">
        <f>IF(O146="PESO",VALUE(K146),K146*EERR!$D$2)</f>
        <v>0</v>
      </c>
      <c r="C146" s="241"/>
      <c r="D146" s="241"/>
      <c r="E146" s="241"/>
      <c r="F146" s="241"/>
      <c r="G146" s="241"/>
      <c r="H146" s="242"/>
      <c r="I146" s="242"/>
      <c r="J146" s="242"/>
      <c r="K146" s="242"/>
      <c r="L146" s="241"/>
      <c r="M146" s="242"/>
      <c r="N146" s="243"/>
      <c r="O146" s="244"/>
      <c r="P146" s="241"/>
      <c r="Q146" s="241"/>
      <c r="R146" s="241"/>
      <c r="S146" s="241"/>
      <c r="T146" s="241"/>
      <c r="U146" s="241"/>
    </row>
    <row r="147" spans="1:21" x14ac:dyDescent="0.25">
      <c r="A147">
        <v>100000</v>
      </c>
      <c r="B147" s="155">
        <f>IF(O147="PESO",VALUE(K147),K147*EERR!$D$2)</f>
        <v>0</v>
      </c>
      <c r="C147" s="241"/>
      <c r="D147" s="241"/>
      <c r="E147" s="241"/>
      <c r="F147" s="241"/>
      <c r="G147" s="241"/>
      <c r="H147" s="242"/>
      <c r="I147" s="242"/>
      <c r="J147" s="242"/>
      <c r="K147" s="242"/>
      <c r="L147" s="241"/>
      <c r="M147" s="242"/>
      <c r="N147" s="243"/>
      <c r="O147" s="244"/>
      <c r="P147" s="241"/>
      <c r="Q147" s="241"/>
      <c r="R147" s="241"/>
      <c r="S147" s="241"/>
      <c r="T147" s="241"/>
      <c r="U147" s="241"/>
    </row>
    <row r="148" spans="1:21" x14ac:dyDescent="0.25">
      <c r="A148">
        <v>100000</v>
      </c>
      <c r="B148" s="155">
        <f>IF(O148="PESO",VALUE(K148),K148*EERR!$D$2)</f>
        <v>0</v>
      </c>
      <c r="C148" s="241"/>
      <c r="D148" s="241"/>
      <c r="E148" s="241"/>
      <c r="F148" s="241"/>
      <c r="G148" s="241"/>
      <c r="H148" s="242"/>
      <c r="I148" s="242"/>
      <c r="J148" s="242"/>
      <c r="K148" s="242"/>
      <c r="L148" s="241"/>
      <c r="M148" s="242"/>
      <c r="N148" s="243"/>
      <c r="O148" s="244"/>
      <c r="P148" s="241"/>
      <c r="Q148" s="241"/>
      <c r="R148" s="241"/>
      <c r="S148" s="241"/>
      <c r="T148" s="241"/>
      <c r="U148" s="241"/>
    </row>
    <row r="149" spans="1:21" x14ac:dyDescent="0.25">
      <c r="A149">
        <v>100000</v>
      </c>
      <c r="B149" s="155">
        <f>IF(O149="PESO",VALUE(K149),K149*EERR!$D$2)</f>
        <v>0</v>
      </c>
      <c r="C149" s="241"/>
      <c r="D149" s="241"/>
      <c r="E149" s="241"/>
      <c r="F149" s="241"/>
      <c r="G149" s="241"/>
      <c r="H149" s="242"/>
      <c r="I149" s="242"/>
      <c r="J149" s="242"/>
      <c r="K149" s="242"/>
      <c r="L149" s="241"/>
      <c r="M149" s="242"/>
      <c r="N149" s="243"/>
      <c r="O149" s="244"/>
      <c r="P149" s="241"/>
      <c r="Q149" s="241"/>
      <c r="R149" s="241"/>
      <c r="S149" s="241"/>
      <c r="T149" s="241"/>
      <c r="U149" s="241"/>
    </row>
    <row r="150" spans="1:21" x14ac:dyDescent="0.25">
      <c r="A150">
        <v>100000</v>
      </c>
      <c r="B150" s="155">
        <f>IF(O150="PESO",VALUE(K150),K150*EERR!$D$2)</f>
        <v>0</v>
      </c>
      <c r="C150" s="241"/>
      <c r="D150" s="241"/>
      <c r="E150" s="241"/>
      <c r="F150" s="241"/>
      <c r="G150" s="241"/>
      <c r="H150" s="242"/>
      <c r="I150" s="242"/>
      <c r="J150" s="242"/>
      <c r="K150" s="242"/>
      <c r="L150" s="241"/>
      <c r="M150" s="242"/>
      <c r="N150" s="243"/>
      <c r="O150" s="244"/>
      <c r="P150" s="241"/>
      <c r="Q150" s="241"/>
      <c r="R150" s="241"/>
      <c r="S150" s="241"/>
      <c r="T150" s="241"/>
      <c r="U150" s="241"/>
    </row>
    <row r="151" spans="1:21" x14ac:dyDescent="0.25">
      <c r="A151">
        <v>100000</v>
      </c>
      <c r="B151" s="155">
        <f>IF(O151="PESO",VALUE(K151),K151*EERR!$D$2)</f>
        <v>0</v>
      </c>
      <c r="C151" s="241"/>
      <c r="D151" s="241"/>
      <c r="E151" s="241"/>
      <c r="F151" s="241"/>
      <c r="G151" s="241"/>
      <c r="H151" s="242"/>
      <c r="I151" s="242"/>
      <c r="J151" s="242"/>
      <c r="K151" s="242"/>
      <c r="L151" s="241"/>
      <c r="M151" s="242"/>
      <c r="N151" s="243"/>
      <c r="O151" s="244"/>
      <c r="P151" s="241"/>
      <c r="Q151" s="241"/>
      <c r="R151" s="241"/>
      <c r="S151" s="241"/>
      <c r="T151" s="241"/>
      <c r="U151" s="241"/>
    </row>
    <row r="152" spans="1:21" x14ac:dyDescent="0.25">
      <c r="A152">
        <v>100000</v>
      </c>
      <c r="B152" s="155">
        <f>IF(O152="PESO",VALUE(K152),K152*EERR!$D$2)</f>
        <v>0</v>
      </c>
      <c r="C152" s="241"/>
      <c r="D152" s="241"/>
      <c r="E152" s="241"/>
      <c r="F152" s="241"/>
      <c r="G152" s="241"/>
      <c r="H152" s="242"/>
      <c r="I152" s="242"/>
      <c r="J152" s="242"/>
      <c r="K152" s="242"/>
      <c r="L152" s="241"/>
      <c r="M152" s="242"/>
      <c r="N152" s="243"/>
      <c r="O152" s="244"/>
      <c r="P152" s="241"/>
      <c r="Q152" s="241"/>
      <c r="R152" s="241"/>
      <c r="S152" s="241"/>
      <c r="T152" s="241"/>
      <c r="U152" s="241"/>
    </row>
    <row r="153" spans="1:21" x14ac:dyDescent="0.25">
      <c r="A153">
        <v>100000</v>
      </c>
      <c r="B153" s="155">
        <f>IF(O153="PESO",VALUE(K153),K153*EERR!$D$2)</f>
        <v>0</v>
      </c>
      <c r="C153" s="241"/>
      <c r="D153" s="241"/>
      <c r="E153" s="241"/>
      <c r="F153" s="241"/>
      <c r="G153" s="241"/>
      <c r="H153" s="242"/>
      <c r="I153" s="242"/>
      <c r="J153" s="242"/>
      <c r="K153" s="242"/>
      <c r="L153" s="241"/>
      <c r="M153" s="242"/>
      <c r="N153" s="243"/>
      <c r="O153" s="244"/>
      <c r="P153" s="241"/>
      <c r="Q153" s="241"/>
      <c r="R153" s="241"/>
      <c r="S153" s="241"/>
      <c r="T153" s="241"/>
      <c r="U153" s="241"/>
    </row>
    <row r="154" spans="1:21" x14ac:dyDescent="0.25">
      <c r="A154">
        <v>100000</v>
      </c>
      <c r="B154" s="155">
        <f>IF(O154="PESO",VALUE(K154),K154*EERR!$D$2)</f>
        <v>0</v>
      </c>
      <c r="C154" s="241"/>
      <c r="D154" s="241"/>
      <c r="E154" s="241"/>
      <c r="F154" s="241"/>
      <c r="G154" s="241"/>
      <c r="H154" s="242"/>
      <c r="I154" s="242"/>
      <c r="J154" s="242"/>
      <c r="K154" s="242"/>
      <c r="L154" s="241"/>
      <c r="M154" s="242"/>
      <c r="N154" s="243"/>
      <c r="O154" s="244"/>
      <c r="P154" s="241"/>
      <c r="Q154" s="241"/>
      <c r="R154" s="241"/>
      <c r="S154" s="241"/>
      <c r="T154" s="241"/>
      <c r="U154" s="241"/>
    </row>
    <row r="155" spans="1:21" x14ac:dyDescent="0.25">
      <c r="A155">
        <v>100000</v>
      </c>
      <c r="B155" s="155">
        <f>IF(O155="PESO",VALUE(K155),K155*EERR!$D$2)</f>
        <v>0</v>
      </c>
      <c r="C155" s="241"/>
      <c r="D155" s="241"/>
      <c r="E155" s="241"/>
      <c r="F155" s="241"/>
      <c r="G155" s="241"/>
      <c r="H155" s="242"/>
      <c r="I155" s="242"/>
      <c r="J155" s="242"/>
      <c r="K155" s="242"/>
      <c r="L155" s="241"/>
      <c r="M155" s="242"/>
      <c r="N155" s="243"/>
      <c r="O155" s="244"/>
      <c r="P155" s="241"/>
      <c r="Q155" s="241"/>
      <c r="R155" s="241"/>
      <c r="S155" s="241"/>
      <c r="T155" s="241"/>
      <c r="U155" s="241"/>
    </row>
    <row r="156" spans="1:21" x14ac:dyDescent="0.25">
      <c r="A156">
        <v>100000</v>
      </c>
      <c r="B156" s="155">
        <f>IF(O156="PESO",VALUE(K156),K156*EERR!$D$2)</f>
        <v>0</v>
      </c>
      <c r="C156" s="241"/>
      <c r="D156" s="241"/>
      <c r="E156" s="241"/>
      <c r="F156" s="241"/>
      <c r="G156" s="241"/>
      <c r="H156" s="242"/>
      <c r="I156" s="242"/>
      <c r="J156" s="242"/>
      <c r="K156" s="242"/>
      <c r="L156" s="241"/>
      <c r="M156" s="242"/>
      <c r="N156" s="243"/>
      <c r="O156" s="244"/>
      <c r="P156" s="241"/>
      <c r="Q156" s="241"/>
      <c r="R156" s="241"/>
      <c r="S156" s="241"/>
      <c r="T156" s="241"/>
      <c r="U156" s="241"/>
    </row>
    <row r="157" spans="1:21" x14ac:dyDescent="0.25">
      <c r="A157">
        <v>100000</v>
      </c>
      <c r="B157" s="155">
        <f>IF(O157="PESO",VALUE(K157),K157*EERR!$D$2)</f>
        <v>0</v>
      </c>
      <c r="C157" s="241"/>
      <c r="D157" s="241"/>
      <c r="E157" s="241"/>
      <c r="F157" s="241"/>
      <c r="G157" s="241"/>
      <c r="H157" s="242"/>
      <c r="I157" s="242"/>
      <c r="J157" s="242"/>
      <c r="K157" s="242"/>
      <c r="L157" s="241"/>
      <c r="M157" s="242"/>
      <c r="N157" s="243"/>
      <c r="O157" s="244"/>
      <c r="P157" s="241"/>
      <c r="Q157" s="241"/>
      <c r="R157" s="241"/>
      <c r="S157" s="241"/>
      <c r="T157" s="241"/>
      <c r="U157" s="241"/>
    </row>
    <row r="158" spans="1:21" x14ac:dyDescent="0.25">
      <c r="A158">
        <v>100000</v>
      </c>
      <c r="B158" s="155">
        <f>IF(O158="PESO",VALUE(K158),K158*EERR!$D$2)</f>
        <v>0</v>
      </c>
      <c r="C158" s="241"/>
      <c r="D158" s="241"/>
      <c r="E158" s="241"/>
      <c r="F158" s="241"/>
      <c r="G158" s="241"/>
      <c r="H158" s="242"/>
      <c r="I158" s="242"/>
      <c r="J158" s="242"/>
      <c r="K158" s="242"/>
      <c r="L158" s="241"/>
      <c r="M158" s="242"/>
      <c r="N158" s="243"/>
      <c r="O158" s="244"/>
      <c r="P158" s="241"/>
      <c r="Q158" s="241"/>
      <c r="R158" s="241"/>
      <c r="S158" s="241"/>
      <c r="T158" s="241"/>
      <c r="U158" s="241"/>
    </row>
    <row r="159" spans="1:21" x14ac:dyDescent="0.25">
      <c r="A159">
        <v>100000</v>
      </c>
      <c r="B159" s="155">
        <f>IF(O159="PESO",VALUE(K159),K159*EERR!$D$2)</f>
        <v>0</v>
      </c>
      <c r="C159" s="241"/>
      <c r="D159" s="241"/>
      <c r="E159" s="241"/>
      <c r="F159" s="241"/>
      <c r="G159" s="241"/>
      <c r="H159" s="242"/>
      <c r="I159" s="242"/>
      <c r="J159" s="242"/>
      <c r="K159" s="242"/>
      <c r="L159" s="241"/>
      <c r="M159" s="242"/>
      <c r="N159" s="243"/>
      <c r="O159" s="244"/>
      <c r="P159" s="241"/>
      <c r="Q159" s="241"/>
      <c r="R159" s="241"/>
      <c r="S159" s="241"/>
      <c r="T159" s="241"/>
      <c r="U159" s="241"/>
    </row>
    <row r="160" spans="1:21" x14ac:dyDescent="0.25">
      <c r="A160">
        <v>100000</v>
      </c>
      <c r="B160" s="155">
        <f>IF(O160="PESO",VALUE(K160),K160*EERR!$D$2)</f>
        <v>0</v>
      </c>
      <c r="C160" s="241"/>
      <c r="D160" s="241"/>
      <c r="E160" s="241"/>
      <c r="F160" s="241"/>
      <c r="G160" s="241"/>
      <c r="H160" s="242"/>
      <c r="I160" s="242"/>
      <c r="J160" s="242"/>
      <c r="K160" s="242"/>
      <c r="L160" s="241"/>
      <c r="M160" s="242"/>
      <c r="N160" s="243"/>
      <c r="O160" s="244"/>
      <c r="P160" s="241"/>
      <c r="Q160" s="241"/>
      <c r="R160" s="241"/>
      <c r="S160" s="241"/>
      <c r="T160" s="241"/>
      <c r="U160" s="241"/>
    </row>
    <row r="161" spans="1:22" x14ac:dyDescent="0.25">
      <c r="A161">
        <v>100000</v>
      </c>
      <c r="B161" s="155">
        <f>IF(O161="PESO",VALUE(K161),K161*EERR!$D$2)</f>
        <v>0</v>
      </c>
      <c r="C161" s="241"/>
      <c r="D161" s="241"/>
      <c r="E161" s="241"/>
      <c r="F161" s="241"/>
      <c r="G161" s="241"/>
      <c r="H161" s="242"/>
      <c r="I161" s="242"/>
      <c r="J161" s="242"/>
      <c r="K161" s="242"/>
      <c r="L161" s="241"/>
      <c r="M161" s="242"/>
      <c r="N161" s="243"/>
      <c r="O161" s="244"/>
      <c r="P161" s="241"/>
      <c r="Q161" s="241"/>
      <c r="R161" s="241"/>
      <c r="S161" s="241"/>
      <c r="T161" s="241"/>
      <c r="U161" s="241"/>
    </row>
    <row r="162" spans="1:22" x14ac:dyDescent="0.25">
      <c r="A162">
        <v>100000</v>
      </c>
      <c r="B162" s="155">
        <f>IF(O162="PESO",VALUE(K162),K162*EERR!$D$2)</f>
        <v>0</v>
      </c>
      <c r="C162" s="241"/>
      <c r="D162" s="241"/>
      <c r="E162" s="241"/>
      <c r="F162" s="241"/>
      <c r="G162" s="241"/>
      <c r="H162" s="242"/>
      <c r="I162" s="242"/>
      <c r="J162" s="242"/>
      <c r="K162" s="242"/>
      <c r="L162" s="241"/>
      <c r="M162" s="242"/>
      <c r="N162" s="243"/>
      <c r="O162" s="244"/>
      <c r="P162" s="241"/>
      <c r="Q162" s="241"/>
      <c r="R162" s="241"/>
      <c r="S162" s="241"/>
      <c r="T162" s="241"/>
      <c r="U162" s="241"/>
    </row>
    <row r="163" spans="1:22" x14ac:dyDescent="0.25">
      <c r="A163">
        <v>100000</v>
      </c>
      <c r="B163" s="155">
        <f>IF(O163="PESO",VALUE(K163),K163*EERR!$D$2)</f>
        <v>0</v>
      </c>
      <c r="C163" s="241"/>
      <c r="D163" s="241"/>
      <c r="E163" s="241"/>
      <c r="F163" s="241"/>
      <c r="G163" s="241"/>
      <c r="H163" s="242"/>
      <c r="I163" s="242"/>
      <c r="J163" s="242"/>
      <c r="K163" s="242"/>
      <c r="L163" s="241"/>
      <c r="M163" s="242"/>
      <c r="N163" s="243"/>
      <c r="O163" s="244"/>
      <c r="P163" s="241"/>
      <c r="Q163" s="241"/>
      <c r="R163" s="241"/>
      <c r="S163" s="241"/>
      <c r="T163" s="241"/>
      <c r="U163" s="241"/>
    </row>
    <row r="164" spans="1:22" x14ac:dyDescent="0.25">
      <c r="A164">
        <v>100000</v>
      </c>
      <c r="B164" s="155">
        <f>IF(O164="PESO",VALUE(K164),K164*EERR!$D$2)</f>
        <v>0</v>
      </c>
      <c r="C164" s="241"/>
      <c r="D164" s="241"/>
      <c r="E164" s="241"/>
      <c r="F164" s="241"/>
      <c r="G164" s="241"/>
      <c r="H164" s="242"/>
      <c r="I164" s="242"/>
      <c r="J164" s="242"/>
      <c r="K164" s="242"/>
      <c r="L164" s="241"/>
      <c r="M164" s="242"/>
      <c r="N164" s="243"/>
      <c r="O164" s="244"/>
      <c r="P164" s="241"/>
      <c r="Q164" s="241"/>
      <c r="R164" s="241"/>
      <c r="S164" s="241"/>
      <c r="T164" s="241"/>
      <c r="U164" s="241"/>
    </row>
    <row r="165" spans="1:22" x14ac:dyDescent="0.25">
      <c r="A165">
        <v>100000</v>
      </c>
      <c r="B165" s="155">
        <f>IF(O165="PESO",VALUE(K165),K165*EERR!$D$2)</f>
        <v>0</v>
      </c>
      <c r="C165" s="241"/>
      <c r="D165" s="241"/>
      <c r="E165" s="241"/>
      <c r="F165" s="241"/>
      <c r="G165" s="241"/>
      <c r="H165" s="242"/>
      <c r="I165" s="242"/>
      <c r="J165" s="242"/>
      <c r="K165" s="242"/>
      <c r="L165" s="241"/>
      <c r="M165" s="242"/>
      <c r="N165" s="243"/>
      <c r="O165" s="244"/>
      <c r="P165" s="241"/>
      <c r="Q165" s="241"/>
      <c r="R165" s="241"/>
      <c r="S165" s="241"/>
      <c r="T165" s="241"/>
      <c r="U165" s="241"/>
    </row>
    <row r="166" spans="1:22" x14ac:dyDescent="0.25">
      <c r="A166">
        <v>100000</v>
      </c>
      <c r="B166" s="155">
        <f>IF(O166="PESO",VALUE(K166),K166*EERR!$D$2)</f>
        <v>0</v>
      </c>
      <c r="C166" s="241"/>
      <c r="D166" s="241"/>
      <c r="E166" s="241"/>
      <c r="F166" s="241"/>
      <c r="G166" s="241"/>
      <c r="H166" s="242"/>
      <c r="I166" s="242"/>
      <c r="J166" s="242"/>
      <c r="K166" s="242"/>
      <c r="L166" s="241"/>
      <c r="M166" s="242"/>
      <c r="N166" s="243"/>
      <c r="O166" s="244"/>
      <c r="P166" s="241"/>
      <c r="Q166" s="241"/>
      <c r="R166" s="241"/>
      <c r="S166" s="241"/>
      <c r="T166" s="241"/>
      <c r="U166" s="241"/>
    </row>
    <row r="167" spans="1:22" x14ac:dyDescent="0.25">
      <c r="A167">
        <v>100000</v>
      </c>
      <c r="B167" s="155">
        <f>IF(O167="PESO",VALUE(K167),K167*EERR!$D$2)</f>
        <v>0</v>
      </c>
      <c r="C167" s="241"/>
      <c r="D167" s="241"/>
      <c r="E167" s="241"/>
      <c r="F167" s="241"/>
      <c r="G167" s="241"/>
      <c r="H167" s="242"/>
      <c r="I167" s="242"/>
      <c r="J167" s="242"/>
      <c r="K167" s="242"/>
      <c r="L167" s="241"/>
      <c r="M167" s="242"/>
      <c r="N167" s="243"/>
      <c r="O167" s="244"/>
      <c r="P167" s="241"/>
      <c r="Q167" s="241"/>
      <c r="R167" s="241"/>
      <c r="S167" s="241"/>
      <c r="T167" s="241"/>
      <c r="U167" s="241"/>
    </row>
    <row r="168" spans="1:22" x14ac:dyDescent="0.25">
      <c r="A168">
        <v>100000</v>
      </c>
      <c r="B168" s="155">
        <f>IF(O168="PESO",VALUE(K168),K168*EERR!$D$2)</f>
        <v>0</v>
      </c>
      <c r="C168" s="241"/>
      <c r="D168" s="241"/>
      <c r="E168" s="241"/>
      <c r="F168" s="241"/>
      <c r="G168" s="241"/>
      <c r="H168" s="242"/>
      <c r="I168" s="242"/>
      <c r="J168" s="242"/>
      <c r="K168" s="242"/>
      <c r="L168" s="241"/>
      <c r="M168" s="242"/>
      <c r="N168" s="243"/>
      <c r="O168" s="244"/>
      <c r="P168" s="241"/>
      <c r="Q168" s="241"/>
      <c r="R168" s="241"/>
      <c r="S168" s="241"/>
      <c r="T168" s="241"/>
      <c r="U168" s="241"/>
    </row>
    <row r="169" spans="1:22" x14ac:dyDescent="0.25">
      <c r="A169">
        <v>100000</v>
      </c>
      <c r="B169" s="155">
        <f>IF(O169="PESO",VALUE(K169),K169*EERR!$D$2)</f>
        <v>0</v>
      </c>
      <c r="O169" s="244"/>
    </row>
    <row r="170" spans="1:22" x14ac:dyDescent="0.25">
      <c r="A170">
        <v>100000</v>
      </c>
      <c r="B170" t="s">
        <v>230</v>
      </c>
      <c r="C170" s="241" t="s">
        <v>210</v>
      </c>
      <c r="D170" s="241" t="s">
        <v>211</v>
      </c>
      <c r="E170" s="241" t="s">
        <v>212</v>
      </c>
      <c r="F170" s="241" t="s">
        <v>213</v>
      </c>
      <c r="G170" s="241" t="s">
        <v>214</v>
      </c>
      <c r="H170" s="241" t="s">
        <v>215</v>
      </c>
      <c r="I170" s="241" t="s">
        <v>216</v>
      </c>
      <c r="J170" s="241" t="s">
        <v>217</v>
      </c>
      <c r="K170" s="241" t="s">
        <v>101</v>
      </c>
      <c r="L170" s="241" t="s">
        <v>218</v>
      </c>
      <c r="M170" s="241" t="s">
        <v>219</v>
      </c>
      <c r="N170" s="241" t="s">
        <v>220</v>
      </c>
      <c r="O170" s="241" t="s">
        <v>221</v>
      </c>
      <c r="P170" s="241" t="s">
        <v>222</v>
      </c>
      <c r="Q170" s="241" t="s">
        <v>223</v>
      </c>
      <c r="R170" s="241" t="s">
        <v>224</v>
      </c>
      <c r="S170" s="241" t="s">
        <v>225</v>
      </c>
      <c r="T170" s="241" t="s">
        <v>226</v>
      </c>
      <c r="U170" s="241" t="s">
        <v>227</v>
      </c>
      <c r="V170" s="241" t="s">
        <v>228</v>
      </c>
    </row>
    <row r="171" spans="1:22" x14ac:dyDescent="0.25">
      <c r="A171">
        <f>VALUE(U171)</f>
        <v>1168</v>
      </c>
      <c r="B171" s="155">
        <f>IF(O171="PESO",VALUE(K171),K171*EERR!$D$2)</f>
        <v>812622.95</v>
      </c>
      <c r="C171" s="241" t="s">
        <v>312</v>
      </c>
      <c r="D171" s="241"/>
      <c r="E171" s="241" t="s">
        <v>242</v>
      </c>
      <c r="F171" s="241"/>
      <c r="G171" s="241" t="s">
        <v>246</v>
      </c>
      <c r="H171" s="242"/>
      <c r="I171" s="242"/>
      <c r="J171" s="242"/>
      <c r="K171" s="242">
        <v>1017.05</v>
      </c>
      <c r="L171" s="241"/>
      <c r="M171" s="242"/>
      <c r="N171" s="243"/>
      <c r="O171" s="244" t="s">
        <v>243</v>
      </c>
      <c r="P171" s="241"/>
      <c r="Q171" s="241" t="s">
        <v>313</v>
      </c>
      <c r="R171" s="241"/>
      <c r="S171" s="241"/>
      <c r="T171" s="241"/>
      <c r="U171" s="241">
        <v>1168</v>
      </c>
    </row>
    <row r="172" spans="1:22" x14ac:dyDescent="0.25">
      <c r="A172">
        <f t="shared" ref="A172:A236" si="1">VALUE(U172)</f>
        <v>1169</v>
      </c>
      <c r="B172" s="155">
        <f>IF(O172="PESO",VALUE(K172),K172*EERR!$D$2)</f>
        <v>361163.98</v>
      </c>
      <c r="C172" s="241" t="s">
        <v>314</v>
      </c>
      <c r="D172" s="241"/>
      <c r="E172" s="241" t="s">
        <v>242</v>
      </c>
      <c r="F172" s="241"/>
      <c r="G172" s="241" t="s">
        <v>246</v>
      </c>
      <c r="H172" s="242"/>
      <c r="I172" s="242"/>
      <c r="J172" s="242"/>
      <c r="K172" s="242">
        <v>452.02</v>
      </c>
      <c r="L172" s="241"/>
      <c r="M172" s="242"/>
      <c r="N172" s="243"/>
      <c r="O172" s="244" t="s">
        <v>243</v>
      </c>
      <c r="P172" s="241"/>
      <c r="Q172" s="241" t="s">
        <v>315</v>
      </c>
      <c r="R172" s="241"/>
      <c r="S172" s="241"/>
      <c r="T172" s="241"/>
      <c r="U172" s="241">
        <v>1169</v>
      </c>
    </row>
    <row r="173" spans="1:22" x14ac:dyDescent="0.25">
      <c r="A173">
        <f t="shared" si="1"/>
        <v>1170</v>
      </c>
      <c r="B173" s="155">
        <f>IF(O173="PESO",VALUE(K173),K173*EERR!$D$2)</f>
        <v>354292.58</v>
      </c>
      <c r="C173" s="241" t="s">
        <v>316</v>
      </c>
      <c r="D173" s="241"/>
      <c r="E173" s="241" t="s">
        <v>242</v>
      </c>
      <c r="F173" s="241"/>
      <c r="G173" s="241" t="s">
        <v>246</v>
      </c>
      <c r="H173" s="242"/>
      <c r="I173" s="242"/>
      <c r="J173" s="242"/>
      <c r="K173" s="242">
        <v>443.42</v>
      </c>
      <c r="L173" s="241"/>
      <c r="M173" s="242"/>
      <c r="N173" s="243"/>
      <c r="O173" s="244" t="s">
        <v>243</v>
      </c>
      <c r="P173" s="241"/>
      <c r="Q173" s="241" t="s">
        <v>317</v>
      </c>
      <c r="R173" s="241"/>
      <c r="S173" s="241"/>
      <c r="T173" s="241"/>
      <c r="U173" s="241">
        <v>1170</v>
      </c>
    </row>
    <row r="174" spans="1:22" x14ac:dyDescent="0.25">
      <c r="A174">
        <f t="shared" si="1"/>
        <v>1171</v>
      </c>
      <c r="B174" s="155">
        <f>IF(O174="PESO",VALUE(K174),K174*EERR!$D$2)</f>
        <v>170266.9</v>
      </c>
      <c r="C174" s="241" t="s">
        <v>318</v>
      </c>
      <c r="D174" s="241"/>
      <c r="E174" s="241" t="s">
        <v>242</v>
      </c>
      <c r="F174" s="241"/>
      <c r="G174" s="241" t="s">
        <v>246</v>
      </c>
      <c r="H174" s="242"/>
      <c r="I174" s="242"/>
      <c r="J174" s="242"/>
      <c r="K174" s="242">
        <v>213.1</v>
      </c>
      <c r="L174" s="241"/>
      <c r="M174" s="242"/>
      <c r="N174" s="243"/>
      <c r="O174" s="244" t="s">
        <v>243</v>
      </c>
      <c r="P174" s="241"/>
      <c r="Q174" s="241" t="s">
        <v>319</v>
      </c>
      <c r="R174" s="241"/>
      <c r="S174" s="241"/>
      <c r="T174" s="241"/>
      <c r="U174" s="241">
        <v>1171</v>
      </c>
    </row>
    <row r="175" spans="1:22" x14ac:dyDescent="0.25">
      <c r="A175">
        <f t="shared" si="1"/>
        <v>1172</v>
      </c>
      <c r="B175" s="155">
        <f>IF(O175="PESO",VALUE(K175),K175*EERR!$D$2)</f>
        <v>361163.98</v>
      </c>
      <c r="C175" s="241" t="s">
        <v>320</v>
      </c>
      <c r="D175" s="241"/>
      <c r="E175" s="241" t="s">
        <v>242</v>
      </c>
      <c r="F175" s="241"/>
      <c r="G175" s="241" t="s">
        <v>246</v>
      </c>
      <c r="H175" s="242"/>
      <c r="I175" s="242"/>
      <c r="J175" s="242"/>
      <c r="K175" s="242">
        <v>452.02</v>
      </c>
      <c r="L175" s="241"/>
      <c r="M175" s="242"/>
      <c r="N175" s="243"/>
      <c r="O175" s="244" t="s">
        <v>243</v>
      </c>
      <c r="P175" s="241"/>
      <c r="Q175" s="241" t="s">
        <v>278</v>
      </c>
      <c r="R175" s="241"/>
      <c r="S175" s="241"/>
      <c r="T175" s="241"/>
      <c r="U175" s="241">
        <v>1172</v>
      </c>
    </row>
    <row r="176" spans="1:22" x14ac:dyDescent="0.25">
      <c r="A176">
        <f t="shared" si="1"/>
        <v>1173</v>
      </c>
      <c r="B176" s="155">
        <f>IF(O176="PESO",VALUE(K176),K176*EERR!$D$2)</f>
        <v>159800</v>
      </c>
      <c r="C176" s="241" t="s">
        <v>321</v>
      </c>
      <c r="D176" s="241"/>
      <c r="E176" s="241" t="s">
        <v>242</v>
      </c>
      <c r="F176" s="241"/>
      <c r="G176" s="241" t="s">
        <v>246</v>
      </c>
      <c r="H176" s="242"/>
      <c r="I176" s="242"/>
      <c r="J176" s="242"/>
      <c r="K176" s="242">
        <v>200</v>
      </c>
      <c r="L176" s="241"/>
      <c r="M176" s="242"/>
      <c r="N176" s="243"/>
      <c r="O176" s="244" t="s">
        <v>243</v>
      </c>
      <c r="P176" s="241"/>
      <c r="Q176" s="241" t="s">
        <v>277</v>
      </c>
      <c r="R176" s="241"/>
      <c r="S176" s="241"/>
      <c r="T176" s="241"/>
      <c r="U176" s="241">
        <v>1173</v>
      </c>
    </row>
    <row r="177" spans="1:21" x14ac:dyDescent="0.25">
      <c r="A177">
        <f t="shared" si="1"/>
        <v>1174</v>
      </c>
      <c r="B177" s="155">
        <f>IF(O177="PESO",VALUE(K177),K177*EERR!$D$2)</f>
        <v>150291.9</v>
      </c>
      <c r="C177" s="241" t="s">
        <v>322</v>
      </c>
      <c r="D177" s="241"/>
      <c r="E177" s="241" t="s">
        <v>242</v>
      </c>
      <c r="F177" s="241"/>
      <c r="G177" s="241" t="s">
        <v>246</v>
      </c>
      <c r="H177" s="242"/>
      <c r="I177" s="242"/>
      <c r="J177" s="242"/>
      <c r="K177" s="242">
        <v>188.1</v>
      </c>
      <c r="L177" s="241"/>
      <c r="M177" s="242"/>
      <c r="N177" s="243"/>
      <c r="O177" s="244" t="s">
        <v>243</v>
      </c>
      <c r="P177" s="241"/>
      <c r="Q177" s="241" t="s">
        <v>323</v>
      </c>
      <c r="R177" s="241"/>
      <c r="S177" s="241"/>
      <c r="T177" s="241"/>
      <c r="U177" s="241">
        <v>1174</v>
      </c>
    </row>
    <row r="178" spans="1:21" x14ac:dyDescent="0.25">
      <c r="A178">
        <f t="shared" si="1"/>
        <v>1175</v>
      </c>
      <c r="B178" s="155">
        <f>IF(O178="PESO",VALUE(K178),K178*EERR!$D$2)</f>
        <v>722327.96</v>
      </c>
      <c r="C178" s="241" t="s">
        <v>324</v>
      </c>
      <c r="D178" s="241"/>
      <c r="E178" s="241" t="s">
        <v>242</v>
      </c>
      <c r="F178" s="241"/>
      <c r="G178" s="241" t="s">
        <v>246</v>
      </c>
      <c r="H178" s="242"/>
      <c r="I178" s="242"/>
      <c r="J178" s="242"/>
      <c r="K178" s="242">
        <v>904.04</v>
      </c>
      <c r="L178" s="241"/>
      <c r="M178" s="242"/>
      <c r="N178" s="243"/>
      <c r="O178" s="244" t="s">
        <v>243</v>
      </c>
      <c r="P178" s="241"/>
      <c r="Q178" s="241" t="s">
        <v>281</v>
      </c>
      <c r="R178" s="241"/>
      <c r="S178" s="241"/>
      <c r="T178" s="241"/>
      <c r="U178" s="241">
        <v>1175</v>
      </c>
    </row>
    <row r="179" spans="1:21" x14ac:dyDescent="0.25">
      <c r="A179">
        <f t="shared" si="1"/>
        <v>1176</v>
      </c>
      <c r="B179" s="155">
        <f>IF(O179="PESO",VALUE(K179),K179*EERR!$D$2)</f>
        <v>190348</v>
      </c>
      <c r="C179" s="241" t="s">
        <v>325</v>
      </c>
      <c r="D179" s="241"/>
      <c r="E179" s="241" t="s">
        <v>205</v>
      </c>
      <c r="F179" s="241"/>
      <c r="G179" s="241" t="s">
        <v>254</v>
      </c>
      <c r="H179" s="242"/>
      <c r="I179" s="242"/>
      <c r="J179" s="242"/>
      <c r="K179" s="242">
        <v>190348</v>
      </c>
      <c r="L179" s="241"/>
      <c r="M179" s="242"/>
      <c r="N179" s="243"/>
      <c r="O179" s="244" t="s">
        <v>229</v>
      </c>
      <c r="P179" s="241"/>
      <c r="Q179" s="241" t="s">
        <v>326</v>
      </c>
      <c r="R179" s="241"/>
      <c r="S179" s="241"/>
      <c r="T179" s="241"/>
      <c r="U179" s="241">
        <v>1176</v>
      </c>
    </row>
    <row r="180" spans="1:21" x14ac:dyDescent="0.25">
      <c r="A180">
        <f t="shared" si="1"/>
        <v>1177</v>
      </c>
      <c r="B180" s="155">
        <f>IF(O180="PESO",VALUE(K180),K180*EERR!$D$2)</f>
        <v>317123.09999999998</v>
      </c>
      <c r="C180" s="241" t="s">
        <v>327</v>
      </c>
      <c r="D180" s="241"/>
      <c r="E180" s="241" t="s">
        <v>242</v>
      </c>
      <c r="F180" s="241"/>
      <c r="G180" s="241" t="s">
        <v>246</v>
      </c>
      <c r="H180" s="242"/>
      <c r="I180" s="242"/>
      <c r="J180" s="242"/>
      <c r="K180" s="242">
        <v>396.9</v>
      </c>
      <c r="L180" s="241"/>
      <c r="M180" s="242"/>
      <c r="N180" s="243"/>
      <c r="O180" s="244" t="s">
        <v>243</v>
      </c>
      <c r="P180" s="241"/>
      <c r="Q180" s="241" t="s">
        <v>328</v>
      </c>
      <c r="R180" s="241"/>
      <c r="S180" s="241"/>
      <c r="T180" s="241"/>
      <c r="U180" s="241">
        <v>1177</v>
      </c>
    </row>
    <row r="181" spans="1:21" x14ac:dyDescent="0.25">
      <c r="A181">
        <f t="shared" si="1"/>
        <v>1178</v>
      </c>
      <c r="B181" s="155">
        <f>IF(O181="PESO",VALUE(K181),K181*EERR!$D$2)</f>
        <v>175340.55</v>
      </c>
      <c r="C181" s="241" t="s">
        <v>329</v>
      </c>
      <c r="D181" s="241"/>
      <c r="E181" s="241" t="s">
        <v>242</v>
      </c>
      <c r="F181" s="241"/>
      <c r="G181" s="241" t="s">
        <v>246</v>
      </c>
      <c r="H181" s="242"/>
      <c r="I181" s="242"/>
      <c r="J181" s="242"/>
      <c r="K181" s="242">
        <v>219.45</v>
      </c>
      <c r="L181" s="241"/>
      <c r="M181" s="242"/>
      <c r="N181" s="243"/>
      <c r="O181" s="244" t="s">
        <v>243</v>
      </c>
      <c r="P181" s="241"/>
      <c r="Q181" s="241" t="s">
        <v>330</v>
      </c>
      <c r="R181" s="241"/>
      <c r="S181" s="241"/>
      <c r="T181" s="241"/>
      <c r="U181" s="241">
        <v>1178</v>
      </c>
    </row>
    <row r="182" spans="1:21" x14ac:dyDescent="0.25">
      <c r="A182">
        <f t="shared" si="1"/>
        <v>1179</v>
      </c>
      <c r="B182" s="155">
        <f>IF(O182="PESO",VALUE(K182),K182*EERR!$D$2)</f>
        <v>162524.59</v>
      </c>
      <c r="C182" s="241" t="s">
        <v>332</v>
      </c>
      <c r="D182" s="241"/>
      <c r="E182" s="241" t="s">
        <v>242</v>
      </c>
      <c r="F182" s="241"/>
      <c r="G182" s="241" t="s">
        <v>246</v>
      </c>
      <c r="H182" s="242"/>
      <c r="I182" s="242"/>
      <c r="J182" s="242"/>
      <c r="K182" s="242">
        <v>203.41</v>
      </c>
      <c r="L182" s="241"/>
      <c r="M182" s="242"/>
      <c r="N182" s="243"/>
      <c r="O182" s="244" t="s">
        <v>243</v>
      </c>
      <c r="P182" s="241"/>
      <c r="Q182" s="241" t="s">
        <v>333</v>
      </c>
      <c r="R182" s="241"/>
      <c r="S182" s="241"/>
      <c r="T182" s="241"/>
      <c r="U182" s="241">
        <v>1179</v>
      </c>
    </row>
    <row r="183" spans="1:21" x14ac:dyDescent="0.25">
      <c r="A183">
        <f t="shared" si="1"/>
        <v>1180</v>
      </c>
      <c r="B183" s="155">
        <f>IF(O183="PESO",VALUE(K183),K183*EERR!$D$2)</f>
        <v>189051</v>
      </c>
      <c r="C183" s="241" t="s">
        <v>334</v>
      </c>
      <c r="D183" s="241"/>
      <c r="E183" s="241" t="s">
        <v>205</v>
      </c>
      <c r="F183" s="241"/>
      <c r="G183" s="241" t="s">
        <v>254</v>
      </c>
      <c r="H183" s="242"/>
      <c r="I183" s="242"/>
      <c r="J183" s="242"/>
      <c r="K183" s="242">
        <v>189051</v>
      </c>
      <c r="L183" s="241"/>
      <c r="M183" s="242"/>
      <c r="N183" s="243"/>
      <c r="O183" s="244" t="s">
        <v>229</v>
      </c>
      <c r="P183" s="241"/>
      <c r="Q183" s="241" t="s">
        <v>335</v>
      </c>
      <c r="R183" s="241"/>
      <c r="S183" s="241"/>
      <c r="T183" s="241"/>
      <c r="U183" s="241">
        <v>1180</v>
      </c>
    </row>
    <row r="184" spans="1:21" x14ac:dyDescent="0.25">
      <c r="A184">
        <f t="shared" si="1"/>
        <v>1181</v>
      </c>
      <c r="B184" s="155">
        <f>IF(O184="PESO",VALUE(K184),K184*EERR!$D$2)</f>
        <v>73907.5</v>
      </c>
      <c r="C184" s="241" t="s">
        <v>336</v>
      </c>
      <c r="D184" s="241"/>
      <c r="E184" s="241" t="s">
        <v>242</v>
      </c>
      <c r="F184" s="241"/>
      <c r="G184" s="241" t="s">
        <v>246</v>
      </c>
      <c r="H184" s="242"/>
      <c r="I184" s="242"/>
      <c r="J184" s="242"/>
      <c r="K184" s="242">
        <v>92.5</v>
      </c>
      <c r="L184" s="241"/>
      <c r="M184" s="242"/>
      <c r="N184" s="243"/>
      <c r="O184" s="244" t="s">
        <v>243</v>
      </c>
      <c r="P184" s="241"/>
      <c r="Q184" s="241" t="s">
        <v>279</v>
      </c>
      <c r="R184" s="241"/>
      <c r="S184" s="241"/>
      <c r="T184" s="241"/>
      <c r="U184" s="241">
        <v>1181</v>
      </c>
    </row>
    <row r="185" spans="1:21" x14ac:dyDescent="0.25">
      <c r="A185">
        <f t="shared" si="1"/>
        <v>1182</v>
      </c>
      <c r="B185" s="155">
        <f>IF(O185="PESO",VALUE(K185),K185*EERR!$D$2)</f>
        <v>180581.99</v>
      </c>
      <c r="C185" s="241" t="s">
        <v>337</v>
      </c>
      <c r="D185" s="241"/>
      <c r="E185" s="241" t="s">
        <v>242</v>
      </c>
      <c r="F185" s="241"/>
      <c r="G185" s="241" t="s">
        <v>246</v>
      </c>
      <c r="H185" s="242"/>
      <c r="I185" s="242"/>
      <c r="J185" s="242"/>
      <c r="K185" s="242">
        <v>226.01</v>
      </c>
      <c r="L185" s="241"/>
      <c r="M185" s="242"/>
      <c r="N185" s="243"/>
      <c r="O185" s="244" t="s">
        <v>243</v>
      </c>
      <c r="P185" s="241"/>
      <c r="Q185" s="241" t="s">
        <v>338</v>
      </c>
      <c r="R185" s="241"/>
      <c r="S185" s="241"/>
      <c r="T185" s="241"/>
      <c r="U185" s="241">
        <v>1182</v>
      </c>
    </row>
    <row r="186" spans="1:21" x14ac:dyDescent="0.25">
      <c r="A186">
        <f t="shared" si="1"/>
        <v>1183</v>
      </c>
      <c r="B186" s="155">
        <f>IF(O186="PESO",VALUE(K186),K186*EERR!$D$2)</f>
        <v>180581.99</v>
      </c>
      <c r="C186" s="241" t="s">
        <v>339</v>
      </c>
      <c r="D186" s="241"/>
      <c r="E186" s="241" t="s">
        <v>242</v>
      </c>
      <c r="F186" s="241"/>
      <c r="G186" s="241" t="s">
        <v>246</v>
      </c>
      <c r="H186" s="242"/>
      <c r="I186" s="242"/>
      <c r="J186" s="242"/>
      <c r="K186" s="242">
        <v>226.01</v>
      </c>
      <c r="L186" s="241"/>
      <c r="M186" s="242"/>
      <c r="N186" s="243"/>
      <c r="O186" s="244" t="s">
        <v>243</v>
      </c>
      <c r="P186" s="241"/>
      <c r="Q186" s="241" t="s">
        <v>340</v>
      </c>
      <c r="R186" s="241"/>
      <c r="S186" s="241"/>
      <c r="T186" s="241"/>
      <c r="U186" s="241">
        <v>1183</v>
      </c>
    </row>
    <row r="187" spans="1:21" x14ac:dyDescent="0.25">
      <c r="A187">
        <f t="shared" si="1"/>
        <v>1184</v>
      </c>
      <c r="B187" s="155">
        <f>IF(O187="PESO",VALUE(K187),K187*EERR!$D$2)</f>
        <v>528538.5</v>
      </c>
      <c r="C187" s="241" t="s">
        <v>341</v>
      </c>
      <c r="D187" s="241"/>
      <c r="E187" s="241" t="s">
        <v>242</v>
      </c>
      <c r="F187" s="241"/>
      <c r="G187" s="241" t="s">
        <v>246</v>
      </c>
      <c r="H187" s="242"/>
      <c r="I187" s="242"/>
      <c r="J187" s="242"/>
      <c r="K187" s="242">
        <v>661.5</v>
      </c>
      <c r="L187" s="241"/>
      <c r="M187" s="242"/>
      <c r="N187" s="243"/>
      <c r="O187" s="244" t="s">
        <v>243</v>
      </c>
      <c r="P187" s="241"/>
      <c r="Q187" s="241" t="s">
        <v>280</v>
      </c>
      <c r="R187" s="241"/>
      <c r="S187" s="241"/>
      <c r="T187" s="241"/>
      <c r="U187" s="241">
        <v>1184</v>
      </c>
    </row>
    <row r="188" spans="1:21" x14ac:dyDescent="0.25">
      <c r="A188">
        <f t="shared" si="1"/>
        <v>1185</v>
      </c>
      <c r="B188" s="155">
        <f>IF(O188="PESO",VALUE(K188),K188*EERR!$D$2)</f>
        <v>158561.54999999999</v>
      </c>
      <c r="C188" s="241" t="s">
        <v>342</v>
      </c>
      <c r="D188" s="241"/>
      <c r="E188" s="241" t="s">
        <v>242</v>
      </c>
      <c r="F188" s="241"/>
      <c r="G188" s="241" t="s">
        <v>246</v>
      </c>
      <c r="H188" s="242"/>
      <c r="I188" s="242"/>
      <c r="J188" s="242"/>
      <c r="K188" s="242">
        <v>198.45</v>
      </c>
      <c r="L188" s="241"/>
      <c r="M188" s="242"/>
      <c r="N188" s="243"/>
      <c r="O188" s="244" t="s">
        <v>243</v>
      </c>
      <c r="P188" s="241"/>
      <c r="Q188" s="241" t="s">
        <v>343</v>
      </c>
      <c r="R188" s="241"/>
      <c r="S188" s="241"/>
      <c r="T188" s="241"/>
      <c r="U188" s="241">
        <v>1185</v>
      </c>
    </row>
    <row r="189" spans="1:21" x14ac:dyDescent="0.25">
      <c r="A189">
        <f t="shared" si="1"/>
        <v>1186</v>
      </c>
      <c r="B189" s="155">
        <f>IF(O189="PESO",VALUE(K189),K189*EERR!$D$2)</f>
        <v>180581.99</v>
      </c>
      <c r="C189" s="241" t="s">
        <v>344</v>
      </c>
      <c r="D189" s="241"/>
      <c r="E189" s="241" t="s">
        <v>242</v>
      </c>
      <c r="F189" s="241"/>
      <c r="G189" s="241" t="s">
        <v>246</v>
      </c>
      <c r="H189" s="242"/>
      <c r="I189" s="242"/>
      <c r="J189" s="242"/>
      <c r="K189" s="242">
        <v>226.01</v>
      </c>
      <c r="L189" s="241"/>
      <c r="M189" s="242"/>
      <c r="N189" s="243"/>
      <c r="O189" s="244" t="s">
        <v>243</v>
      </c>
      <c r="P189" s="241"/>
      <c r="Q189" s="241" t="s">
        <v>282</v>
      </c>
      <c r="R189" s="241"/>
      <c r="S189" s="241"/>
      <c r="T189" s="241"/>
      <c r="U189" s="241">
        <v>1186</v>
      </c>
    </row>
    <row r="190" spans="1:21" x14ac:dyDescent="0.25">
      <c r="A190">
        <f t="shared" si="1"/>
        <v>1187</v>
      </c>
      <c r="B190" s="155">
        <f>IF(O190="PESO",VALUE(K190),K190*EERR!$D$2)</f>
        <v>321198</v>
      </c>
      <c r="C190" s="241" t="s">
        <v>345</v>
      </c>
      <c r="D190" s="241"/>
      <c r="E190" s="241" t="s">
        <v>242</v>
      </c>
      <c r="F190" s="241"/>
      <c r="G190" s="241" t="s">
        <v>246</v>
      </c>
      <c r="H190" s="242"/>
      <c r="I190" s="242"/>
      <c r="J190" s="242"/>
      <c r="K190" s="242">
        <v>402</v>
      </c>
      <c r="L190" s="241"/>
      <c r="M190" s="242"/>
      <c r="N190" s="243"/>
      <c r="O190" s="244" t="s">
        <v>243</v>
      </c>
      <c r="P190" s="241"/>
      <c r="Q190" s="241" t="s">
        <v>283</v>
      </c>
      <c r="R190" s="241"/>
      <c r="S190" s="241"/>
      <c r="T190" s="241"/>
      <c r="U190" s="241">
        <v>1187</v>
      </c>
    </row>
    <row r="191" spans="1:21" x14ac:dyDescent="0.25">
      <c r="A191">
        <f t="shared" si="1"/>
        <v>1188</v>
      </c>
      <c r="B191" s="155">
        <f>IF(O191="PESO",VALUE(K191),K191*EERR!$D$2)</f>
        <v>170266.9</v>
      </c>
      <c r="C191" s="241" t="s">
        <v>346</v>
      </c>
      <c r="D191" s="241"/>
      <c r="E191" s="241" t="s">
        <v>242</v>
      </c>
      <c r="F191" s="241"/>
      <c r="G191" s="241" t="s">
        <v>246</v>
      </c>
      <c r="H191" s="242"/>
      <c r="I191" s="242"/>
      <c r="J191" s="242"/>
      <c r="K191" s="242">
        <v>213.1</v>
      </c>
      <c r="L191" s="241"/>
      <c r="M191" s="242"/>
      <c r="N191" s="243"/>
      <c r="O191" s="244" t="s">
        <v>243</v>
      </c>
      <c r="P191" s="241"/>
      <c r="Q191" s="241" t="s">
        <v>347</v>
      </c>
      <c r="R191" s="241"/>
      <c r="S191" s="241"/>
      <c r="T191" s="241"/>
      <c r="U191" s="241">
        <v>1188</v>
      </c>
    </row>
    <row r="192" spans="1:21" x14ac:dyDescent="0.25">
      <c r="A192">
        <f t="shared" si="1"/>
        <v>1189</v>
      </c>
      <c r="B192" s="155">
        <f>IF(O192="PESO",VALUE(K192),K192*EERR!$D$2)</f>
        <v>174460</v>
      </c>
      <c r="C192" s="241" t="s">
        <v>348</v>
      </c>
      <c r="D192" s="241"/>
      <c r="E192" s="241" t="s">
        <v>205</v>
      </c>
      <c r="F192" s="241"/>
      <c r="G192" s="241" t="s">
        <v>254</v>
      </c>
      <c r="H192" s="242"/>
      <c r="I192" s="242"/>
      <c r="J192" s="242"/>
      <c r="K192" s="242">
        <v>174460</v>
      </c>
      <c r="L192" s="241"/>
      <c r="M192" s="242"/>
      <c r="N192" s="243"/>
      <c r="O192" s="244" t="s">
        <v>229</v>
      </c>
      <c r="P192" s="241"/>
      <c r="Q192" s="241" t="s">
        <v>349</v>
      </c>
      <c r="R192" s="241"/>
      <c r="S192" s="241"/>
      <c r="T192" s="241"/>
      <c r="U192" s="241">
        <v>1189</v>
      </c>
    </row>
    <row r="193" spans="1:21" x14ac:dyDescent="0.25">
      <c r="A193">
        <f t="shared" si="1"/>
        <v>1190</v>
      </c>
      <c r="B193" s="155">
        <f>IF(O193="PESO",VALUE(K193),K193*EERR!$D$2)</f>
        <v>975147.54</v>
      </c>
      <c r="C193" s="241" t="s">
        <v>350</v>
      </c>
      <c r="D193" s="241"/>
      <c r="E193" s="241" t="s">
        <v>242</v>
      </c>
      <c r="F193" s="241"/>
      <c r="G193" s="241" t="s">
        <v>246</v>
      </c>
      <c r="H193" s="242"/>
      <c r="I193" s="242"/>
      <c r="J193" s="242"/>
      <c r="K193" s="242">
        <v>1220.46</v>
      </c>
      <c r="L193" s="241"/>
      <c r="M193" s="242"/>
      <c r="N193" s="243"/>
      <c r="O193" s="244" t="s">
        <v>243</v>
      </c>
      <c r="P193" s="241"/>
      <c r="Q193" s="241" t="s">
        <v>351</v>
      </c>
      <c r="R193" s="241"/>
      <c r="S193" s="241"/>
      <c r="T193" s="241"/>
      <c r="U193" s="241">
        <v>1190</v>
      </c>
    </row>
    <row r="194" spans="1:21" x14ac:dyDescent="0.25">
      <c r="A194">
        <f t="shared" si="1"/>
        <v>1191</v>
      </c>
      <c r="B194" s="155">
        <f>IF(O194="PESO",VALUE(K194),K194*EERR!$D$2)</f>
        <v>158561.54999999999</v>
      </c>
      <c r="C194" s="241" t="s">
        <v>352</v>
      </c>
      <c r="D194" s="241"/>
      <c r="E194" s="241" t="s">
        <v>242</v>
      </c>
      <c r="F194" s="241"/>
      <c r="G194" s="241" t="s">
        <v>246</v>
      </c>
      <c r="H194" s="242"/>
      <c r="I194" s="242"/>
      <c r="J194" s="242"/>
      <c r="K194" s="242">
        <v>198.45</v>
      </c>
      <c r="L194" s="241"/>
      <c r="M194" s="242"/>
      <c r="N194" s="243"/>
      <c r="O194" s="244" t="s">
        <v>243</v>
      </c>
      <c r="P194" s="241"/>
      <c r="Q194" s="241" t="s">
        <v>353</v>
      </c>
      <c r="R194" s="241"/>
      <c r="S194" s="241"/>
      <c r="T194" s="241"/>
      <c r="U194" s="241">
        <v>1191</v>
      </c>
    </row>
    <row r="195" spans="1:21" x14ac:dyDescent="0.25">
      <c r="A195">
        <f t="shared" si="1"/>
        <v>1192</v>
      </c>
      <c r="B195" s="155">
        <f>IF(O195="PESO",VALUE(K195),K195*EERR!$D$2)</f>
        <v>1021601.3999999999</v>
      </c>
      <c r="C195" s="241" t="s">
        <v>354</v>
      </c>
      <c r="D195" s="241"/>
      <c r="E195" s="241" t="s">
        <v>242</v>
      </c>
      <c r="F195" s="241"/>
      <c r="G195" s="241" t="s">
        <v>246</v>
      </c>
      <c r="H195" s="242"/>
      <c r="I195" s="242"/>
      <c r="J195" s="242"/>
      <c r="K195" s="242">
        <v>1278.5999999999999</v>
      </c>
      <c r="L195" s="241"/>
      <c r="M195" s="242"/>
      <c r="N195" s="243"/>
      <c r="O195" s="244" t="s">
        <v>243</v>
      </c>
      <c r="P195" s="241"/>
      <c r="Q195" s="241" t="s">
        <v>355</v>
      </c>
      <c r="R195" s="241"/>
      <c r="S195" s="241"/>
      <c r="T195" s="241"/>
      <c r="U195" s="241">
        <v>1192</v>
      </c>
    </row>
    <row r="196" spans="1:21" x14ac:dyDescent="0.25">
      <c r="A196">
        <f t="shared" si="1"/>
        <v>1193</v>
      </c>
      <c r="B196" s="155">
        <f>IF(O196="PESO",VALUE(K196),K196*EERR!$D$2)</f>
        <v>162524.59</v>
      </c>
      <c r="C196" s="241" t="s">
        <v>356</v>
      </c>
      <c r="D196" s="241"/>
      <c r="E196" s="241" t="s">
        <v>242</v>
      </c>
      <c r="F196" s="241"/>
      <c r="G196" s="241" t="s">
        <v>246</v>
      </c>
      <c r="H196" s="242"/>
      <c r="I196" s="242"/>
      <c r="J196" s="242"/>
      <c r="K196" s="242">
        <v>203.41</v>
      </c>
      <c r="L196" s="241"/>
      <c r="M196" s="242"/>
      <c r="N196" s="243"/>
      <c r="O196" s="244" t="s">
        <v>243</v>
      </c>
      <c r="P196" s="241"/>
      <c r="Q196" s="241" t="s">
        <v>357</v>
      </c>
      <c r="R196" s="241"/>
      <c r="S196" s="241"/>
      <c r="T196" s="241"/>
      <c r="U196" s="241">
        <v>1193</v>
      </c>
    </row>
    <row r="197" spans="1:21" x14ac:dyDescent="0.25">
      <c r="A197">
        <f t="shared" si="1"/>
        <v>1194</v>
      </c>
      <c r="B197" s="155">
        <f>IF(O197="PESO",VALUE(K197),K197*EERR!$D$2)</f>
        <v>162524.59</v>
      </c>
      <c r="C197" s="241" t="s">
        <v>358</v>
      </c>
      <c r="D197" s="241"/>
      <c r="E197" s="241" t="s">
        <v>242</v>
      </c>
      <c r="F197" s="241"/>
      <c r="G197" s="241" t="s">
        <v>246</v>
      </c>
      <c r="H197" s="242"/>
      <c r="I197" s="242"/>
      <c r="J197" s="242"/>
      <c r="K197" s="242">
        <v>203.41</v>
      </c>
      <c r="L197" s="241"/>
      <c r="M197" s="242"/>
      <c r="N197" s="243"/>
      <c r="O197" s="244" t="s">
        <v>243</v>
      </c>
      <c r="P197" s="241"/>
      <c r="Q197" s="241" t="s">
        <v>359</v>
      </c>
      <c r="R197" s="241"/>
      <c r="S197" s="241"/>
      <c r="T197" s="241"/>
      <c r="U197" s="241">
        <v>1194</v>
      </c>
    </row>
    <row r="198" spans="1:21" x14ac:dyDescent="0.25">
      <c r="A198">
        <f t="shared" si="1"/>
        <v>1195</v>
      </c>
      <c r="B198" s="155">
        <f>IF(O198="PESO",VALUE(K198),K198*EERR!$D$2)</f>
        <v>162524.59</v>
      </c>
      <c r="C198" s="241" t="s">
        <v>360</v>
      </c>
      <c r="D198" s="241"/>
      <c r="E198" s="241" t="s">
        <v>242</v>
      </c>
      <c r="F198" s="241"/>
      <c r="G198" s="241" t="s">
        <v>246</v>
      </c>
      <c r="H198" s="242"/>
      <c r="I198" s="242"/>
      <c r="J198" s="242"/>
      <c r="K198" s="242">
        <v>203.41</v>
      </c>
      <c r="L198" s="241"/>
      <c r="M198" s="242"/>
      <c r="N198" s="243"/>
      <c r="O198" s="244" t="s">
        <v>243</v>
      </c>
      <c r="P198" s="241"/>
      <c r="Q198" s="241" t="s">
        <v>361</v>
      </c>
      <c r="R198" s="241"/>
      <c r="S198" s="241"/>
      <c r="T198" s="241"/>
      <c r="U198" s="241">
        <v>1195</v>
      </c>
    </row>
    <row r="199" spans="1:21" x14ac:dyDescent="0.25">
      <c r="A199">
        <f t="shared" si="1"/>
        <v>1196</v>
      </c>
      <c r="B199" s="155">
        <f>IF(O199="PESO",VALUE(K199),K199*EERR!$D$2)</f>
        <v>180581.99</v>
      </c>
      <c r="C199" s="241" t="s">
        <v>362</v>
      </c>
      <c r="D199" s="241"/>
      <c r="E199" s="241" t="s">
        <v>242</v>
      </c>
      <c r="F199" s="241"/>
      <c r="G199" s="241" t="s">
        <v>246</v>
      </c>
      <c r="H199" s="242"/>
      <c r="I199" s="242"/>
      <c r="J199" s="242"/>
      <c r="K199" s="242">
        <v>226.01</v>
      </c>
      <c r="L199" s="241"/>
      <c r="M199" s="242"/>
      <c r="N199" s="243"/>
      <c r="O199" s="244" t="s">
        <v>243</v>
      </c>
      <c r="P199" s="241"/>
      <c r="Q199" s="241" t="s">
        <v>363</v>
      </c>
      <c r="R199" s="241"/>
      <c r="S199" s="241"/>
      <c r="T199" s="241"/>
      <c r="U199" s="241">
        <v>1196</v>
      </c>
    </row>
    <row r="200" spans="1:21" x14ac:dyDescent="0.25">
      <c r="A200">
        <f t="shared" ref="A200" si="2">VALUE(U200)</f>
        <v>1197</v>
      </c>
      <c r="B200" s="155">
        <f>IF(O200="PESO",VALUE(K200),K200*EERR!$D$2)</f>
        <v>173958</v>
      </c>
      <c r="C200" s="241" t="s">
        <v>364</v>
      </c>
      <c r="D200" s="241"/>
      <c r="E200" s="241" t="s">
        <v>205</v>
      </c>
      <c r="F200" s="241"/>
      <c r="G200" s="241" t="s">
        <v>254</v>
      </c>
      <c r="H200" s="242"/>
      <c r="I200" s="242"/>
      <c r="J200" s="242"/>
      <c r="K200" s="242">
        <v>173958</v>
      </c>
      <c r="L200" s="241"/>
      <c r="M200" s="242"/>
      <c r="N200" s="243"/>
      <c r="O200" s="244" t="s">
        <v>229</v>
      </c>
      <c r="P200" s="241"/>
      <c r="Q200" s="241" t="s">
        <v>365</v>
      </c>
      <c r="R200" s="241"/>
      <c r="S200" s="241"/>
      <c r="T200" s="241"/>
      <c r="U200" s="241">
        <v>1197</v>
      </c>
    </row>
    <row r="201" spans="1:21" x14ac:dyDescent="0.25">
      <c r="A201">
        <f t="shared" si="1"/>
        <v>1198</v>
      </c>
      <c r="B201" s="155">
        <f>IF(O201="PESO",VALUE(K201),K201*EERR!$D$2)</f>
        <v>722327.96</v>
      </c>
      <c r="C201" s="241" t="s">
        <v>366</v>
      </c>
      <c r="D201" s="241"/>
      <c r="E201" s="241" t="s">
        <v>242</v>
      </c>
      <c r="F201" s="241"/>
      <c r="G201" s="241" t="s">
        <v>246</v>
      </c>
      <c r="H201" s="242"/>
      <c r="I201" s="242"/>
      <c r="J201" s="242"/>
      <c r="K201" s="242">
        <v>904.04</v>
      </c>
      <c r="L201" s="241"/>
      <c r="M201" s="242"/>
      <c r="N201" s="243"/>
      <c r="O201" s="244" t="s">
        <v>243</v>
      </c>
      <c r="P201" s="241"/>
      <c r="Q201" s="241" t="s">
        <v>315</v>
      </c>
      <c r="R201" s="241"/>
      <c r="S201" s="241"/>
      <c r="T201" s="241"/>
      <c r="U201" s="241">
        <v>1198</v>
      </c>
    </row>
    <row r="202" spans="1:21" x14ac:dyDescent="0.25">
      <c r="A202">
        <f t="shared" si="1"/>
        <v>1201</v>
      </c>
      <c r="B202" s="155">
        <f>IF(O202="PESO",VALUE(K202),K202*EERR!$D$2)</f>
        <v>173535</v>
      </c>
      <c r="C202" s="241" t="s">
        <v>367</v>
      </c>
      <c r="D202" s="241"/>
      <c r="E202" s="241" t="s">
        <v>205</v>
      </c>
      <c r="F202" s="241"/>
      <c r="G202" s="241" t="s">
        <v>254</v>
      </c>
      <c r="H202" s="242"/>
      <c r="I202" s="242"/>
      <c r="J202" s="242"/>
      <c r="K202" s="242">
        <v>173535</v>
      </c>
      <c r="L202" s="241"/>
      <c r="M202" s="242"/>
      <c r="N202" s="243"/>
      <c r="O202" s="244" t="s">
        <v>229</v>
      </c>
      <c r="P202" s="241"/>
      <c r="Q202" s="241" t="s">
        <v>368</v>
      </c>
      <c r="R202" s="241"/>
      <c r="S202" s="241"/>
      <c r="T202" s="241"/>
      <c r="U202" s="241">
        <v>1201</v>
      </c>
    </row>
    <row r="203" spans="1:21" x14ac:dyDescent="0.25">
      <c r="A203">
        <f t="shared" si="1"/>
        <v>1199</v>
      </c>
      <c r="B203" s="155">
        <f>IF(O203="PESO",VALUE(K203),K203*EERR!$D$2)</f>
        <v>147815</v>
      </c>
      <c r="C203" s="241" t="s">
        <v>369</v>
      </c>
      <c r="D203" s="241"/>
      <c r="E203" s="241" t="s">
        <v>242</v>
      </c>
      <c r="F203" s="241"/>
      <c r="G203" s="241" t="s">
        <v>246</v>
      </c>
      <c r="H203" s="242"/>
      <c r="I203" s="242"/>
      <c r="J203" s="242"/>
      <c r="K203" s="242">
        <v>185</v>
      </c>
      <c r="L203" s="241"/>
      <c r="M203" s="242"/>
      <c r="N203" s="243"/>
      <c r="O203" s="244" t="s">
        <v>243</v>
      </c>
      <c r="P203" s="241"/>
      <c r="Q203" s="241" t="s">
        <v>370</v>
      </c>
      <c r="R203" s="241"/>
      <c r="S203" s="241"/>
      <c r="T203" s="241"/>
      <c r="U203" s="241">
        <v>1199</v>
      </c>
    </row>
    <row r="204" spans="1:21" x14ac:dyDescent="0.25">
      <c r="A204">
        <f t="shared" si="1"/>
        <v>1200</v>
      </c>
      <c r="B204" s="155">
        <f>IF(O204="PESO",VALUE(K204),K204*EERR!$D$2)</f>
        <v>180581.99</v>
      </c>
      <c r="C204" s="241" t="s">
        <v>371</v>
      </c>
      <c r="D204" s="241"/>
      <c r="E204" s="241" t="s">
        <v>242</v>
      </c>
      <c r="F204" s="241"/>
      <c r="G204" s="241" t="s">
        <v>246</v>
      </c>
      <c r="H204" s="242"/>
      <c r="I204" s="242"/>
      <c r="J204" s="242"/>
      <c r="K204" s="242">
        <v>226.01</v>
      </c>
      <c r="L204" s="241"/>
      <c r="M204" s="242"/>
      <c r="N204" s="243"/>
      <c r="O204" s="244" t="s">
        <v>243</v>
      </c>
      <c r="P204" s="241"/>
      <c r="Q204" s="241" t="s">
        <v>372</v>
      </c>
      <c r="R204" s="241"/>
      <c r="S204" s="241"/>
      <c r="T204" s="241"/>
      <c r="U204" s="241">
        <v>1200</v>
      </c>
    </row>
    <row r="205" spans="1:21" x14ac:dyDescent="0.25">
      <c r="A205">
        <f t="shared" si="1"/>
        <v>1201</v>
      </c>
      <c r="B205" s="155">
        <f>IF(O205="PESO",VALUE(K205),K205*EERR!$D$2)</f>
        <v>173535</v>
      </c>
      <c r="C205" s="241" t="s">
        <v>373</v>
      </c>
      <c r="D205" s="241"/>
      <c r="E205" s="241" t="s">
        <v>205</v>
      </c>
      <c r="F205" s="241"/>
      <c r="G205" s="241" t="s">
        <v>254</v>
      </c>
      <c r="H205" s="242"/>
      <c r="I205" s="242"/>
      <c r="J205" s="242"/>
      <c r="K205" s="242">
        <v>173535</v>
      </c>
      <c r="L205" s="241"/>
      <c r="M205" s="242"/>
      <c r="N205" s="243"/>
      <c r="O205" s="244" t="s">
        <v>229</v>
      </c>
      <c r="P205" s="241"/>
      <c r="Q205" s="241" t="s">
        <v>368</v>
      </c>
      <c r="R205" s="241"/>
      <c r="S205" s="241"/>
      <c r="T205" s="241"/>
      <c r="U205" s="241">
        <v>1201</v>
      </c>
    </row>
    <row r="206" spans="1:21" x14ac:dyDescent="0.25">
      <c r="A206">
        <f t="shared" si="1"/>
        <v>1201</v>
      </c>
      <c r="B206" s="155">
        <f>IF(O206="PESO",VALUE(K206),K206*EERR!$D$2)</f>
        <v>-138654465</v>
      </c>
      <c r="C206" s="241" t="s">
        <v>373</v>
      </c>
      <c r="D206" s="241"/>
      <c r="E206" s="241" t="s">
        <v>205</v>
      </c>
      <c r="F206" s="241"/>
      <c r="G206" s="241" t="s">
        <v>375</v>
      </c>
      <c r="H206" s="242"/>
      <c r="I206" s="242"/>
      <c r="J206" s="242"/>
      <c r="K206" s="242">
        <v>-173535</v>
      </c>
      <c r="L206" s="241"/>
      <c r="M206" s="242"/>
      <c r="N206" s="243"/>
      <c r="O206" s="244" t="s">
        <v>243</v>
      </c>
      <c r="P206" s="241"/>
      <c r="Q206" s="241" t="s">
        <v>368</v>
      </c>
      <c r="R206" s="241"/>
      <c r="S206" s="241"/>
      <c r="T206" s="241"/>
      <c r="U206" s="241">
        <v>1201</v>
      </c>
    </row>
    <row r="207" spans="1:21" x14ac:dyDescent="0.25">
      <c r="A207">
        <f t="shared" si="1"/>
        <v>1201</v>
      </c>
      <c r="B207" s="155">
        <f>IF(O207="PESO",VALUE(K207),K207*EERR!$D$2)</f>
        <v>-138654465</v>
      </c>
      <c r="C207" s="241" t="s">
        <v>373</v>
      </c>
      <c r="D207" s="241"/>
      <c r="E207" s="241" t="s">
        <v>205</v>
      </c>
      <c r="F207" s="241"/>
      <c r="G207" s="241" t="s">
        <v>375</v>
      </c>
      <c r="H207" s="242"/>
      <c r="I207" s="242"/>
      <c r="J207" s="242"/>
      <c r="K207" s="242">
        <v>-173535</v>
      </c>
      <c r="L207" s="241"/>
      <c r="M207" s="242"/>
      <c r="N207" s="243"/>
      <c r="O207" s="244" t="s">
        <v>243</v>
      </c>
      <c r="P207" s="241"/>
      <c r="Q207" s="241" t="s">
        <v>368</v>
      </c>
      <c r="R207" s="241"/>
      <c r="S207" s="241"/>
      <c r="T207" s="241"/>
      <c r="U207" s="241">
        <v>1201</v>
      </c>
    </row>
    <row r="208" spans="1:21" x14ac:dyDescent="0.25">
      <c r="A208">
        <f t="shared" si="1"/>
        <v>1202</v>
      </c>
      <c r="B208" s="155">
        <f>IF(O208="PESO",VALUE(K208),K208*EERR!$D$2)</f>
        <v>293328.88</v>
      </c>
      <c r="C208" s="241" t="s">
        <v>376</v>
      </c>
      <c r="D208" s="241"/>
      <c r="E208" s="241" t="s">
        <v>242</v>
      </c>
      <c r="F208" s="241"/>
      <c r="G208" s="241" t="s">
        <v>246</v>
      </c>
      <c r="H208" s="242"/>
      <c r="I208" s="242"/>
      <c r="J208" s="242"/>
      <c r="K208" s="242">
        <v>367.12</v>
      </c>
      <c r="L208" s="241"/>
      <c r="M208" s="242"/>
      <c r="N208" s="243"/>
      <c r="O208" s="244" t="s">
        <v>243</v>
      </c>
      <c r="P208" s="241"/>
      <c r="Q208" s="241" t="s">
        <v>377</v>
      </c>
      <c r="R208" s="241"/>
      <c r="S208" s="241"/>
      <c r="T208" s="241"/>
      <c r="U208" s="241">
        <v>1202</v>
      </c>
    </row>
    <row r="209" spans="1:21" x14ac:dyDescent="0.25">
      <c r="A209">
        <f t="shared" si="1"/>
        <v>1203</v>
      </c>
      <c r="B209" s="155">
        <f>IF(O209="PESO",VALUE(K209),K209*EERR!$D$2)</f>
        <v>174146</v>
      </c>
      <c r="C209" s="241" t="s">
        <v>378</v>
      </c>
      <c r="D209" s="241"/>
      <c r="E209" s="241" t="s">
        <v>205</v>
      </c>
      <c r="F209" s="241"/>
      <c r="G209" s="241" t="s">
        <v>254</v>
      </c>
      <c r="H209" s="242"/>
      <c r="I209" s="242"/>
      <c r="J209" s="242"/>
      <c r="K209" s="242">
        <v>174146</v>
      </c>
      <c r="L209" s="241"/>
      <c r="M209" s="242"/>
      <c r="N209" s="243"/>
      <c r="O209" s="244" t="s">
        <v>229</v>
      </c>
      <c r="P209" s="241"/>
      <c r="Q209" s="241" t="s">
        <v>379</v>
      </c>
      <c r="R209" s="241"/>
      <c r="S209" s="241"/>
      <c r="T209" s="241"/>
      <c r="U209" s="241">
        <v>1203</v>
      </c>
    </row>
    <row r="210" spans="1:21" x14ac:dyDescent="0.25">
      <c r="A210">
        <f t="shared" si="1"/>
        <v>1204</v>
      </c>
      <c r="B210" s="155">
        <f>IF(O210="PESO",VALUE(K210),K210*EERR!$D$2)</f>
        <v>188273</v>
      </c>
      <c r="C210" s="241" t="s">
        <v>380</v>
      </c>
      <c r="D210" s="241"/>
      <c r="E210" s="241" t="s">
        <v>205</v>
      </c>
      <c r="F210" s="241"/>
      <c r="G210" s="241" t="s">
        <v>254</v>
      </c>
      <c r="H210" s="242"/>
      <c r="I210" s="242"/>
      <c r="J210" s="242"/>
      <c r="K210" s="242">
        <v>188273</v>
      </c>
      <c r="L210" s="241"/>
      <c r="M210" s="242"/>
      <c r="N210" s="243"/>
      <c r="O210" s="244" t="s">
        <v>229</v>
      </c>
      <c r="P210" s="241"/>
      <c r="Q210" s="241" t="s">
        <v>335</v>
      </c>
      <c r="R210" s="241"/>
      <c r="S210" s="241"/>
      <c r="T210" s="241"/>
      <c r="U210" s="241">
        <v>1204</v>
      </c>
    </row>
    <row r="211" spans="1:21" x14ac:dyDescent="0.25">
      <c r="A211">
        <f t="shared" si="1"/>
        <v>1205</v>
      </c>
      <c r="B211" s="155">
        <f>IF(O211="PESO",VALUE(K211),K211*EERR!$D$2)</f>
        <v>487573.77</v>
      </c>
      <c r="C211" s="241" t="s">
        <v>381</v>
      </c>
      <c r="D211" s="241"/>
      <c r="E211" s="241" t="s">
        <v>242</v>
      </c>
      <c r="F211" s="241"/>
      <c r="G211" s="241" t="s">
        <v>246</v>
      </c>
      <c r="H211" s="242"/>
      <c r="I211" s="242"/>
      <c r="J211" s="242"/>
      <c r="K211" s="242">
        <v>610.23</v>
      </c>
      <c r="L211" s="241"/>
      <c r="M211" s="242"/>
      <c r="N211" s="243"/>
      <c r="O211" s="244" t="s">
        <v>243</v>
      </c>
      <c r="P211" s="241"/>
      <c r="Q211" s="241" t="s">
        <v>333</v>
      </c>
      <c r="R211" s="241"/>
      <c r="S211" s="241"/>
      <c r="T211" s="241"/>
      <c r="U211" s="241">
        <v>1205</v>
      </c>
    </row>
    <row r="212" spans="1:21" x14ac:dyDescent="0.25">
      <c r="A212">
        <f t="shared" si="1"/>
        <v>1206</v>
      </c>
      <c r="B212" s="155">
        <f>IF(O212="PESO",VALUE(K212),K212*EERR!$D$2)</f>
        <v>350681.1</v>
      </c>
      <c r="C212" s="241" t="s">
        <v>382</v>
      </c>
      <c r="D212" s="241"/>
      <c r="E212" s="241" t="s">
        <v>242</v>
      </c>
      <c r="F212" s="241"/>
      <c r="G212" s="241" t="s">
        <v>246</v>
      </c>
      <c r="H212" s="242"/>
      <c r="I212" s="242"/>
      <c r="J212" s="242"/>
      <c r="K212" s="242">
        <v>438.9</v>
      </c>
      <c r="L212" s="241"/>
      <c r="M212" s="242"/>
      <c r="N212" s="243"/>
      <c r="O212" s="244" t="s">
        <v>243</v>
      </c>
      <c r="P212" s="241"/>
      <c r="Q212" s="241" t="s">
        <v>330</v>
      </c>
      <c r="R212" s="241"/>
      <c r="S212" s="241"/>
      <c r="T212" s="241"/>
      <c r="U212" s="241">
        <v>1206</v>
      </c>
    </row>
    <row r="213" spans="1:21" x14ac:dyDescent="0.25">
      <c r="A213">
        <f t="shared" si="1"/>
        <v>1207</v>
      </c>
      <c r="B213" s="155">
        <f>IF(O213="PESO",VALUE(K213),K213*EERR!$D$2)</f>
        <v>739075</v>
      </c>
      <c r="C213" s="241" t="s">
        <v>383</v>
      </c>
      <c r="D213" s="241"/>
      <c r="E213" s="241" t="s">
        <v>242</v>
      </c>
      <c r="F213" s="241"/>
      <c r="G213" s="241" t="s">
        <v>246</v>
      </c>
      <c r="H213" s="242"/>
      <c r="I213" s="242"/>
      <c r="J213" s="242"/>
      <c r="K213" s="242">
        <v>925</v>
      </c>
      <c r="L213" s="241"/>
      <c r="M213" s="242"/>
      <c r="N213" s="243"/>
      <c r="O213" s="244" t="s">
        <v>243</v>
      </c>
      <c r="P213" s="241"/>
      <c r="Q213" s="241" t="s">
        <v>370</v>
      </c>
      <c r="R213" s="241"/>
      <c r="S213" s="241"/>
      <c r="T213" s="241"/>
      <c r="U213" s="241">
        <v>1207</v>
      </c>
    </row>
    <row r="214" spans="1:21" x14ac:dyDescent="0.25">
      <c r="A214">
        <f t="shared" si="1"/>
        <v>1208</v>
      </c>
      <c r="B214" s="155">
        <f>IF(O214="PESO",VALUE(K214),K214*EERR!$D$2)</f>
        <v>174146</v>
      </c>
      <c r="C214" s="241" t="s">
        <v>384</v>
      </c>
      <c r="D214" s="241"/>
      <c r="E214" s="241" t="s">
        <v>205</v>
      </c>
      <c r="F214" s="241"/>
      <c r="G214" s="241" t="s">
        <v>254</v>
      </c>
      <c r="H214" s="242"/>
      <c r="I214" s="242"/>
      <c r="J214" s="242"/>
      <c r="K214" s="242">
        <v>174146</v>
      </c>
      <c r="L214" s="241"/>
      <c r="M214" s="242"/>
      <c r="N214" s="243"/>
      <c r="O214" s="244" t="s">
        <v>229</v>
      </c>
      <c r="P214" s="241"/>
      <c r="Q214" s="241" t="s">
        <v>365</v>
      </c>
      <c r="R214" s="241"/>
      <c r="S214" s="241"/>
      <c r="T214" s="241"/>
      <c r="U214" s="241">
        <v>1208</v>
      </c>
    </row>
    <row r="215" spans="1:21" x14ac:dyDescent="0.25">
      <c r="A215">
        <f t="shared" si="1"/>
        <v>1209</v>
      </c>
      <c r="B215" s="155">
        <f>IF(O215="PESO",VALUE(K215),K215*EERR!$D$2)</f>
        <v>173884</v>
      </c>
      <c r="C215" s="241" t="s">
        <v>385</v>
      </c>
      <c r="D215" s="241"/>
      <c r="E215" s="241" t="s">
        <v>205</v>
      </c>
      <c r="F215" s="241"/>
      <c r="G215" s="241" t="s">
        <v>254</v>
      </c>
      <c r="H215" s="242"/>
      <c r="I215" s="242"/>
      <c r="J215" s="242"/>
      <c r="K215" s="242">
        <v>173884</v>
      </c>
      <c r="L215" s="241"/>
      <c r="M215" s="242"/>
      <c r="N215" s="243"/>
      <c r="O215" s="244" t="s">
        <v>229</v>
      </c>
      <c r="P215" s="241"/>
      <c r="Q215" s="241" t="s">
        <v>386</v>
      </c>
      <c r="R215" s="241"/>
      <c r="S215" s="241"/>
      <c r="T215" s="241"/>
      <c r="U215" s="241">
        <v>1209</v>
      </c>
    </row>
    <row r="216" spans="1:21" x14ac:dyDescent="0.25">
      <c r="A216">
        <f t="shared" si="1"/>
        <v>1210</v>
      </c>
      <c r="B216" s="155">
        <f>IF(O216="PESO",VALUE(K216),K216*EERR!$D$2)</f>
        <v>347768</v>
      </c>
      <c r="C216" s="241" t="s">
        <v>387</v>
      </c>
      <c r="D216" s="241"/>
      <c r="E216" s="241" t="s">
        <v>205</v>
      </c>
      <c r="F216" s="241"/>
      <c r="G216" s="241" t="s">
        <v>254</v>
      </c>
      <c r="H216" s="242"/>
      <c r="I216" s="242"/>
      <c r="J216" s="242"/>
      <c r="K216" s="242">
        <v>347768</v>
      </c>
      <c r="L216" s="241"/>
      <c r="M216" s="242"/>
      <c r="N216" s="243"/>
      <c r="O216" s="244" t="s">
        <v>229</v>
      </c>
      <c r="P216" s="241"/>
      <c r="Q216" s="241" t="s">
        <v>388</v>
      </c>
      <c r="R216" s="241"/>
      <c r="S216" s="241"/>
      <c r="T216" s="241"/>
      <c r="U216" s="241">
        <v>1210</v>
      </c>
    </row>
    <row r="217" spans="1:21" x14ac:dyDescent="0.25">
      <c r="A217">
        <f t="shared" si="1"/>
        <v>1211</v>
      </c>
      <c r="B217" s="155">
        <f>IF(O217="PESO",VALUE(K217),K217*EERR!$D$2)</f>
        <v>146664.44</v>
      </c>
      <c r="C217" s="241" t="s">
        <v>389</v>
      </c>
      <c r="D217" s="241"/>
      <c r="E217" s="241" t="s">
        <v>242</v>
      </c>
      <c r="F217" s="241"/>
      <c r="G217" s="241" t="s">
        <v>246</v>
      </c>
      <c r="H217" s="242"/>
      <c r="I217" s="242"/>
      <c r="J217" s="242"/>
      <c r="K217" s="242">
        <v>183.56</v>
      </c>
      <c r="L217" s="241"/>
      <c r="M217" s="242"/>
      <c r="N217" s="243"/>
      <c r="O217" s="244" t="s">
        <v>243</v>
      </c>
      <c r="P217" s="241"/>
      <c r="Q217" s="241" t="s">
        <v>390</v>
      </c>
      <c r="R217" s="241"/>
      <c r="S217" s="241"/>
      <c r="T217" s="241"/>
      <c r="U217" s="241">
        <v>1211</v>
      </c>
    </row>
    <row r="218" spans="1:21" x14ac:dyDescent="0.25">
      <c r="A218">
        <f t="shared" si="1"/>
        <v>1212</v>
      </c>
      <c r="B218" s="155">
        <f>IF(O218="PESO",VALUE(K218),K218*EERR!$D$2)</f>
        <v>147815</v>
      </c>
      <c r="C218" s="241" t="s">
        <v>391</v>
      </c>
      <c r="D218" s="241"/>
      <c r="E218" s="241" t="s">
        <v>242</v>
      </c>
      <c r="F218" s="241"/>
      <c r="G218" s="241" t="s">
        <v>246</v>
      </c>
      <c r="H218" s="242"/>
      <c r="I218" s="242"/>
      <c r="J218" s="242"/>
      <c r="K218" s="242">
        <v>185</v>
      </c>
      <c r="L218" s="241"/>
      <c r="M218" s="242"/>
      <c r="N218" s="243"/>
      <c r="O218" s="244" t="s">
        <v>243</v>
      </c>
      <c r="P218" s="241"/>
      <c r="Q218" s="241" t="s">
        <v>390</v>
      </c>
      <c r="R218" s="241"/>
      <c r="S218" s="241"/>
      <c r="T218" s="241"/>
      <c r="U218" s="241">
        <v>1212</v>
      </c>
    </row>
    <row r="219" spans="1:21" x14ac:dyDescent="0.25">
      <c r="A219">
        <f t="shared" si="1"/>
        <v>1213</v>
      </c>
      <c r="B219" s="155">
        <f>IF(O219="PESO",VALUE(K219),K219*EERR!$D$2)</f>
        <v>147815</v>
      </c>
      <c r="C219" s="241" t="s">
        <v>392</v>
      </c>
      <c r="D219" s="241"/>
      <c r="E219" s="241" t="s">
        <v>242</v>
      </c>
      <c r="F219" s="241"/>
      <c r="G219" s="241" t="s">
        <v>246</v>
      </c>
      <c r="H219" s="242"/>
      <c r="I219" s="242"/>
      <c r="J219" s="242"/>
      <c r="K219" s="242">
        <v>185</v>
      </c>
      <c r="L219" s="241"/>
      <c r="M219" s="242"/>
      <c r="N219" s="243"/>
      <c r="O219" s="244" t="s">
        <v>243</v>
      </c>
      <c r="P219" s="241"/>
      <c r="Q219" s="241" t="s">
        <v>393</v>
      </c>
      <c r="R219" s="241"/>
      <c r="S219" s="241"/>
      <c r="T219" s="241"/>
      <c r="U219" s="241">
        <v>1213</v>
      </c>
    </row>
    <row r="220" spans="1:21" x14ac:dyDescent="0.25">
      <c r="A220">
        <f t="shared" si="1"/>
        <v>1214</v>
      </c>
      <c r="B220" s="155">
        <f>IF(O220="PESO",VALUE(K220),K220*EERR!$D$2)</f>
        <v>194060</v>
      </c>
      <c r="C220" s="241" t="s">
        <v>394</v>
      </c>
      <c r="D220" s="241"/>
      <c r="E220" s="241" t="s">
        <v>205</v>
      </c>
      <c r="F220" s="241"/>
      <c r="G220" s="241" t="s">
        <v>254</v>
      </c>
      <c r="H220" s="242"/>
      <c r="I220" s="242"/>
      <c r="J220" s="242"/>
      <c r="K220" s="242">
        <v>194060</v>
      </c>
      <c r="L220" s="241"/>
      <c r="M220" s="242"/>
      <c r="N220" s="243"/>
      <c r="O220" s="244" t="s">
        <v>229</v>
      </c>
      <c r="P220" s="241"/>
      <c r="Q220" s="241" t="s">
        <v>395</v>
      </c>
      <c r="R220" s="241"/>
      <c r="S220" s="241"/>
      <c r="T220" s="241"/>
      <c r="U220" s="241">
        <v>1214</v>
      </c>
    </row>
    <row r="221" spans="1:21" x14ac:dyDescent="0.25">
      <c r="A221">
        <f t="shared" si="1"/>
        <v>1215</v>
      </c>
      <c r="B221" s="155">
        <f>IF(O221="PESO",VALUE(K221),K221*EERR!$D$2)</f>
        <v>144219.5</v>
      </c>
      <c r="C221" s="241" t="s">
        <v>396</v>
      </c>
      <c r="D221" s="241"/>
      <c r="E221" s="241" t="s">
        <v>242</v>
      </c>
      <c r="F221" s="241"/>
      <c r="G221" s="241" t="s">
        <v>246</v>
      </c>
      <c r="H221" s="242"/>
      <c r="I221" s="242"/>
      <c r="J221" s="242"/>
      <c r="K221" s="242">
        <v>180.5</v>
      </c>
      <c r="L221" s="241"/>
      <c r="M221" s="242"/>
      <c r="N221" s="243"/>
      <c r="O221" s="244" t="s">
        <v>243</v>
      </c>
      <c r="P221" s="241"/>
      <c r="Q221" s="241" t="s">
        <v>397</v>
      </c>
      <c r="R221" s="241"/>
      <c r="S221" s="241"/>
      <c r="T221" s="241"/>
      <c r="U221" s="241">
        <v>1215</v>
      </c>
    </row>
    <row r="222" spans="1:21" x14ac:dyDescent="0.25">
      <c r="A222">
        <f t="shared" si="1"/>
        <v>1216</v>
      </c>
      <c r="B222" s="155">
        <f>IF(O222="PESO",VALUE(K222),K222*EERR!$D$2)</f>
        <v>62801.399999999994</v>
      </c>
      <c r="C222" s="241" t="s">
        <v>398</v>
      </c>
      <c r="D222" s="241"/>
      <c r="E222" s="241" t="s">
        <v>242</v>
      </c>
      <c r="F222" s="241"/>
      <c r="G222" s="241" t="s">
        <v>246</v>
      </c>
      <c r="H222" s="242"/>
      <c r="I222" s="242"/>
      <c r="J222" s="242"/>
      <c r="K222" s="242">
        <v>78.599999999999994</v>
      </c>
      <c r="L222" s="241"/>
      <c r="M222" s="242"/>
      <c r="N222" s="243"/>
      <c r="O222" s="244" t="s">
        <v>243</v>
      </c>
      <c r="P222" s="241"/>
      <c r="Q222" s="241" t="s">
        <v>347</v>
      </c>
      <c r="R222" s="241"/>
      <c r="S222" s="241"/>
      <c r="T222" s="241"/>
      <c r="U222" s="241">
        <v>1216</v>
      </c>
    </row>
    <row r="223" spans="1:21" x14ac:dyDescent="0.25">
      <c r="A223">
        <f t="shared" si="1"/>
        <v>1217</v>
      </c>
      <c r="B223" s="155">
        <f>IF(O223="PESO",VALUE(K223),K223*EERR!$D$2)</f>
        <v>9000</v>
      </c>
      <c r="C223" s="241" t="s">
        <v>399</v>
      </c>
      <c r="D223" s="241"/>
      <c r="E223" s="241" t="s">
        <v>205</v>
      </c>
      <c r="F223" s="241"/>
      <c r="G223" s="241" t="s">
        <v>254</v>
      </c>
      <c r="H223" s="242"/>
      <c r="I223" s="242"/>
      <c r="J223" s="242"/>
      <c r="K223" s="242">
        <v>9000</v>
      </c>
      <c r="L223" s="241"/>
      <c r="M223" s="242"/>
      <c r="N223" s="243"/>
      <c r="O223" s="244" t="s">
        <v>229</v>
      </c>
      <c r="P223" s="241"/>
      <c r="Q223" s="241" t="s">
        <v>400</v>
      </c>
      <c r="R223" s="241"/>
      <c r="S223" s="241"/>
      <c r="T223" s="241"/>
      <c r="U223" s="241">
        <v>1217</v>
      </c>
    </row>
    <row r="224" spans="1:21" x14ac:dyDescent="0.25">
      <c r="A224">
        <f t="shared" si="1"/>
        <v>1218</v>
      </c>
      <c r="B224" s="155">
        <f>IF(O224="PESO",VALUE(K224),K224*EERR!$D$2)</f>
        <v>317123.09999999998</v>
      </c>
      <c r="C224" s="241" t="s">
        <v>401</v>
      </c>
      <c r="D224" s="241"/>
      <c r="E224" s="241" t="s">
        <v>242</v>
      </c>
      <c r="F224" s="241"/>
      <c r="G224" s="241" t="s">
        <v>246</v>
      </c>
      <c r="H224" s="242"/>
      <c r="I224" s="242"/>
      <c r="J224" s="242"/>
      <c r="K224" s="242">
        <v>396.9</v>
      </c>
      <c r="L224" s="241"/>
      <c r="M224" s="242"/>
      <c r="N224" s="243"/>
      <c r="O224" s="244" t="s">
        <v>243</v>
      </c>
      <c r="P224" s="241"/>
      <c r="Q224" s="241" t="s">
        <v>353</v>
      </c>
      <c r="R224" s="241"/>
      <c r="S224" s="241"/>
      <c r="T224" s="241"/>
      <c r="U224" s="241">
        <v>1218</v>
      </c>
    </row>
    <row r="225" spans="1:21" x14ac:dyDescent="0.25">
      <c r="A225">
        <f t="shared" si="1"/>
        <v>1219</v>
      </c>
      <c r="B225" s="155">
        <f>IF(O225="PESO",VALUE(K225),K225*EERR!$D$2)</f>
        <v>150635.47</v>
      </c>
      <c r="C225" s="241" t="s">
        <v>402</v>
      </c>
      <c r="D225" s="241"/>
      <c r="E225" s="241" t="s">
        <v>242</v>
      </c>
      <c r="F225" s="241"/>
      <c r="G225" s="241" t="s">
        <v>246</v>
      </c>
      <c r="H225" s="242"/>
      <c r="I225" s="242"/>
      <c r="J225" s="242"/>
      <c r="K225" s="242">
        <v>188.53</v>
      </c>
      <c r="L225" s="241"/>
      <c r="M225" s="242"/>
      <c r="N225" s="243"/>
      <c r="O225" s="244" t="s">
        <v>243</v>
      </c>
      <c r="P225" s="241"/>
      <c r="Q225" s="241" t="s">
        <v>403</v>
      </c>
      <c r="R225" s="241"/>
      <c r="S225" s="241"/>
      <c r="T225" s="241"/>
      <c r="U225" s="241">
        <v>1219</v>
      </c>
    </row>
    <row r="226" spans="1:21" x14ac:dyDescent="0.25">
      <c r="A226">
        <f t="shared" si="1"/>
        <v>1220</v>
      </c>
      <c r="B226" s="155">
        <f>IF(O226="PESO",VALUE(K226),K226*EERR!$D$2)</f>
        <v>391664</v>
      </c>
      <c r="C226" s="241" t="s">
        <v>404</v>
      </c>
      <c r="D226" s="241"/>
      <c r="E226" s="241" t="s">
        <v>205</v>
      </c>
      <c r="F226" s="241"/>
      <c r="G226" s="241" t="s">
        <v>254</v>
      </c>
      <c r="H226" s="242"/>
      <c r="I226" s="242"/>
      <c r="J226" s="242"/>
      <c r="K226" s="242">
        <v>391664</v>
      </c>
      <c r="L226" s="241"/>
      <c r="M226" s="242"/>
      <c r="N226" s="243"/>
      <c r="O226" s="244" t="s">
        <v>229</v>
      </c>
      <c r="P226" s="241"/>
      <c r="Q226" s="241" t="s">
        <v>395</v>
      </c>
      <c r="R226" s="241"/>
      <c r="S226" s="241"/>
      <c r="T226" s="241"/>
      <c r="U226" s="241">
        <v>1220</v>
      </c>
    </row>
    <row r="227" spans="1:21" x14ac:dyDescent="0.25">
      <c r="A227">
        <f t="shared" si="1"/>
        <v>1221</v>
      </c>
      <c r="B227" s="155">
        <f>IF(O227="PESO",VALUE(K227),K227*EERR!$D$2)</f>
        <v>182970</v>
      </c>
      <c r="C227" s="241" t="s">
        <v>406</v>
      </c>
      <c r="D227" s="241"/>
      <c r="E227" s="241" t="s">
        <v>205</v>
      </c>
      <c r="F227" s="241"/>
      <c r="G227" s="241" t="s">
        <v>254</v>
      </c>
      <c r="H227" s="242"/>
      <c r="I227" s="242"/>
      <c r="J227" s="242"/>
      <c r="K227" s="242">
        <v>182970</v>
      </c>
      <c r="L227" s="241"/>
      <c r="M227" s="242"/>
      <c r="N227" s="243"/>
      <c r="O227" s="244" t="s">
        <v>229</v>
      </c>
      <c r="P227" s="241"/>
      <c r="Q227" s="241" t="s">
        <v>407</v>
      </c>
      <c r="R227" s="241"/>
      <c r="S227" s="241"/>
      <c r="T227" s="241"/>
      <c r="U227" s="241">
        <v>1221</v>
      </c>
    </row>
    <row r="228" spans="1:21" x14ac:dyDescent="0.25">
      <c r="A228">
        <f t="shared" si="1"/>
        <v>1222</v>
      </c>
      <c r="B228" s="155">
        <f>IF(O228="PESO",VALUE(K228),K228*EERR!$D$2)</f>
        <v>1224451.52</v>
      </c>
      <c r="C228" s="241" t="s">
        <v>408</v>
      </c>
      <c r="D228" s="241"/>
      <c r="E228" s="241" t="s">
        <v>242</v>
      </c>
      <c r="F228" s="241"/>
      <c r="G228" s="241" t="s">
        <v>246</v>
      </c>
      <c r="H228" s="242"/>
      <c r="I228" s="242"/>
      <c r="J228" s="242"/>
      <c r="K228" s="242">
        <v>1532.48</v>
      </c>
      <c r="L228" s="241"/>
      <c r="M228" s="242"/>
      <c r="N228" s="243"/>
      <c r="O228" s="244" t="s">
        <v>243</v>
      </c>
      <c r="P228" s="241"/>
      <c r="Q228" s="241" t="s">
        <v>363</v>
      </c>
      <c r="R228" s="241"/>
      <c r="S228" s="241"/>
      <c r="T228" s="241"/>
      <c r="U228" s="241">
        <v>1222</v>
      </c>
    </row>
    <row r="229" spans="1:21" x14ac:dyDescent="0.25">
      <c r="A229">
        <f t="shared" si="1"/>
        <v>1223</v>
      </c>
      <c r="B229" s="155">
        <f>IF(O229="PESO",VALUE(K229),K229*EERR!$D$2)</f>
        <v>788844.71</v>
      </c>
      <c r="C229" s="241" t="s">
        <v>409</v>
      </c>
      <c r="D229" s="241"/>
      <c r="E229" s="241" t="s">
        <v>242</v>
      </c>
      <c r="F229" s="241"/>
      <c r="G229" s="241" t="s">
        <v>246</v>
      </c>
      <c r="H229" s="242"/>
      <c r="I229" s="242"/>
      <c r="J229" s="242"/>
      <c r="K229" s="242">
        <v>987.29</v>
      </c>
      <c r="L229" s="241"/>
      <c r="M229" s="242"/>
      <c r="N229" s="243"/>
      <c r="O229" s="244" t="s">
        <v>243</v>
      </c>
      <c r="P229" s="241"/>
      <c r="Q229" s="241" t="s">
        <v>403</v>
      </c>
      <c r="R229" s="241"/>
      <c r="S229" s="241"/>
      <c r="T229" s="241"/>
      <c r="U229" s="241">
        <v>1223</v>
      </c>
    </row>
    <row r="230" spans="1:21" x14ac:dyDescent="0.25">
      <c r="A230">
        <f t="shared" si="1"/>
        <v>1224</v>
      </c>
      <c r="B230" s="155">
        <f>IF(O230="PESO",VALUE(K230),K230*EERR!$D$2)</f>
        <v>345567.5</v>
      </c>
      <c r="C230" s="241" t="s">
        <v>410</v>
      </c>
      <c r="D230" s="241"/>
      <c r="E230" s="241" t="s">
        <v>242</v>
      </c>
      <c r="F230" s="241"/>
      <c r="G230" s="241" t="s">
        <v>246</v>
      </c>
      <c r="H230" s="242"/>
      <c r="I230" s="242"/>
      <c r="J230" s="242"/>
      <c r="K230" s="242">
        <v>432.5</v>
      </c>
      <c r="L230" s="241"/>
      <c r="M230" s="242"/>
      <c r="N230" s="243"/>
      <c r="O230" s="244" t="s">
        <v>243</v>
      </c>
      <c r="P230" s="241"/>
      <c r="Q230" s="241" t="s">
        <v>411</v>
      </c>
      <c r="R230" s="241"/>
      <c r="S230" s="241"/>
      <c r="T230" s="241"/>
      <c r="U230" s="241">
        <v>1224</v>
      </c>
    </row>
    <row r="231" spans="1:21" x14ac:dyDescent="0.25">
      <c r="A231">
        <f t="shared" si="1"/>
        <v>1225</v>
      </c>
      <c r="B231" s="155">
        <f>IF(O231="PESO",VALUE(K231),K231*EERR!$D$2)</f>
        <v>487573.77</v>
      </c>
      <c r="C231" s="241" t="s">
        <v>412</v>
      </c>
      <c r="D231" s="241"/>
      <c r="E231" s="241" t="s">
        <v>242</v>
      </c>
      <c r="F231" s="241"/>
      <c r="G231" s="241" t="s">
        <v>246</v>
      </c>
      <c r="H231" s="242"/>
      <c r="I231" s="242"/>
      <c r="J231" s="242"/>
      <c r="K231" s="242">
        <v>610.23</v>
      </c>
      <c r="L231" s="241"/>
      <c r="M231" s="242"/>
      <c r="N231" s="243"/>
      <c r="O231" s="244" t="s">
        <v>243</v>
      </c>
      <c r="P231" s="241"/>
      <c r="Q231" s="241" t="s">
        <v>413</v>
      </c>
      <c r="R231" s="241"/>
      <c r="S231" s="241"/>
      <c r="T231" s="241"/>
      <c r="U231" s="241">
        <v>1225</v>
      </c>
    </row>
    <row r="232" spans="1:21" x14ac:dyDescent="0.25">
      <c r="A232">
        <f t="shared" si="1"/>
        <v>1226</v>
      </c>
      <c r="B232" s="155">
        <f>IF(O232="PESO",VALUE(K232),K232*EERR!$D$2)</f>
        <v>144219.5</v>
      </c>
      <c r="C232" s="241" t="s">
        <v>414</v>
      </c>
      <c r="D232" s="241"/>
      <c r="E232" s="241" t="s">
        <v>242</v>
      </c>
      <c r="F232" s="241"/>
      <c r="G232" s="241" t="s">
        <v>246</v>
      </c>
      <c r="H232" s="242"/>
      <c r="I232" s="242"/>
      <c r="J232" s="242"/>
      <c r="K232" s="242">
        <v>180.5</v>
      </c>
      <c r="L232" s="241"/>
      <c r="M232" s="242"/>
      <c r="N232" s="243"/>
      <c r="O232" s="244" t="s">
        <v>243</v>
      </c>
      <c r="P232" s="241"/>
      <c r="Q232" s="241" t="s">
        <v>415</v>
      </c>
      <c r="R232" s="241"/>
      <c r="S232" s="241"/>
      <c r="T232" s="241"/>
      <c r="U232" s="241">
        <v>1226</v>
      </c>
    </row>
    <row r="233" spans="1:21" x14ac:dyDescent="0.25">
      <c r="A233">
        <f t="shared" si="1"/>
        <v>1227</v>
      </c>
      <c r="B233" s="155">
        <f>IF(O233="PESO",VALUE(K233),K233*EERR!$D$2)</f>
        <v>360548.75</v>
      </c>
      <c r="C233" s="241" t="s">
        <v>416</v>
      </c>
      <c r="D233" s="241"/>
      <c r="E233" s="241" t="s">
        <v>242</v>
      </c>
      <c r="F233" s="241"/>
      <c r="G233" s="241" t="s">
        <v>246</v>
      </c>
      <c r="H233" s="242"/>
      <c r="I233" s="242"/>
      <c r="J233" s="242"/>
      <c r="K233" s="242">
        <v>451.25</v>
      </c>
      <c r="L233" s="241"/>
      <c r="M233" s="242"/>
      <c r="N233" s="243"/>
      <c r="O233" s="244" t="s">
        <v>243</v>
      </c>
      <c r="P233" s="241"/>
      <c r="Q233" s="241" t="s">
        <v>415</v>
      </c>
      <c r="R233" s="241"/>
      <c r="S233" s="241"/>
      <c r="T233" s="241"/>
      <c r="U233" s="241">
        <v>1227</v>
      </c>
    </row>
    <row r="234" spans="1:21" x14ac:dyDescent="0.25">
      <c r="A234">
        <f t="shared" si="1"/>
        <v>1228</v>
      </c>
      <c r="B234" s="155">
        <f>IF(O234="PESO",VALUE(K234),K234*EERR!$D$2)</f>
        <v>360548.75</v>
      </c>
      <c r="C234" s="241" t="s">
        <v>417</v>
      </c>
      <c r="D234" s="241"/>
      <c r="E234" s="241" t="s">
        <v>242</v>
      </c>
      <c r="F234" s="241"/>
      <c r="G234" s="241" t="s">
        <v>246</v>
      </c>
      <c r="H234" s="242"/>
      <c r="I234" s="242"/>
      <c r="J234" s="242"/>
      <c r="K234" s="242">
        <v>451.25</v>
      </c>
      <c r="L234" s="241"/>
      <c r="M234" s="242"/>
      <c r="N234" s="243"/>
      <c r="O234" s="244" t="s">
        <v>243</v>
      </c>
      <c r="P234" s="241"/>
      <c r="Q234" s="241" t="s">
        <v>418</v>
      </c>
      <c r="R234" s="241"/>
      <c r="S234" s="241"/>
      <c r="T234" s="241"/>
      <c r="U234" s="241">
        <v>1228</v>
      </c>
    </row>
    <row r="235" spans="1:21" x14ac:dyDescent="0.25">
      <c r="A235">
        <f t="shared" si="1"/>
        <v>1229</v>
      </c>
      <c r="B235" s="155">
        <f>IF(O235="PESO",VALUE(K235),K235*EERR!$D$2)</f>
        <v>158561.54999999999</v>
      </c>
      <c r="C235" s="241" t="s">
        <v>419</v>
      </c>
      <c r="D235" s="241"/>
      <c r="E235" s="241" t="s">
        <v>242</v>
      </c>
      <c r="F235" s="241"/>
      <c r="G235" s="241" t="s">
        <v>246</v>
      </c>
      <c r="H235" s="242"/>
      <c r="I235" s="242"/>
      <c r="J235" s="242"/>
      <c r="K235" s="242">
        <v>198.45</v>
      </c>
      <c r="L235" s="241"/>
      <c r="M235" s="242"/>
      <c r="N235" s="243"/>
      <c r="O235" s="244" t="s">
        <v>243</v>
      </c>
      <c r="P235" s="241"/>
      <c r="Q235" s="241" t="s">
        <v>420</v>
      </c>
      <c r="R235" s="241"/>
      <c r="S235" s="241"/>
      <c r="T235" s="241"/>
      <c r="U235" s="241">
        <v>1229</v>
      </c>
    </row>
    <row r="236" spans="1:21" x14ac:dyDescent="0.25">
      <c r="A236">
        <f t="shared" si="1"/>
        <v>1230</v>
      </c>
      <c r="B236" s="155">
        <f>IF(O236="PESO",VALUE(K236),K236*EERR!$D$2)</f>
        <v>150635.47</v>
      </c>
      <c r="C236" s="241" t="s">
        <v>421</v>
      </c>
      <c r="D236" s="241"/>
      <c r="E236" s="241" t="s">
        <v>242</v>
      </c>
      <c r="F236" s="241"/>
      <c r="G236" s="241" t="s">
        <v>246</v>
      </c>
      <c r="H236" s="242"/>
      <c r="I236" s="242"/>
      <c r="J236" s="242"/>
      <c r="K236" s="242">
        <v>188.53</v>
      </c>
      <c r="L236" s="241"/>
      <c r="M236" s="242"/>
      <c r="N236" s="243"/>
      <c r="O236" s="244" t="s">
        <v>243</v>
      </c>
      <c r="P236" s="241"/>
      <c r="Q236" s="241" t="s">
        <v>422</v>
      </c>
      <c r="R236" s="241"/>
      <c r="S236" s="241"/>
      <c r="T236" s="241"/>
      <c r="U236" s="241">
        <v>1230</v>
      </c>
    </row>
    <row r="237" spans="1:21" x14ac:dyDescent="0.25">
      <c r="A237">
        <f t="shared" ref="A237:A243" si="3">VALUE(U237)</f>
        <v>1231</v>
      </c>
      <c r="B237" s="155">
        <f>IF(O237="PESO",VALUE(K237),K237*EERR!$D$2)</f>
        <v>515331.03</v>
      </c>
      <c r="C237" s="241" t="s">
        <v>423</v>
      </c>
      <c r="D237" s="241"/>
      <c r="E237" s="241" t="s">
        <v>242</v>
      </c>
      <c r="F237" s="241"/>
      <c r="G237" s="241" t="s">
        <v>246</v>
      </c>
      <c r="H237" s="242"/>
      <c r="I237" s="242"/>
      <c r="J237" s="242"/>
      <c r="K237" s="242">
        <v>644.97</v>
      </c>
      <c r="L237" s="241"/>
      <c r="M237" s="242"/>
      <c r="N237" s="243"/>
      <c r="O237" s="244" t="s">
        <v>243</v>
      </c>
      <c r="P237" s="241"/>
      <c r="Q237" s="241" t="s">
        <v>424</v>
      </c>
      <c r="R237" s="241"/>
      <c r="S237" s="241"/>
      <c r="T237" s="241"/>
      <c r="U237" s="241">
        <v>1231</v>
      </c>
    </row>
    <row r="238" spans="1:21" x14ac:dyDescent="0.25">
      <c r="A238">
        <f t="shared" si="3"/>
        <v>1232</v>
      </c>
      <c r="B238" s="155">
        <f>IF(O238="PESO",VALUE(K238),K238*EERR!$D$2)</f>
        <v>39950</v>
      </c>
      <c r="C238" s="241" t="s">
        <v>425</v>
      </c>
      <c r="D238" s="241"/>
      <c r="E238" s="241" t="s">
        <v>242</v>
      </c>
      <c r="F238" s="241"/>
      <c r="G238" s="241" t="s">
        <v>246</v>
      </c>
      <c r="H238" s="242"/>
      <c r="I238" s="242"/>
      <c r="J238" s="242"/>
      <c r="K238" s="242">
        <v>50</v>
      </c>
      <c r="L238" s="241"/>
      <c r="M238" s="242"/>
      <c r="N238" s="243"/>
      <c r="O238" s="244" t="s">
        <v>243</v>
      </c>
      <c r="P238" s="241"/>
      <c r="Q238" s="241" t="s">
        <v>372</v>
      </c>
      <c r="R238" s="241"/>
      <c r="S238" s="241"/>
      <c r="T238" s="241"/>
      <c r="U238" s="241">
        <v>1232</v>
      </c>
    </row>
    <row r="239" spans="1:21" x14ac:dyDescent="0.25">
      <c r="A239">
        <f t="shared" si="3"/>
        <v>1232</v>
      </c>
      <c r="B239" s="155">
        <f>IF(O239="PESO",VALUE(K239),K239*EERR!$D$2)</f>
        <v>-39950</v>
      </c>
      <c r="C239" s="241" t="s">
        <v>425</v>
      </c>
      <c r="D239" s="241"/>
      <c r="E239" s="241" t="s">
        <v>242</v>
      </c>
      <c r="F239" s="241"/>
      <c r="G239" s="241" t="s">
        <v>246</v>
      </c>
      <c r="H239" s="242"/>
      <c r="I239" s="242"/>
      <c r="J239" s="242"/>
      <c r="K239" s="242">
        <v>-50</v>
      </c>
      <c r="L239" s="241"/>
      <c r="M239" s="242"/>
      <c r="N239" s="243"/>
      <c r="O239" s="244" t="s">
        <v>243</v>
      </c>
      <c r="P239" s="241"/>
      <c r="Q239" s="241" t="s">
        <v>372</v>
      </c>
      <c r="R239" s="241"/>
      <c r="S239" s="241"/>
      <c r="T239" s="241"/>
      <c r="U239" s="241">
        <v>1232</v>
      </c>
    </row>
    <row r="240" spans="1:21" x14ac:dyDescent="0.25">
      <c r="A240">
        <f t="shared" si="3"/>
        <v>1233</v>
      </c>
      <c r="B240" s="155">
        <f>IF(O240="PESO",VALUE(K240),K240*EERR!$D$2)</f>
        <v>39950</v>
      </c>
      <c r="C240" s="241" t="s">
        <v>426</v>
      </c>
      <c r="D240" s="241"/>
      <c r="E240" s="241" t="s">
        <v>242</v>
      </c>
      <c r="F240" s="241"/>
      <c r="G240" s="241" t="s">
        <v>246</v>
      </c>
      <c r="H240" s="242"/>
      <c r="I240" s="242"/>
      <c r="J240" s="242"/>
      <c r="K240" s="242">
        <v>50</v>
      </c>
      <c r="L240" s="241"/>
      <c r="M240" s="242"/>
      <c r="N240" s="243"/>
      <c r="O240" s="244" t="s">
        <v>243</v>
      </c>
      <c r="P240" s="241"/>
      <c r="Q240" s="241" t="s">
        <v>347</v>
      </c>
      <c r="R240" s="241"/>
      <c r="S240" s="241"/>
      <c r="T240" s="241"/>
      <c r="U240" s="241">
        <v>1233</v>
      </c>
    </row>
    <row r="241" spans="1:21" x14ac:dyDescent="0.25">
      <c r="A241">
        <f t="shared" si="3"/>
        <v>1234</v>
      </c>
      <c r="B241" s="155">
        <f>IF(O241="PESO",VALUE(K241),K241*EERR!$D$2)</f>
        <v>158561.54999999999</v>
      </c>
      <c r="C241" s="241" t="s">
        <v>427</v>
      </c>
      <c r="D241" s="241"/>
      <c r="E241" s="241" t="s">
        <v>242</v>
      </c>
      <c r="F241" s="241"/>
      <c r="G241" s="241" t="s">
        <v>246</v>
      </c>
      <c r="H241" s="242"/>
      <c r="I241" s="242"/>
      <c r="J241" s="242"/>
      <c r="K241" s="242">
        <v>198.45</v>
      </c>
      <c r="L241" s="241"/>
      <c r="M241" s="242"/>
      <c r="N241" s="243"/>
      <c r="O241" s="244" t="s">
        <v>243</v>
      </c>
      <c r="P241" s="241"/>
      <c r="Q241" s="241" t="s">
        <v>420</v>
      </c>
      <c r="R241" s="241"/>
      <c r="S241" s="241"/>
      <c r="T241" s="241"/>
      <c r="U241" s="241">
        <v>1234</v>
      </c>
    </row>
    <row r="242" spans="1:21" x14ac:dyDescent="0.25">
      <c r="A242">
        <f t="shared" si="3"/>
        <v>1235</v>
      </c>
      <c r="B242" s="155">
        <f>IF(O242="PESO",VALUE(K242),K242*EERR!$D$2)</f>
        <v>150635.47</v>
      </c>
      <c r="C242" s="241" t="s">
        <v>428</v>
      </c>
      <c r="D242" s="241"/>
      <c r="E242" s="241" t="s">
        <v>242</v>
      </c>
      <c r="F242" s="241"/>
      <c r="G242" s="241" t="s">
        <v>246</v>
      </c>
      <c r="H242" s="242"/>
      <c r="I242" s="242"/>
      <c r="J242" s="242"/>
      <c r="K242" s="242">
        <v>188.53</v>
      </c>
      <c r="L242" s="241"/>
      <c r="M242" s="242"/>
      <c r="N242" s="243"/>
      <c r="O242" s="244" t="s">
        <v>243</v>
      </c>
      <c r="P242" s="241"/>
      <c r="Q242" s="241" t="s">
        <v>422</v>
      </c>
      <c r="R242" s="241"/>
      <c r="S242" s="241"/>
      <c r="T242" s="241"/>
      <c r="U242" s="241">
        <v>1235</v>
      </c>
    </row>
    <row r="243" spans="1:21" x14ac:dyDescent="0.25">
      <c r="A243">
        <f t="shared" si="3"/>
        <v>1236</v>
      </c>
      <c r="B243" s="155">
        <f>IF(O243="PESO",VALUE(K243),K243*EERR!$D$2)</f>
        <v>181771</v>
      </c>
      <c r="C243" s="241" t="s">
        <v>429</v>
      </c>
      <c r="D243" s="241"/>
      <c r="E243" s="241" t="s">
        <v>205</v>
      </c>
      <c r="F243" s="241"/>
      <c r="G243" s="241" t="s">
        <v>254</v>
      </c>
      <c r="H243" s="242"/>
      <c r="I243" s="242"/>
      <c r="J243" s="242"/>
      <c r="K243" s="242">
        <v>181771</v>
      </c>
      <c r="L243" s="241"/>
      <c r="M243" s="242"/>
      <c r="N243" s="243"/>
      <c r="O243" s="244" t="s">
        <v>229</v>
      </c>
      <c r="P243" s="241"/>
      <c r="Q243" s="241" t="s">
        <v>430</v>
      </c>
      <c r="R243" s="241"/>
      <c r="S243" s="241"/>
      <c r="T243" s="241"/>
      <c r="U243" s="241">
        <v>1236</v>
      </c>
    </row>
    <row r="244" spans="1:21" x14ac:dyDescent="0.25">
      <c r="A244">
        <v>100000</v>
      </c>
      <c r="B244" s="155">
        <f>IF(O244="PESO",VALUE(K244),K244*EERR!$D$2)</f>
        <v>0</v>
      </c>
      <c r="C244" s="241"/>
      <c r="D244" s="241"/>
      <c r="E244" s="241"/>
      <c r="F244" s="241"/>
      <c r="G244" s="241"/>
      <c r="H244" s="242"/>
      <c r="I244" s="242"/>
      <c r="J244" s="242"/>
      <c r="K244" s="242"/>
      <c r="L244" s="241"/>
      <c r="M244" s="242"/>
      <c r="N244" s="243"/>
      <c r="O244" s="241" t="s">
        <v>229</v>
      </c>
      <c r="P244" s="241"/>
      <c r="Q244" s="241"/>
      <c r="R244" s="241"/>
      <c r="S244" s="241"/>
      <c r="T244" s="241"/>
      <c r="U244" s="241"/>
    </row>
    <row r="245" spans="1:21" x14ac:dyDescent="0.25">
      <c r="A245">
        <v>100000</v>
      </c>
      <c r="B245" s="155">
        <f>IF(O245="PESO",VALUE(K245),K245*EERR!$D$2)</f>
        <v>0</v>
      </c>
      <c r="C245" s="241"/>
      <c r="D245" s="241"/>
      <c r="E245" s="241"/>
      <c r="F245" s="241"/>
      <c r="G245" s="241"/>
      <c r="H245" s="242"/>
      <c r="I245" s="242"/>
      <c r="J245" s="242"/>
      <c r="K245" s="242"/>
      <c r="L245" s="241"/>
      <c r="M245" s="242"/>
      <c r="N245" s="243"/>
      <c r="O245" s="241" t="s">
        <v>229</v>
      </c>
      <c r="P245" s="241"/>
      <c r="Q245" s="241"/>
      <c r="R245" s="241"/>
      <c r="S245" s="241"/>
      <c r="T245" s="241"/>
      <c r="U245" s="241"/>
    </row>
    <row r="246" spans="1:21" x14ac:dyDescent="0.25">
      <c r="A246">
        <v>100000</v>
      </c>
      <c r="B246" s="155">
        <f>IF(O246="PESO",VALUE(K246),K246*EERR!$D$2)</f>
        <v>0</v>
      </c>
      <c r="C246" s="241"/>
      <c r="D246" s="241"/>
      <c r="E246" s="241"/>
      <c r="F246" s="241"/>
      <c r="G246" s="241"/>
      <c r="H246" s="242"/>
      <c r="I246" s="242"/>
      <c r="J246" s="242"/>
      <c r="K246" s="242"/>
      <c r="L246" s="241"/>
      <c r="M246" s="242"/>
      <c r="N246" s="243"/>
      <c r="O246" s="241" t="s">
        <v>229</v>
      </c>
      <c r="P246" s="241"/>
      <c r="Q246" s="241"/>
      <c r="R246" s="241"/>
      <c r="S246" s="241"/>
      <c r="T246" s="241"/>
      <c r="U246" s="241"/>
    </row>
    <row r="247" spans="1:21" x14ac:dyDescent="0.25">
      <c r="A247">
        <v>100000</v>
      </c>
      <c r="B247" s="155">
        <f>IF(O247="PESO",VALUE(K247),K247*EERR!$D$2)</f>
        <v>0</v>
      </c>
      <c r="C247" s="241"/>
      <c r="D247" s="241"/>
      <c r="E247" s="241"/>
      <c r="F247" s="241"/>
      <c r="G247" s="241"/>
      <c r="H247" s="242"/>
      <c r="I247" s="242"/>
      <c r="J247" s="242"/>
      <c r="K247" s="242"/>
      <c r="L247" s="241"/>
      <c r="M247" s="242"/>
      <c r="N247" s="243"/>
      <c r="O247" s="241" t="s">
        <v>229</v>
      </c>
      <c r="P247" s="241"/>
      <c r="Q247" s="241"/>
      <c r="R247" s="241"/>
      <c r="S247" s="241"/>
      <c r="T247" s="241"/>
      <c r="U247" s="241"/>
    </row>
    <row r="248" spans="1:21" x14ac:dyDescent="0.25">
      <c r="A248">
        <v>100000</v>
      </c>
      <c r="B248" s="155">
        <f>IF(O248="PESO",VALUE(K248),K248*EERR!$D$2)</f>
        <v>0</v>
      </c>
      <c r="C248" s="241"/>
      <c r="D248" s="241"/>
      <c r="E248" s="241"/>
      <c r="F248" s="241"/>
      <c r="G248" s="241"/>
      <c r="H248" s="242"/>
      <c r="I248" s="242"/>
      <c r="J248" s="242"/>
      <c r="K248" s="242"/>
      <c r="L248" s="241"/>
      <c r="M248" s="242"/>
      <c r="N248" s="243"/>
      <c r="O248" s="241" t="s">
        <v>229</v>
      </c>
      <c r="P248" s="241"/>
      <c r="Q248" s="241"/>
      <c r="R248" s="241"/>
      <c r="S248" s="241"/>
      <c r="T248" s="241"/>
      <c r="U248" s="241"/>
    </row>
    <row r="249" spans="1:21" x14ac:dyDescent="0.25">
      <c r="A249">
        <v>100000</v>
      </c>
      <c r="B249" s="155">
        <f>IF(O249="PESO",VALUE(K249),K249*EERR!$D$2)</f>
        <v>0</v>
      </c>
      <c r="C249" s="241"/>
      <c r="D249" s="241"/>
      <c r="E249" s="241"/>
      <c r="F249" s="241"/>
      <c r="G249" s="241"/>
      <c r="H249" s="242"/>
      <c r="I249" s="242"/>
      <c r="J249" s="242"/>
      <c r="K249" s="242"/>
      <c r="L249" s="241"/>
      <c r="M249" s="242"/>
      <c r="N249" s="243"/>
      <c r="O249" s="241" t="s">
        <v>229</v>
      </c>
      <c r="P249" s="241"/>
      <c r="Q249" s="241"/>
      <c r="R249" s="241"/>
      <c r="S249" s="241"/>
      <c r="T249" s="241"/>
      <c r="U249" s="241"/>
    </row>
    <row r="250" spans="1:21" x14ac:dyDescent="0.25">
      <c r="A250">
        <v>100000</v>
      </c>
      <c r="B250" s="155">
        <f>IF(O250="PESO",VALUE(K250),K250*EERR!$D$2)</f>
        <v>0</v>
      </c>
      <c r="C250" s="241"/>
      <c r="D250" s="241"/>
      <c r="E250" s="241"/>
      <c r="F250" s="241"/>
      <c r="G250" s="241"/>
      <c r="H250" s="242"/>
      <c r="I250" s="242"/>
      <c r="J250" s="242"/>
      <c r="K250" s="242"/>
      <c r="L250" s="241"/>
      <c r="M250" s="242"/>
      <c r="N250" s="243"/>
      <c r="O250" s="241" t="s">
        <v>229</v>
      </c>
      <c r="P250" s="241"/>
      <c r="Q250" s="241"/>
      <c r="R250" s="241"/>
      <c r="S250" s="241"/>
      <c r="T250" s="241"/>
      <c r="U250" s="241"/>
    </row>
    <row r="251" spans="1:21" x14ac:dyDescent="0.25">
      <c r="A251">
        <v>100000</v>
      </c>
      <c r="B251" s="155">
        <f>IF(O251="PESO",VALUE(K251),K251*EERR!$D$2)</f>
        <v>0</v>
      </c>
      <c r="C251" s="241"/>
      <c r="D251" s="241"/>
      <c r="E251" s="241"/>
      <c r="F251" s="241"/>
      <c r="G251" s="241"/>
      <c r="H251" s="242"/>
      <c r="I251" s="242"/>
      <c r="J251" s="242"/>
      <c r="K251" s="242"/>
      <c r="L251" s="241"/>
      <c r="M251" s="242"/>
      <c r="N251" s="243"/>
      <c r="O251" s="241" t="s">
        <v>229</v>
      </c>
      <c r="P251" s="241"/>
      <c r="Q251" s="241"/>
      <c r="R251" s="241"/>
      <c r="S251" s="241"/>
      <c r="T251" s="241"/>
      <c r="U251" s="241"/>
    </row>
    <row r="252" spans="1:21" x14ac:dyDescent="0.25">
      <c r="A252">
        <v>100000</v>
      </c>
      <c r="B252" s="155">
        <f>IF(O252="PESO",VALUE(K252),K252*EERR!$D$2)</f>
        <v>0</v>
      </c>
      <c r="C252" s="241"/>
      <c r="D252" s="241"/>
      <c r="E252" s="241"/>
      <c r="F252" s="241"/>
      <c r="G252" s="241"/>
      <c r="H252" s="242"/>
      <c r="I252" s="242"/>
      <c r="J252" s="242"/>
      <c r="K252" s="242"/>
      <c r="L252" s="241"/>
      <c r="M252" s="242"/>
      <c r="N252" s="243"/>
      <c r="O252" s="241" t="s">
        <v>229</v>
      </c>
      <c r="P252" s="241"/>
      <c r="Q252" s="241"/>
      <c r="R252" s="241"/>
      <c r="S252" s="241"/>
      <c r="T252" s="241"/>
      <c r="U252" s="241"/>
    </row>
    <row r="253" spans="1:21" x14ac:dyDescent="0.25">
      <c r="A253">
        <v>100000</v>
      </c>
      <c r="B253" s="155">
        <f>IF(O253="PESO",VALUE(K253),K253*EERR!$D$2)</f>
        <v>0</v>
      </c>
      <c r="C253" s="241"/>
      <c r="D253" s="241"/>
      <c r="E253" s="241"/>
      <c r="F253" s="241"/>
      <c r="G253" s="241"/>
      <c r="H253" s="242"/>
      <c r="I253" s="242"/>
      <c r="J253" s="242"/>
      <c r="K253" s="242"/>
      <c r="L253" s="241"/>
      <c r="M253" s="242"/>
      <c r="N253" s="243"/>
      <c r="O253" s="241" t="s">
        <v>229</v>
      </c>
      <c r="P253" s="241"/>
      <c r="Q253" s="241"/>
      <c r="R253" s="241"/>
      <c r="S253" s="241"/>
      <c r="T253" s="241"/>
      <c r="U253" s="241"/>
    </row>
    <row r="254" spans="1:21" x14ac:dyDescent="0.25">
      <c r="A254">
        <v>100000</v>
      </c>
      <c r="B254" s="155">
        <f>IF(O254="PESO",VALUE(K254),K254*EERR!$D$2)</f>
        <v>0</v>
      </c>
      <c r="C254" s="241"/>
      <c r="D254" s="241"/>
      <c r="E254" s="241"/>
      <c r="F254" s="241"/>
      <c r="G254" s="241"/>
      <c r="H254" s="242"/>
      <c r="I254" s="242"/>
      <c r="J254" s="242"/>
      <c r="K254" s="242"/>
      <c r="L254" s="241"/>
      <c r="M254" s="242"/>
      <c r="N254" s="243"/>
      <c r="O254" s="241" t="s">
        <v>229</v>
      </c>
      <c r="P254" s="241"/>
      <c r="Q254" s="241"/>
      <c r="R254" s="241"/>
      <c r="S254" s="241"/>
      <c r="T254" s="241"/>
      <c r="U254" s="241"/>
    </row>
    <row r="255" spans="1:21" x14ac:dyDescent="0.25">
      <c r="A255">
        <v>100000</v>
      </c>
      <c r="B255" s="155">
        <f>IF(O255="PESO",VALUE(K255),K255*EERR!$D$2)</f>
        <v>0</v>
      </c>
      <c r="C255" s="241"/>
      <c r="D255" s="241"/>
      <c r="E255" s="241"/>
      <c r="F255" s="241"/>
      <c r="G255" s="241"/>
      <c r="H255" s="242"/>
      <c r="I255" s="242"/>
      <c r="J255" s="242"/>
      <c r="K255" s="242"/>
      <c r="L255" s="241"/>
      <c r="M255" s="242"/>
      <c r="N255" s="243"/>
      <c r="O255" s="241" t="s">
        <v>229</v>
      </c>
      <c r="P255" s="241"/>
      <c r="Q255" s="241"/>
      <c r="R255" s="241"/>
      <c r="S255" s="241"/>
      <c r="T255" s="241"/>
      <c r="U255" s="241"/>
    </row>
    <row r="256" spans="1:21" x14ac:dyDescent="0.25">
      <c r="A256">
        <v>100000</v>
      </c>
      <c r="B256" s="155">
        <f>IF(O256="PESO",VALUE(K256),K256*EERR!$D$2)</f>
        <v>0</v>
      </c>
      <c r="C256" s="241"/>
      <c r="D256" s="241"/>
      <c r="E256" s="241"/>
      <c r="F256" s="241"/>
      <c r="G256" s="241"/>
      <c r="H256" s="242"/>
      <c r="I256" s="242"/>
      <c r="J256" s="242"/>
      <c r="K256" s="242"/>
      <c r="L256" s="241"/>
      <c r="M256" s="242"/>
      <c r="N256" s="243"/>
      <c r="O256" s="241" t="s">
        <v>229</v>
      </c>
      <c r="P256" s="241"/>
      <c r="Q256" s="241"/>
      <c r="R256" s="241"/>
      <c r="S256" s="241"/>
      <c r="T256" s="241"/>
      <c r="U256" s="241"/>
    </row>
    <row r="257" spans="1:21" x14ac:dyDescent="0.25">
      <c r="A257">
        <v>100000</v>
      </c>
      <c r="B257" s="155">
        <f>IF(O257="PESO",VALUE(K257),K257*EERR!$D$2)</f>
        <v>0</v>
      </c>
      <c r="C257" s="241"/>
      <c r="D257" s="241"/>
      <c r="E257" s="241"/>
      <c r="F257" s="241"/>
      <c r="G257" s="241"/>
      <c r="H257" s="242"/>
      <c r="I257" s="242"/>
      <c r="J257" s="242"/>
      <c r="K257" s="242"/>
      <c r="L257" s="241"/>
      <c r="M257" s="242"/>
      <c r="N257" s="243"/>
      <c r="O257" s="241" t="s">
        <v>229</v>
      </c>
      <c r="P257" s="241"/>
      <c r="Q257" s="241"/>
      <c r="R257" s="241"/>
      <c r="S257" s="241"/>
      <c r="T257" s="241"/>
      <c r="U257" s="241"/>
    </row>
    <row r="258" spans="1:21" x14ac:dyDescent="0.25">
      <c r="A258">
        <v>100000</v>
      </c>
      <c r="B258" s="155">
        <f>IF(O258="PESO",VALUE(K258),K258*EERR!$D$2)</f>
        <v>0</v>
      </c>
      <c r="C258" s="241"/>
      <c r="D258" s="241"/>
      <c r="E258" s="241"/>
      <c r="F258" s="241"/>
      <c r="G258" s="241"/>
      <c r="H258" s="242"/>
      <c r="I258" s="242"/>
      <c r="J258" s="242"/>
      <c r="K258" s="242"/>
      <c r="L258" s="241"/>
      <c r="M258" s="242"/>
      <c r="N258" s="243"/>
      <c r="O258" s="241" t="s">
        <v>229</v>
      </c>
      <c r="P258" s="241"/>
      <c r="Q258" s="241"/>
      <c r="R258" s="241"/>
      <c r="S258" s="241"/>
      <c r="T258" s="241"/>
      <c r="U258" s="241"/>
    </row>
    <row r="259" spans="1:21" x14ac:dyDescent="0.25">
      <c r="A259">
        <v>100000</v>
      </c>
      <c r="B259" s="155">
        <f>IF(O259="PESO",VALUE(K259),K259*EERR!$D$2)</f>
        <v>0</v>
      </c>
      <c r="C259" s="241"/>
      <c r="D259" s="241"/>
      <c r="E259" s="241"/>
      <c r="F259" s="241"/>
      <c r="G259" s="241"/>
      <c r="H259" s="242"/>
      <c r="I259" s="242"/>
      <c r="J259" s="242"/>
      <c r="K259" s="242"/>
      <c r="L259" s="241"/>
      <c r="M259" s="242"/>
      <c r="N259" s="243"/>
      <c r="O259" s="241" t="s">
        <v>229</v>
      </c>
      <c r="P259" s="241"/>
      <c r="Q259" s="241"/>
      <c r="R259" s="241"/>
      <c r="S259" s="241"/>
      <c r="T259" s="241"/>
      <c r="U259" s="241"/>
    </row>
    <row r="260" spans="1:21" x14ac:dyDescent="0.25">
      <c r="A260">
        <v>100000</v>
      </c>
      <c r="B260" s="155">
        <f>IF(O260="PESO",VALUE(K260),K260*EERR!$D$2)</f>
        <v>0</v>
      </c>
      <c r="C260" s="241"/>
      <c r="D260" s="241"/>
      <c r="E260" s="241"/>
      <c r="F260" s="241"/>
      <c r="G260" s="241"/>
      <c r="H260" s="242"/>
      <c r="I260" s="242"/>
      <c r="J260" s="242"/>
      <c r="K260" s="242"/>
      <c r="L260" s="241"/>
      <c r="M260" s="242"/>
      <c r="N260" s="243"/>
      <c r="O260" s="241" t="s">
        <v>229</v>
      </c>
      <c r="P260" s="241"/>
      <c r="Q260" s="241"/>
      <c r="R260" s="241"/>
      <c r="S260" s="241"/>
      <c r="T260" s="241"/>
      <c r="U260" s="241"/>
    </row>
    <row r="261" spans="1:21" x14ac:dyDescent="0.25">
      <c r="A261">
        <v>100000</v>
      </c>
      <c r="B261" s="155">
        <f>IF(O261="PESO",VALUE(K261),K261*EERR!$D$2)</f>
        <v>0</v>
      </c>
      <c r="C261" s="241"/>
      <c r="D261" s="241"/>
      <c r="E261" s="241"/>
      <c r="F261" s="241"/>
      <c r="G261" s="241"/>
      <c r="H261" s="242"/>
      <c r="I261" s="242"/>
      <c r="J261" s="242"/>
      <c r="K261" s="242"/>
      <c r="L261" s="241"/>
      <c r="M261" s="242"/>
      <c r="N261" s="243"/>
      <c r="O261" s="241" t="s">
        <v>229</v>
      </c>
      <c r="P261" s="241"/>
      <c r="Q261" s="241"/>
      <c r="R261" s="241"/>
      <c r="S261" s="241"/>
      <c r="T261" s="241"/>
      <c r="U261" s="241"/>
    </row>
    <row r="262" spans="1:21" x14ac:dyDescent="0.25">
      <c r="A262">
        <v>100000</v>
      </c>
      <c r="B262" s="155">
        <f>IF(O262="PESO",VALUE(K262),K262*EERR!$D$2)</f>
        <v>0</v>
      </c>
      <c r="C262" s="241"/>
      <c r="D262" s="241"/>
      <c r="E262" s="241"/>
      <c r="F262" s="241"/>
      <c r="G262" s="241"/>
      <c r="H262" s="242"/>
      <c r="I262" s="242"/>
      <c r="J262" s="242"/>
      <c r="K262" s="242"/>
      <c r="L262" s="241"/>
      <c r="M262" s="242"/>
      <c r="N262" s="243"/>
      <c r="O262" s="241" t="s">
        <v>229</v>
      </c>
      <c r="P262" s="241"/>
      <c r="Q262" s="241"/>
      <c r="R262" s="241"/>
      <c r="S262" s="241"/>
      <c r="T262" s="241"/>
      <c r="U262" s="241"/>
    </row>
    <row r="263" spans="1:21" x14ac:dyDescent="0.25">
      <c r="A263">
        <v>100000</v>
      </c>
      <c r="B263" s="155">
        <f>IF(O263="PESO",VALUE(K263),K263*EERR!$D$2)</f>
        <v>0</v>
      </c>
      <c r="C263" s="241"/>
      <c r="D263" s="241"/>
      <c r="E263" s="241"/>
      <c r="F263" s="241"/>
      <c r="G263" s="241"/>
      <c r="H263" s="242"/>
      <c r="I263" s="242"/>
      <c r="J263" s="242"/>
      <c r="K263" s="242"/>
      <c r="L263" s="241"/>
      <c r="M263" s="242"/>
      <c r="N263" s="243"/>
      <c r="O263" s="241" t="s">
        <v>229</v>
      </c>
      <c r="P263" s="241"/>
      <c r="Q263" s="241"/>
      <c r="R263" s="241"/>
      <c r="S263" s="241"/>
      <c r="T263" s="241"/>
      <c r="U263" s="241"/>
    </row>
    <row r="264" spans="1:21" x14ac:dyDescent="0.25">
      <c r="A264">
        <v>100000</v>
      </c>
      <c r="B264" s="155">
        <f>IF(O264="PESO",VALUE(K264),K264*EERR!$D$2)</f>
        <v>0</v>
      </c>
      <c r="C264" s="241"/>
      <c r="D264" s="241"/>
      <c r="E264" s="241"/>
      <c r="F264" s="241"/>
      <c r="G264" s="241"/>
      <c r="H264" s="242"/>
      <c r="I264" s="242"/>
      <c r="J264" s="242"/>
      <c r="K264" s="242"/>
      <c r="L264" s="241"/>
      <c r="M264" s="242"/>
      <c r="N264" s="243"/>
      <c r="O264" s="241" t="s">
        <v>229</v>
      </c>
      <c r="P264" s="241"/>
      <c r="Q264" s="241"/>
      <c r="R264" s="241"/>
      <c r="S264" s="241"/>
      <c r="T264" s="241"/>
      <c r="U264" s="241"/>
    </row>
    <row r="265" spans="1:21" x14ac:dyDescent="0.25">
      <c r="A265">
        <v>100000</v>
      </c>
      <c r="B265" s="155">
        <f>IF(O265="PESO",VALUE(K265),K265*EERR!$D$2)</f>
        <v>0</v>
      </c>
      <c r="C265" s="241"/>
      <c r="D265" s="241"/>
      <c r="E265" s="241"/>
      <c r="F265" s="241"/>
      <c r="G265" s="241"/>
      <c r="H265" s="242"/>
      <c r="I265" s="242"/>
      <c r="J265" s="242"/>
      <c r="K265" s="242"/>
      <c r="L265" s="241"/>
      <c r="M265" s="242"/>
      <c r="N265" s="243"/>
      <c r="O265" s="241" t="s">
        <v>229</v>
      </c>
      <c r="P265" s="241"/>
      <c r="Q265" s="241"/>
      <c r="R265" s="241"/>
      <c r="S265" s="241"/>
      <c r="T265" s="241"/>
      <c r="U265" s="241"/>
    </row>
    <row r="266" spans="1:21" x14ac:dyDescent="0.25">
      <c r="A266">
        <v>100000</v>
      </c>
      <c r="B266" s="155">
        <f>IF(O266="PESO",VALUE(K266),K266*EERR!$D$2)</f>
        <v>0</v>
      </c>
      <c r="C266" s="241"/>
      <c r="D266" s="241"/>
      <c r="E266" s="241"/>
      <c r="F266" s="241"/>
      <c r="G266" s="241"/>
      <c r="H266" s="242"/>
      <c r="I266" s="242"/>
      <c r="J266" s="242"/>
      <c r="K266" s="242"/>
      <c r="L266" s="241"/>
      <c r="M266" s="242"/>
      <c r="N266" s="243"/>
      <c r="O266" s="241" t="s">
        <v>229</v>
      </c>
      <c r="P266" s="241"/>
      <c r="Q266" s="241"/>
      <c r="R266" s="241"/>
      <c r="S266" s="241"/>
      <c r="T266" s="241"/>
      <c r="U266" s="241"/>
    </row>
    <row r="267" spans="1:21" x14ac:dyDescent="0.25">
      <c r="A267">
        <v>100000</v>
      </c>
      <c r="B267" s="308">
        <f>IF(O267="PESO",VALUE(K267),K267*EERR!$D$2)</f>
        <v>0</v>
      </c>
      <c r="C267" s="241"/>
      <c r="D267" s="241"/>
      <c r="E267" s="241"/>
      <c r="F267" s="241"/>
      <c r="G267" s="241"/>
      <c r="H267" s="242"/>
      <c r="I267" s="242"/>
      <c r="J267" s="242"/>
      <c r="K267" s="242"/>
      <c r="L267" s="241"/>
      <c r="M267" s="242"/>
      <c r="N267" s="243"/>
      <c r="O267" s="241" t="s">
        <v>229</v>
      </c>
      <c r="P267" s="241"/>
      <c r="Q267" s="241"/>
      <c r="R267" s="241"/>
      <c r="S267" s="241"/>
      <c r="T267" s="241"/>
      <c r="U267" s="241"/>
    </row>
    <row r="268" spans="1:21" x14ac:dyDescent="0.25">
      <c r="A268">
        <v>100000</v>
      </c>
      <c r="B268" s="155">
        <f>IF(O268="PESO",VALUE(K268),K268*EERR!$D$2)</f>
        <v>0</v>
      </c>
      <c r="C268" s="241"/>
      <c r="D268" s="241"/>
      <c r="E268" s="241"/>
      <c r="F268" s="241"/>
      <c r="G268" s="241"/>
      <c r="H268" s="242"/>
      <c r="I268" s="242"/>
      <c r="J268" s="242"/>
      <c r="K268" s="242"/>
      <c r="L268" s="241"/>
      <c r="M268" s="242"/>
      <c r="N268" s="243"/>
      <c r="O268" s="241" t="s">
        <v>229</v>
      </c>
      <c r="P268" s="241"/>
      <c r="Q268" s="241"/>
      <c r="R268" s="241"/>
      <c r="S268" s="241"/>
      <c r="T268" s="241"/>
      <c r="U268" s="241"/>
    </row>
    <row r="269" spans="1:21" x14ac:dyDescent="0.25">
      <c r="A269">
        <v>100000</v>
      </c>
      <c r="B269" s="155">
        <f>IF(O269="PESO",VALUE(K269),K269*EERR!$D$2)</f>
        <v>0</v>
      </c>
      <c r="C269" s="241"/>
      <c r="D269" s="241"/>
      <c r="E269" s="241"/>
      <c r="F269" s="241"/>
      <c r="G269" s="241"/>
      <c r="H269" s="242"/>
      <c r="I269" s="242"/>
      <c r="J269" s="242"/>
      <c r="K269" s="242"/>
      <c r="L269" s="241"/>
      <c r="M269" s="242"/>
      <c r="N269" s="243"/>
      <c r="O269" s="241" t="s">
        <v>229</v>
      </c>
      <c r="P269" s="241"/>
      <c r="Q269" s="241"/>
      <c r="R269" s="241"/>
      <c r="S269" s="241"/>
      <c r="T269" s="241"/>
      <c r="U269" s="241"/>
    </row>
    <row r="270" spans="1:21" x14ac:dyDescent="0.25">
      <c r="A270">
        <v>100000</v>
      </c>
      <c r="B270" s="155">
        <f>IF(O270="PESO",VALUE(K270),K270*EERR!$D$2)</f>
        <v>0</v>
      </c>
      <c r="C270" s="241"/>
      <c r="D270" s="241"/>
      <c r="E270" s="241"/>
      <c r="F270" s="241"/>
      <c r="G270" s="241"/>
      <c r="H270" s="242"/>
      <c r="I270" s="242"/>
      <c r="J270" s="242"/>
      <c r="K270" s="242"/>
      <c r="L270" s="241"/>
      <c r="M270" s="242"/>
      <c r="N270" s="243"/>
      <c r="O270" s="241" t="s">
        <v>229</v>
      </c>
      <c r="P270" s="241"/>
      <c r="Q270" s="241"/>
      <c r="R270" s="241"/>
      <c r="S270" s="241"/>
      <c r="T270" s="241"/>
      <c r="U270" s="241"/>
    </row>
    <row r="271" spans="1:21" x14ac:dyDescent="0.25">
      <c r="A271">
        <v>100000</v>
      </c>
      <c r="B271" s="155">
        <f>IF(O271="PESO",VALUE(K271),K271*EERR!$D$2)</f>
        <v>0</v>
      </c>
      <c r="C271" s="241"/>
      <c r="D271" s="241"/>
      <c r="E271" s="241"/>
      <c r="F271" s="241"/>
      <c r="G271" s="241"/>
      <c r="H271" s="242"/>
      <c r="I271" s="242"/>
      <c r="J271" s="242"/>
      <c r="K271" s="242"/>
      <c r="L271" s="241"/>
      <c r="M271" s="242"/>
      <c r="N271" s="243"/>
      <c r="O271" s="241" t="s">
        <v>229</v>
      </c>
      <c r="P271" s="241"/>
      <c r="Q271" s="241"/>
      <c r="R271" s="241"/>
      <c r="S271" s="241"/>
      <c r="T271" s="241"/>
      <c r="U271" s="241"/>
    </row>
    <row r="272" spans="1:21" x14ac:dyDescent="0.25">
      <c r="A272">
        <v>100000</v>
      </c>
      <c r="B272" s="155">
        <f>IF(O272="PESO",VALUE(K272),K272*EERR!$D$2)</f>
        <v>0</v>
      </c>
      <c r="C272" s="241"/>
      <c r="D272" s="241"/>
      <c r="E272" s="241"/>
      <c r="F272" s="241"/>
      <c r="G272" s="241"/>
      <c r="H272" s="242"/>
      <c r="I272" s="242"/>
      <c r="J272" s="242"/>
      <c r="K272" s="242"/>
      <c r="L272" s="241"/>
      <c r="M272" s="242"/>
      <c r="N272" s="243"/>
      <c r="O272" s="241" t="s">
        <v>229</v>
      </c>
      <c r="P272" s="241"/>
      <c r="Q272" s="241"/>
      <c r="R272" s="241"/>
      <c r="S272" s="241"/>
      <c r="T272" s="241"/>
      <c r="U272" s="241"/>
    </row>
    <row r="273" spans="1:21" x14ac:dyDescent="0.25">
      <c r="A273">
        <v>100000</v>
      </c>
      <c r="B273" s="155">
        <f>IF(O273="PESO",VALUE(K273),K273*EERR!$D$2)</f>
        <v>0</v>
      </c>
      <c r="C273" s="241"/>
      <c r="D273" s="241"/>
      <c r="E273" s="241"/>
      <c r="F273" s="241"/>
      <c r="G273" s="241"/>
      <c r="H273" s="242"/>
      <c r="I273" s="242"/>
      <c r="J273" s="242"/>
      <c r="K273" s="242"/>
      <c r="L273" s="241"/>
      <c r="M273" s="242"/>
      <c r="N273" s="243"/>
      <c r="O273" s="241" t="s">
        <v>229</v>
      </c>
      <c r="P273" s="241"/>
      <c r="Q273" s="241"/>
      <c r="R273" s="241"/>
      <c r="S273" s="241"/>
      <c r="T273" s="241"/>
      <c r="U273" s="241"/>
    </row>
    <row r="274" spans="1:21" x14ac:dyDescent="0.25">
      <c r="A274">
        <v>100000</v>
      </c>
      <c r="B274" s="155">
        <f>IF(O274="PESO",VALUE(K274),K274*EERR!$D$2)</f>
        <v>0</v>
      </c>
      <c r="C274" s="241"/>
      <c r="D274" s="241"/>
      <c r="E274" s="241"/>
      <c r="F274" s="241"/>
      <c r="G274" s="241"/>
      <c r="H274" s="242"/>
      <c r="I274" s="242"/>
      <c r="J274" s="242"/>
      <c r="K274" s="242"/>
      <c r="L274" s="241"/>
      <c r="M274" s="242"/>
      <c r="N274" s="243"/>
      <c r="O274" s="241" t="s">
        <v>229</v>
      </c>
      <c r="P274" s="241"/>
      <c r="Q274" s="241"/>
      <c r="R274" s="241"/>
      <c r="S274" s="241"/>
      <c r="T274" s="241"/>
      <c r="U274" s="241"/>
    </row>
    <row r="275" spans="1:21" x14ac:dyDescent="0.25">
      <c r="A275">
        <v>100000</v>
      </c>
      <c r="B275" s="155">
        <f>IF(O275="PESO",VALUE(K275),K275*EERR!$D$2)</f>
        <v>0</v>
      </c>
      <c r="C275" s="241"/>
      <c r="D275" s="241"/>
      <c r="E275" s="241"/>
      <c r="F275" s="241"/>
      <c r="G275" s="241"/>
      <c r="H275" s="242"/>
      <c r="I275" s="242"/>
      <c r="J275" s="242"/>
      <c r="K275" s="242"/>
      <c r="L275" s="241"/>
      <c r="M275" s="242"/>
      <c r="N275" s="243"/>
      <c r="O275" s="241" t="s">
        <v>229</v>
      </c>
      <c r="P275" s="241"/>
      <c r="Q275" s="241"/>
      <c r="R275" s="241"/>
      <c r="S275" s="241"/>
      <c r="T275" s="241"/>
      <c r="U275" s="241"/>
    </row>
    <row r="276" spans="1:21" x14ac:dyDescent="0.25">
      <c r="A276">
        <v>100000</v>
      </c>
      <c r="B276" s="155">
        <f>IF(O276="PESO",VALUE(K276),K276*EERR!$D$2)</f>
        <v>0</v>
      </c>
      <c r="C276" s="241"/>
      <c r="D276" s="241"/>
      <c r="E276" s="241"/>
      <c r="F276" s="241"/>
      <c r="G276" s="241"/>
      <c r="H276" s="242"/>
      <c r="I276" s="242"/>
      <c r="J276" s="242"/>
      <c r="K276" s="242"/>
      <c r="L276" s="241"/>
      <c r="M276" s="242"/>
      <c r="N276" s="243"/>
      <c r="O276" s="241" t="s">
        <v>229</v>
      </c>
      <c r="P276" s="241"/>
      <c r="Q276" s="241"/>
      <c r="R276" s="241"/>
      <c r="S276" s="241"/>
      <c r="T276" s="241"/>
      <c r="U276" s="241"/>
    </row>
    <row r="277" spans="1:21" x14ac:dyDescent="0.25">
      <c r="A277">
        <v>100000</v>
      </c>
      <c r="B277" s="155">
        <f>IF(O277="PESO",VALUE(K277),K277*EERR!$D$2)</f>
        <v>0</v>
      </c>
      <c r="C277" s="241"/>
      <c r="D277" s="241"/>
      <c r="E277" s="241"/>
      <c r="F277" s="241"/>
      <c r="G277" s="241"/>
      <c r="H277" s="242"/>
      <c r="I277" s="242"/>
      <c r="J277" s="242"/>
      <c r="K277" s="242"/>
      <c r="L277" s="241"/>
      <c r="M277" s="242"/>
      <c r="N277" s="243"/>
      <c r="O277" s="241" t="s">
        <v>229</v>
      </c>
      <c r="P277" s="241"/>
      <c r="Q277" s="241"/>
      <c r="R277" s="241"/>
      <c r="S277" s="241"/>
      <c r="T277" s="241"/>
      <c r="U277" s="241"/>
    </row>
    <row r="278" spans="1:21" x14ac:dyDescent="0.25">
      <c r="A278">
        <v>100000</v>
      </c>
      <c r="B278" s="155">
        <f>IF(O278="PESO",VALUE(K278),K278*EERR!$D$2)</f>
        <v>0</v>
      </c>
      <c r="C278" s="241"/>
      <c r="D278" s="241"/>
      <c r="E278" s="241"/>
      <c r="F278" s="241"/>
      <c r="G278" s="241"/>
      <c r="H278" s="242"/>
      <c r="I278" s="242"/>
      <c r="J278" s="242"/>
      <c r="K278" s="242"/>
      <c r="L278" s="241"/>
      <c r="M278" s="242"/>
      <c r="N278" s="243"/>
      <c r="O278" s="241" t="s">
        <v>229</v>
      </c>
      <c r="P278" s="241"/>
      <c r="Q278" s="241"/>
      <c r="R278" s="241"/>
      <c r="S278" s="241"/>
      <c r="T278" s="241"/>
      <c r="U278" s="241"/>
    </row>
    <row r="279" spans="1:21" x14ac:dyDescent="0.25">
      <c r="A279">
        <v>100000</v>
      </c>
      <c r="B279" s="155">
        <f>IF(O279="PESO",VALUE(K279),K279*EERR!$D$2)</f>
        <v>0</v>
      </c>
      <c r="C279" s="241"/>
      <c r="D279" s="241"/>
      <c r="E279" s="241"/>
      <c r="F279" s="241"/>
      <c r="G279" s="241"/>
      <c r="H279" s="242"/>
      <c r="I279" s="242"/>
      <c r="J279" s="242"/>
      <c r="K279" s="242"/>
      <c r="L279" s="241"/>
      <c r="M279" s="242"/>
      <c r="N279" s="243"/>
      <c r="O279" s="241" t="s">
        <v>229</v>
      </c>
      <c r="P279" s="241"/>
      <c r="Q279" s="241"/>
      <c r="R279" s="241"/>
      <c r="S279" s="241"/>
      <c r="T279" s="241"/>
      <c r="U279" s="241"/>
    </row>
    <row r="280" spans="1:21" x14ac:dyDescent="0.25">
      <c r="A280">
        <v>100000</v>
      </c>
      <c r="B280" s="155">
        <f>IF(O280="PESO",VALUE(K280),K280*EERR!$D$2)</f>
        <v>0</v>
      </c>
      <c r="C280" s="241"/>
      <c r="D280" s="241"/>
      <c r="E280" s="241"/>
      <c r="F280" s="241"/>
      <c r="G280" s="241"/>
      <c r="H280" s="242"/>
      <c r="I280" s="242"/>
      <c r="J280" s="242"/>
      <c r="K280" s="242"/>
      <c r="L280" s="241"/>
      <c r="M280" s="242"/>
      <c r="N280" s="243"/>
      <c r="O280" s="241" t="s">
        <v>229</v>
      </c>
      <c r="P280" s="241"/>
      <c r="Q280" s="241"/>
      <c r="R280" s="241"/>
      <c r="S280" s="241"/>
      <c r="T280" s="241"/>
      <c r="U280" s="241"/>
    </row>
    <row r="281" spans="1:21" x14ac:dyDescent="0.25">
      <c r="A281">
        <v>100000</v>
      </c>
      <c r="B281" s="155">
        <f>IF(O281="PESO",VALUE(K281),K281*EERR!$D$2)</f>
        <v>0</v>
      </c>
      <c r="C281" s="241"/>
      <c r="D281" s="241"/>
      <c r="E281" s="241"/>
      <c r="F281" s="241"/>
      <c r="G281" s="241"/>
      <c r="H281" s="242"/>
      <c r="I281" s="242"/>
      <c r="J281" s="242"/>
      <c r="K281" s="242"/>
      <c r="L281" s="241"/>
      <c r="M281" s="242"/>
      <c r="N281" s="243"/>
      <c r="O281" s="241" t="s">
        <v>229</v>
      </c>
      <c r="P281" s="241"/>
      <c r="Q281" s="241"/>
      <c r="R281" s="241"/>
      <c r="S281" s="241"/>
      <c r="T281" s="241"/>
      <c r="U281" s="241"/>
    </row>
    <row r="282" spans="1:21" x14ac:dyDescent="0.25">
      <c r="A282">
        <v>100000</v>
      </c>
      <c r="B282" s="155">
        <f>IF(O282="PESO",VALUE(K282),K282*EERR!$D$2)</f>
        <v>0</v>
      </c>
      <c r="C282" s="241"/>
      <c r="D282" s="241"/>
      <c r="E282" s="241"/>
      <c r="F282" s="241"/>
      <c r="G282" s="241"/>
      <c r="H282" s="242"/>
      <c r="I282" s="242"/>
      <c r="J282" s="242"/>
      <c r="K282" s="242"/>
      <c r="L282" s="241"/>
      <c r="M282" s="242"/>
      <c r="N282" s="243"/>
      <c r="O282" s="241" t="s">
        <v>229</v>
      </c>
      <c r="P282" s="241"/>
      <c r="Q282" s="241"/>
      <c r="R282" s="241"/>
      <c r="S282" s="241"/>
      <c r="T282" s="241"/>
      <c r="U282" s="241"/>
    </row>
    <row r="283" spans="1:21" x14ac:dyDescent="0.25">
      <c r="A283">
        <v>100000</v>
      </c>
      <c r="B283" s="155">
        <f>IF(O283="PESO",VALUE(K283),K283*EERR!$D$2)</f>
        <v>0</v>
      </c>
      <c r="C283" s="241"/>
      <c r="D283" s="241"/>
      <c r="E283" s="241"/>
      <c r="F283" s="241"/>
      <c r="G283" s="241"/>
      <c r="H283" s="242"/>
      <c r="I283" s="242"/>
      <c r="J283" s="242"/>
      <c r="K283" s="242"/>
      <c r="L283" s="241"/>
      <c r="M283" s="242"/>
      <c r="N283" s="243"/>
      <c r="O283" s="241" t="s">
        <v>229</v>
      </c>
      <c r="P283" s="241"/>
      <c r="Q283" s="241"/>
      <c r="R283" s="241"/>
      <c r="S283" s="241"/>
      <c r="T283" s="241"/>
      <c r="U283" s="241"/>
    </row>
    <row r="284" spans="1:21" x14ac:dyDescent="0.25">
      <c r="A284">
        <v>100000</v>
      </c>
      <c r="B284" s="155">
        <f>IF(O284="PESO",VALUE(K284),K284*EERR!$D$2)</f>
        <v>0</v>
      </c>
      <c r="C284" s="241"/>
      <c r="D284" s="241"/>
      <c r="E284" s="241"/>
      <c r="F284" s="241"/>
      <c r="G284" s="241"/>
      <c r="H284" s="242"/>
      <c r="I284" s="242"/>
      <c r="J284" s="242"/>
      <c r="K284" s="242"/>
      <c r="L284" s="241"/>
      <c r="M284" s="242"/>
      <c r="N284" s="243"/>
      <c r="O284" s="241" t="s">
        <v>229</v>
      </c>
      <c r="P284" s="241"/>
      <c r="Q284" s="241"/>
      <c r="R284" s="241"/>
      <c r="S284" s="241"/>
      <c r="T284" s="241"/>
      <c r="U284" s="241"/>
    </row>
    <row r="285" spans="1:21" x14ac:dyDescent="0.25">
      <c r="A285">
        <v>100000</v>
      </c>
      <c r="B285" s="155"/>
      <c r="C285" s="241"/>
      <c r="D285" s="241"/>
      <c r="E285" s="241"/>
      <c r="F285" s="241"/>
      <c r="G285" s="241"/>
      <c r="H285" s="242"/>
      <c r="I285" s="242"/>
      <c r="J285" s="242"/>
      <c r="K285" s="242"/>
      <c r="L285" s="241"/>
      <c r="M285" s="242"/>
      <c r="N285" s="243"/>
      <c r="O285" s="241" t="s">
        <v>229</v>
      </c>
      <c r="P285" s="241"/>
      <c r="Q285" s="241"/>
      <c r="R285" s="241"/>
      <c r="S285" s="241"/>
      <c r="T285" s="241"/>
      <c r="U285" s="241"/>
    </row>
    <row r="286" spans="1:21" x14ac:dyDescent="0.25">
      <c r="A286">
        <v>100000</v>
      </c>
      <c r="B286" s="155"/>
      <c r="C286" s="241"/>
      <c r="D286" s="241"/>
      <c r="E286" s="241"/>
      <c r="F286" s="241"/>
      <c r="G286" s="241"/>
      <c r="H286" s="242"/>
      <c r="I286" s="242"/>
      <c r="J286" s="242"/>
      <c r="K286" s="242"/>
      <c r="L286" s="241"/>
      <c r="M286" s="242"/>
      <c r="N286" s="243"/>
      <c r="O286" s="241" t="s">
        <v>229</v>
      </c>
      <c r="P286" s="241"/>
      <c r="Q286" s="241"/>
      <c r="R286" s="241"/>
      <c r="S286" s="241"/>
      <c r="T286" s="241"/>
      <c r="U286" s="241"/>
    </row>
    <row r="287" spans="1:21" x14ac:dyDescent="0.25">
      <c r="A287">
        <v>100000</v>
      </c>
      <c r="B287" s="155"/>
      <c r="C287" s="241"/>
      <c r="D287" s="241"/>
      <c r="E287" s="241"/>
      <c r="F287" s="241"/>
      <c r="G287" s="241"/>
      <c r="H287" s="242"/>
      <c r="I287" s="242"/>
      <c r="J287" s="242"/>
      <c r="K287" s="242"/>
      <c r="L287" s="241"/>
      <c r="M287" s="242"/>
      <c r="N287" s="243"/>
      <c r="O287" s="241" t="s">
        <v>229</v>
      </c>
      <c r="P287" s="241"/>
      <c r="Q287" s="241"/>
      <c r="R287" s="241"/>
      <c r="S287" s="241"/>
      <c r="T287" s="241"/>
      <c r="U287" s="241"/>
    </row>
    <row r="288" spans="1:21" x14ac:dyDescent="0.25">
      <c r="A288">
        <v>100000</v>
      </c>
      <c r="B288" s="155"/>
      <c r="C288" s="241"/>
      <c r="D288" s="241"/>
      <c r="E288" s="241"/>
      <c r="F288" s="241"/>
      <c r="G288" s="241"/>
      <c r="H288" s="242"/>
      <c r="I288" s="242"/>
      <c r="J288" s="242"/>
      <c r="K288" s="242"/>
      <c r="L288" s="241"/>
      <c r="M288" s="242"/>
      <c r="N288" s="243"/>
      <c r="O288" s="241" t="s">
        <v>229</v>
      </c>
      <c r="P288" s="241"/>
      <c r="Q288" s="241"/>
      <c r="R288" s="241"/>
      <c r="S288" s="241"/>
      <c r="T288" s="241"/>
      <c r="U288" s="241"/>
    </row>
    <row r="289" spans="1:21" x14ac:dyDescent="0.25">
      <c r="A289">
        <v>100000</v>
      </c>
      <c r="B289" s="155"/>
      <c r="C289" s="241"/>
      <c r="D289" s="241"/>
      <c r="E289" s="241"/>
      <c r="F289" s="241"/>
      <c r="G289" s="241"/>
      <c r="H289" s="242"/>
      <c r="I289" s="242"/>
      <c r="J289" s="242"/>
      <c r="K289" s="242"/>
      <c r="L289" s="241"/>
      <c r="M289" s="242"/>
      <c r="N289" s="243"/>
      <c r="O289" s="241" t="s">
        <v>229</v>
      </c>
      <c r="P289" s="241"/>
      <c r="Q289" s="241"/>
      <c r="R289" s="241"/>
      <c r="S289" s="241"/>
      <c r="T289" s="241"/>
      <c r="U289" s="241"/>
    </row>
    <row r="290" spans="1:21" x14ac:dyDescent="0.25">
      <c r="A290">
        <v>100000</v>
      </c>
      <c r="B290" s="155"/>
      <c r="C290" s="241"/>
      <c r="D290" s="241"/>
      <c r="E290" s="241"/>
      <c r="F290" s="241"/>
      <c r="G290" s="241"/>
      <c r="H290" s="242"/>
      <c r="I290" s="242"/>
      <c r="J290" s="242"/>
      <c r="K290" s="242"/>
      <c r="L290" s="241"/>
      <c r="M290" s="242"/>
      <c r="N290" s="243"/>
      <c r="O290" s="241" t="s">
        <v>229</v>
      </c>
      <c r="P290" s="241"/>
      <c r="Q290" s="241"/>
      <c r="R290" s="241"/>
      <c r="S290" s="241"/>
      <c r="T290" s="241"/>
      <c r="U290" s="241"/>
    </row>
    <row r="291" spans="1:21" x14ac:dyDescent="0.25">
      <c r="A291">
        <v>100000</v>
      </c>
      <c r="B291" s="155"/>
      <c r="C291" s="241"/>
      <c r="D291" s="241"/>
      <c r="E291" s="241"/>
      <c r="F291" s="241"/>
      <c r="G291" s="241"/>
      <c r="H291" s="242"/>
      <c r="I291" s="242"/>
      <c r="J291" s="242"/>
      <c r="K291" s="242"/>
      <c r="L291" s="241"/>
      <c r="M291" s="242"/>
      <c r="N291" s="243"/>
      <c r="O291" s="241" t="s">
        <v>229</v>
      </c>
      <c r="P291" s="241"/>
      <c r="Q291" s="241"/>
      <c r="R291" s="241"/>
      <c r="S291" s="241"/>
      <c r="T291" s="241"/>
      <c r="U291" s="241"/>
    </row>
    <row r="292" spans="1:21" x14ac:dyDescent="0.25">
      <c r="A292">
        <v>100000</v>
      </c>
      <c r="B292" s="155"/>
      <c r="C292" s="241"/>
      <c r="D292" s="241"/>
      <c r="E292" s="241"/>
      <c r="F292" s="241"/>
      <c r="G292" s="241"/>
      <c r="H292" s="242"/>
      <c r="I292" s="242"/>
      <c r="J292" s="242"/>
      <c r="K292" s="242"/>
      <c r="L292" s="241"/>
      <c r="M292" s="242"/>
      <c r="N292" s="243"/>
      <c r="O292" s="241" t="s">
        <v>229</v>
      </c>
      <c r="P292" s="241"/>
      <c r="Q292" s="241"/>
      <c r="R292" s="241"/>
      <c r="S292" s="241"/>
      <c r="T292" s="241"/>
      <c r="U292" s="241"/>
    </row>
    <row r="293" spans="1:21" x14ac:dyDescent="0.25">
      <c r="A293">
        <v>100000</v>
      </c>
      <c r="B293" s="155">
        <f>IF(O293="PESO",VALUE(K293),K293*EERR!$D$2)</f>
        <v>0</v>
      </c>
      <c r="C293" s="241"/>
      <c r="D293" s="241"/>
      <c r="E293" s="241"/>
      <c r="F293" s="241"/>
      <c r="G293" s="241"/>
      <c r="H293" s="242"/>
      <c r="I293" s="242"/>
      <c r="J293" s="242"/>
      <c r="K293" s="242"/>
      <c r="L293" s="241"/>
      <c r="M293" s="242"/>
      <c r="N293" s="243"/>
      <c r="O293" s="241" t="s">
        <v>229</v>
      </c>
      <c r="P293" s="241"/>
      <c r="Q293" s="241"/>
      <c r="R293" s="241"/>
      <c r="S293" s="241"/>
      <c r="T293" s="241"/>
      <c r="U293" s="241"/>
    </row>
    <row r="294" spans="1:21" x14ac:dyDescent="0.25">
      <c r="A294">
        <v>100000</v>
      </c>
      <c r="B294" s="155">
        <f>IF(O294="PESO",VALUE(K294),K294*EERR!$D$2)</f>
        <v>0</v>
      </c>
      <c r="C294" s="241"/>
      <c r="D294" s="241"/>
      <c r="E294" s="241"/>
      <c r="F294" s="241"/>
      <c r="G294" s="241"/>
      <c r="H294" s="242"/>
      <c r="I294" s="242"/>
      <c r="J294" s="242"/>
      <c r="K294" s="242"/>
      <c r="L294" s="241"/>
      <c r="M294" s="242"/>
      <c r="N294" s="243"/>
      <c r="O294" s="241" t="s">
        <v>229</v>
      </c>
      <c r="P294" s="241"/>
      <c r="Q294" s="241"/>
      <c r="R294" s="241"/>
      <c r="S294" s="241"/>
      <c r="T294" s="241"/>
      <c r="U294" s="241"/>
    </row>
    <row r="295" spans="1:21" x14ac:dyDescent="0.25">
      <c r="A295">
        <v>100000</v>
      </c>
      <c r="B295" s="155">
        <f>IF(O295="PESO",VALUE(K295),K295*EERR!$D$2)</f>
        <v>0</v>
      </c>
      <c r="C295" s="241"/>
      <c r="D295" s="241"/>
      <c r="E295" s="241"/>
      <c r="F295" s="241"/>
      <c r="G295" s="241"/>
      <c r="H295" s="242"/>
      <c r="I295" s="242"/>
      <c r="J295" s="242"/>
      <c r="K295" s="242"/>
      <c r="L295" s="241"/>
      <c r="M295" s="242"/>
      <c r="N295" s="243"/>
      <c r="O295" s="241" t="s">
        <v>229</v>
      </c>
      <c r="P295" s="241"/>
      <c r="Q295" s="241"/>
      <c r="R295" s="241"/>
      <c r="S295" s="241"/>
      <c r="T295" s="241"/>
      <c r="U295" s="241"/>
    </row>
    <row r="296" spans="1:21" x14ac:dyDescent="0.25">
      <c r="A296">
        <v>100000</v>
      </c>
      <c r="B296" s="155">
        <f>IF(O296="PESO",VALUE(K296),K296*EERR!$D$2)</f>
        <v>0</v>
      </c>
      <c r="C296" s="241"/>
      <c r="D296" s="241"/>
      <c r="E296" s="241"/>
      <c r="F296" s="241"/>
      <c r="G296" s="241"/>
      <c r="H296" s="242"/>
      <c r="I296" s="242"/>
      <c r="J296" s="242"/>
      <c r="K296" s="242"/>
      <c r="L296" s="241"/>
      <c r="M296" s="242"/>
      <c r="N296" s="243"/>
      <c r="O296" s="241" t="s">
        <v>229</v>
      </c>
      <c r="P296" s="241"/>
      <c r="Q296" s="241"/>
      <c r="R296" s="241"/>
      <c r="S296" s="241"/>
      <c r="T296" s="241"/>
      <c r="U296" s="241"/>
    </row>
    <row r="297" spans="1:21" x14ac:dyDescent="0.25">
      <c r="A297">
        <v>100000</v>
      </c>
      <c r="B297" s="155">
        <f>IF(O297="PESO",VALUE(K297),K297*EERR!$D$2)</f>
        <v>0</v>
      </c>
      <c r="C297" s="241"/>
      <c r="D297" s="241"/>
      <c r="E297" s="241"/>
      <c r="F297" s="241"/>
      <c r="G297" s="241"/>
      <c r="H297" s="242"/>
      <c r="I297" s="242"/>
      <c r="J297" s="242"/>
      <c r="K297" s="242"/>
      <c r="L297" s="241"/>
      <c r="M297" s="242"/>
      <c r="N297" s="243"/>
      <c r="O297" s="241" t="s">
        <v>229</v>
      </c>
      <c r="P297" s="241"/>
      <c r="Q297" s="241"/>
      <c r="R297" s="241"/>
      <c r="S297" s="241"/>
      <c r="T297" s="241"/>
      <c r="U297" s="241"/>
    </row>
    <row r="298" spans="1:21" x14ac:dyDescent="0.25">
      <c r="A298">
        <v>100000</v>
      </c>
      <c r="B298" s="155">
        <f>IF(O298="PESO",VALUE(K298),K298*EERR!$D$2)</f>
        <v>0</v>
      </c>
      <c r="C298" s="241"/>
      <c r="D298" s="241"/>
      <c r="E298" s="241"/>
      <c r="F298" s="241"/>
      <c r="G298" s="241"/>
      <c r="H298" s="242"/>
      <c r="I298" s="242"/>
      <c r="J298" s="242"/>
      <c r="K298" s="242"/>
      <c r="L298" s="241"/>
      <c r="M298" s="242"/>
      <c r="N298" s="243"/>
      <c r="O298" s="241" t="s">
        <v>229</v>
      </c>
      <c r="P298" s="241"/>
      <c r="Q298" s="241"/>
      <c r="R298" s="241"/>
      <c r="S298" s="241"/>
      <c r="T298" s="241"/>
      <c r="U298" s="241"/>
    </row>
    <row r="299" spans="1:21" x14ac:dyDescent="0.25">
      <c r="A299">
        <v>100000</v>
      </c>
      <c r="B299" s="155">
        <f>IF(O299="PESO",VALUE(K299),K299*EERR!$D$2)</f>
        <v>0</v>
      </c>
      <c r="C299" s="241"/>
      <c r="D299" s="241"/>
      <c r="E299" s="241"/>
      <c r="F299" s="241"/>
      <c r="G299" s="241"/>
      <c r="H299" s="242"/>
      <c r="I299" s="242"/>
      <c r="J299" s="242"/>
      <c r="K299" s="242"/>
      <c r="L299" s="241"/>
      <c r="M299" s="242"/>
      <c r="N299" s="243"/>
      <c r="O299" s="241" t="s">
        <v>229</v>
      </c>
      <c r="P299" s="241"/>
      <c r="Q299" s="241"/>
      <c r="R299" s="241"/>
      <c r="S299" s="241"/>
      <c r="T299" s="241"/>
      <c r="U299" s="241"/>
    </row>
    <row r="300" spans="1:21" x14ac:dyDescent="0.25">
      <c r="A300">
        <v>100000</v>
      </c>
      <c r="B300" s="155">
        <f>IF(O300="PESO",VALUE(K300),K300*EERR!$D$2)</f>
        <v>0</v>
      </c>
      <c r="C300" s="241"/>
      <c r="D300" s="241"/>
      <c r="E300" s="241"/>
      <c r="F300" s="241"/>
      <c r="G300" s="241"/>
      <c r="H300" s="242"/>
      <c r="I300" s="242"/>
      <c r="J300" s="242"/>
      <c r="K300" s="242"/>
      <c r="L300" s="241"/>
      <c r="M300" s="242"/>
      <c r="N300" s="243"/>
      <c r="O300" s="241" t="s">
        <v>229</v>
      </c>
      <c r="P300" s="241"/>
      <c r="Q300" s="241"/>
      <c r="R300" s="241"/>
      <c r="S300" s="241"/>
      <c r="T300" s="241"/>
      <c r="U300" s="241"/>
    </row>
    <row r="301" spans="1:21" x14ac:dyDescent="0.25">
      <c r="A301">
        <v>100000</v>
      </c>
      <c r="B301" s="155">
        <f>IF(O301="PESO",VALUE(K301),K301*EERR!$D$2)</f>
        <v>0</v>
      </c>
      <c r="C301" s="241"/>
      <c r="D301" s="241"/>
      <c r="E301" s="241"/>
      <c r="F301" s="241"/>
      <c r="G301" s="241"/>
      <c r="H301" s="242"/>
      <c r="I301" s="242"/>
      <c r="J301" s="242"/>
      <c r="K301" s="242"/>
      <c r="L301" s="241"/>
      <c r="M301" s="242"/>
      <c r="N301" s="243"/>
      <c r="O301" s="241" t="s">
        <v>229</v>
      </c>
      <c r="P301" s="241"/>
      <c r="Q301" s="241"/>
      <c r="R301" s="241"/>
      <c r="S301" s="241"/>
      <c r="T301" s="241"/>
      <c r="U301" s="241"/>
    </row>
    <row r="302" spans="1:21" x14ac:dyDescent="0.25">
      <c r="A302">
        <v>100000</v>
      </c>
      <c r="B302" s="155">
        <f>IF(O302="PESO",VALUE(K302),K302*EERR!$D$2)</f>
        <v>0</v>
      </c>
      <c r="C302" s="241"/>
      <c r="D302" s="241"/>
      <c r="E302" s="241"/>
      <c r="F302" s="241"/>
      <c r="G302" s="241"/>
      <c r="H302" s="242"/>
      <c r="I302" s="242"/>
      <c r="J302" s="242"/>
      <c r="K302" s="242"/>
      <c r="L302" s="241"/>
      <c r="M302" s="242"/>
      <c r="N302" s="243"/>
      <c r="O302" s="241" t="s">
        <v>229</v>
      </c>
      <c r="P302" s="241"/>
      <c r="Q302" s="241"/>
      <c r="R302" s="241"/>
      <c r="S302" s="241"/>
      <c r="T302" s="241"/>
      <c r="U302" s="241"/>
    </row>
    <row r="303" spans="1:21" x14ac:dyDescent="0.25">
      <c r="A303">
        <v>100000</v>
      </c>
      <c r="B303" s="155">
        <f>IF(O303="PESO",VALUE(K303),K303*EERR!$D$2)</f>
        <v>0</v>
      </c>
      <c r="C303" s="241"/>
      <c r="D303" s="241"/>
      <c r="E303" s="241"/>
      <c r="F303" s="241"/>
      <c r="G303" s="241"/>
      <c r="H303" s="242"/>
      <c r="I303" s="242"/>
      <c r="J303" s="242"/>
      <c r="K303" s="242"/>
      <c r="L303" s="241"/>
      <c r="M303" s="242"/>
      <c r="N303" s="243"/>
      <c r="O303" s="241" t="s">
        <v>229</v>
      </c>
      <c r="P303" s="241"/>
      <c r="Q303" s="241"/>
      <c r="R303" s="241"/>
      <c r="S303" s="241"/>
      <c r="T303" s="241"/>
      <c r="U303" s="241"/>
    </row>
    <row r="304" spans="1:21" x14ac:dyDescent="0.25">
      <c r="A304">
        <v>100000</v>
      </c>
      <c r="B304" s="155">
        <f>IF(O304="PESO",VALUE(K304),K304*EERR!$D$2)</f>
        <v>0</v>
      </c>
      <c r="C304" s="241"/>
      <c r="D304" s="241"/>
      <c r="E304" s="241"/>
      <c r="F304" s="241"/>
      <c r="G304" s="241"/>
      <c r="H304" s="242"/>
      <c r="I304" s="242"/>
      <c r="J304" s="242"/>
      <c r="K304" s="242"/>
      <c r="L304" s="241"/>
      <c r="M304" s="242"/>
      <c r="N304" s="243"/>
      <c r="O304" s="241" t="s">
        <v>229</v>
      </c>
      <c r="P304" s="241"/>
      <c r="Q304" s="241"/>
      <c r="R304" s="241"/>
      <c r="S304" s="241"/>
      <c r="T304" s="241"/>
      <c r="U304" s="241"/>
    </row>
    <row r="305" spans="1:21" x14ac:dyDescent="0.25">
      <c r="A305">
        <v>100000</v>
      </c>
      <c r="B305" s="155">
        <f>IF(O305="PESO",VALUE(K305),K305*EERR!$D$2)</f>
        <v>0</v>
      </c>
      <c r="C305" s="241"/>
      <c r="D305" s="241"/>
      <c r="E305" s="241"/>
      <c r="F305" s="241"/>
      <c r="G305" s="241"/>
      <c r="H305" s="242"/>
      <c r="I305" s="242"/>
      <c r="J305" s="242"/>
      <c r="K305" s="242"/>
      <c r="L305" s="241"/>
      <c r="M305" s="242"/>
      <c r="N305" s="243"/>
      <c r="O305" s="241" t="s">
        <v>229</v>
      </c>
      <c r="P305" s="241"/>
      <c r="Q305" s="241"/>
      <c r="R305" s="241"/>
      <c r="S305" s="241"/>
      <c r="T305" s="241"/>
      <c r="U305" s="241"/>
    </row>
    <row r="306" spans="1:21" x14ac:dyDescent="0.25">
      <c r="A306">
        <v>100000</v>
      </c>
      <c r="B306" s="155">
        <f>IF(O306="PESO",VALUE(K306),K306*EERR!$D$2)</f>
        <v>0</v>
      </c>
      <c r="C306" s="241"/>
      <c r="D306" s="241"/>
      <c r="E306" s="241"/>
      <c r="F306" s="241"/>
      <c r="G306" s="241"/>
      <c r="H306" s="242"/>
      <c r="I306" s="242"/>
      <c r="J306" s="242"/>
      <c r="K306" s="242"/>
      <c r="L306" s="241"/>
      <c r="M306" s="242"/>
      <c r="N306" s="243"/>
      <c r="O306" s="241" t="s">
        <v>229</v>
      </c>
      <c r="P306" s="241"/>
      <c r="Q306" s="241"/>
      <c r="R306" s="241"/>
      <c r="S306" s="241"/>
      <c r="T306" s="241"/>
      <c r="U306" s="241"/>
    </row>
    <row r="307" spans="1:21" x14ac:dyDescent="0.25">
      <c r="A307">
        <v>100000</v>
      </c>
      <c r="B307" s="155">
        <f>IF(O307="PESO",VALUE(K307),K307*EERR!$D$2)</f>
        <v>0</v>
      </c>
      <c r="C307" s="241"/>
      <c r="D307" s="241"/>
      <c r="E307" s="241"/>
      <c r="F307" s="241"/>
      <c r="G307" s="241"/>
      <c r="H307" s="242"/>
      <c r="I307" s="242"/>
      <c r="J307" s="242"/>
      <c r="K307" s="242"/>
      <c r="L307" s="241"/>
      <c r="M307" s="242"/>
      <c r="N307" s="243"/>
      <c r="O307" s="241" t="s">
        <v>229</v>
      </c>
      <c r="P307" s="241"/>
      <c r="Q307" s="241"/>
      <c r="R307" s="241"/>
      <c r="S307" s="241"/>
      <c r="T307" s="241"/>
      <c r="U307" s="241"/>
    </row>
    <row r="308" spans="1:21" x14ac:dyDescent="0.25">
      <c r="A308">
        <v>100000</v>
      </c>
      <c r="B308" s="155">
        <f>IF(O308="PESO",VALUE(K308),K308*EERR!$D$2)</f>
        <v>0</v>
      </c>
      <c r="C308" s="241"/>
      <c r="D308" s="241"/>
      <c r="E308" s="241"/>
      <c r="F308" s="241"/>
      <c r="G308" s="241"/>
      <c r="H308" s="242"/>
      <c r="I308" s="242"/>
      <c r="J308" s="242"/>
      <c r="K308" s="242"/>
      <c r="L308" s="241"/>
      <c r="M308" s="242"/>
      <c r="N308" s="243"/>
      <c r="O308" s="241" t="s">
        <v>229</v>
      </c>
      <c r="P308" s="241"/>
      <c r="Q308" s="241"/>
      <c r="R308" s="241"/>
      <c r="S308" s="241"/>
      <c r="T308" s="241"/>
      <c r="U308" s="241"/>
    </row>
    <row r="309" spans="1:21" x14ac:dyDescent="0.25">
      <c r="A309">
        <v>100000</v>
      </c>
      <c r="B309" s="155">
        <f>IF(O309="PESO",VALUE(K309),K309*EERR!$D$2)</f>
        <v>0</v>
      </c>
      <c r="C309" s="241"/>
      <c r="D309" s="241"/>
      <c r="E309" s="241"/>
      <c r="F309" s="241"/>
      <c r="G309" s="241"/>
      <c r="H309" s="242"/>
      <c r="I309" s="242"/>
      <c r="J309" s="242"/>
      <c r="K309" s="242"/>
      <c r="L309" s="241"/>
      <c r="M309" s="242"/>
      <c r="N309" s="243"/>
      <c r="O309" s="241" t="s">
        <v>229</v>
      </c>
      <c r="P309" s="241"/>
      <c r="Q309" s="241"/>
      <c r="R309" s="241"/>
      <c r="S309" s="241"/>
      <c r="T309" s="241"/>
      <c r="U309" s="241"/>
    </row>
    <row r="310" spans="1:21" x14ac:dyDescent="0.25">
      <c r="A310">
        <v>100000</v>
      </c>
      <c r="B310" s="155">
        <f>IF(O310="PESO",VALUE(K310),K310*EERR!$D$2)</f>
        <v>0</v>
      </c>
      <c r="O310" s="244" t="s">
        <v>229</v>
      </c>
    </row>
    <row r="311" spans="1:21" x14ac:dyDescent="0.25">
      <c r="A311">
        <v>100000</v>
      </c>
      <c r="B311" s="155">
        <f>IF(O311="PESO",VALUE(K311),K311*EERR!$D$2)</f>
        <v>0</v>
      </c>
      <c r="O311" s="244" t="s">
        <v>229</v>
      </c>
    </row>
    <row r="312" spans="1:21" x14ac:dyDescent="0.25">
      <c r="A312">
        <v>100000</v>
      </c>
      <c r="B312" s="155">
        <f>IF(O312="PESO",VALUE(K312),K312*EERR!$D$2)</f>
        <v>0</v>
      </c>
      <c r="O312" s="244" t="s">
        <v>229</v>
      </c>
    </row>
    <row r="313" spans="1:21" x14ac:dyDescent="0.25">
      <c r="A313">
        <v>100000</v>
      </c>
      <c r="B313" s="155">
        <f>IF(O313="PESO",VALUE(K313),K313*EERR!$D$2)</f>
        <v>0</v>
      </c>
      <c r="O313" s="244" t="s">
        <v>229</v>
      </c>
    </row>
    <row r="314" spans="1:21" x14ac:dyDescent="0.25">
      <c r="A314">
        <v>100000</v>
      </c>
      <c r="B314" s="155">
        <f>IF(O314="PESO",VALUE(K314),K314*EERR!$D$2)</f>
        <v>0</v>
      </c>
      <c r="O314" s="244" t="s">
        <v>229</v>
      </c>
    </row>
    <row r="315" spans="1:21" x14ac:dyDescent="0.25">
      <c r="A315">
        <v>100000</v>
      </c>
      <c r="B315" s="155">
        <f>IF(O315="PESO",VALUE(K315),K315*EERR!$D$2)</f>
        <v>0</v>
      </c>
      <c r="O315" s="244" t="s">
        <v>229</v>
      </c>
    </row>
    <row r="316" spans="1:21" x14ac:dyDescent="0.25">
      <c r="A316">
        <v>100000</v>
      </c>
      <c r="B316" s="155">
        <f>IF(O316="PESO",VALUE(K316),K316*EERR!$D$2)</f>
        <v>0</v>
      </c>
      <c r="O316" s="244" t="s">
        <v>229</v>
      </c>
    </row>
    <row r="317" spans="1:21" x14ac:dyDescent="0.25">
      <c r="A317">
        <v>100000</v>
      </c>
      <c r="B317" s="155">
        <f>IF(O317="PESO",VALUE(K317),K317*EERR!$D$2)</f>
        <v>0</v>
      </c>
      <c r="O317" s="244" t="s">
        <v>229</v>
      </c>
    </row>
    <row r="318" spans="1:21" x14ac:dyDescent="0.25">
      <c r="A318">
        <v>100000</v>
      </c>
      <c r="B318" s="155">
        <f>IF(O318="PESO",VALUE(K318),K318*EERR!$D$2)</f>
        <v>0</v>
      </c>
      <c r="O318" s="244" t="s">
        <v>229</v>
      </c>
    </row>
    <row r="319" spans="1:21" x14ac:dyDescent="0.25">
      <c r="A319">
        <v>100000</v>
      </c>
      <c r="B319" s="155">
        <f>IF(O319="PESO",VALUE(K319),K319*EERR!$D$2)</f>
        <v>0</v>
      </c>
      <c r="O319" s="244" t="s">
        <v>229</v>
      </c>
    </row>
    <row r="320" spans="1:21" x14ac:dyDescent="0.25">
      <c r="A320">
        <v>100000</v>
      </c>
      <c r="B320" s="155">
        <f>IF(O320="PESO",VALUE(K320),K320*EERR!$D$2)</f>
        <v>0</v>
      </c>
      <c r="O320" s="244" t="s">
        <v>229</v>
      </c>
    </row>
    <row r="321" spans="1:15" x14ac:dyDescent="0.25">
      <c r="A321">
        <v>100000</v>
      </c>
      <c r="B321" s="155">
        <f>IF(O321="PESO",VALUE(K321),K321*EERR!$D$2)</f>
        <v>0</v>
      </c>
      <c r="O321" s="244" t="s">
        <v>229</v>
      </c>
    </row>
    <row r="322" spans="1:15" x14ac:dyDescent="0.25">
      <c r="A322">
        <v>100000</v>
      </c>
      <c r="B322" s="155">
        <f>IF(O322="PESO",VALUE(K322),K322*EERR!$D$2)</f>
        <v>0</v>
      </c>
      <c r="O322" s="244" t="s">
        <v>229</v>
      </c>
    </row>
    <row r="323" spans="1:15" x14ac:dyDescent="0.25">
      <c r="A323">
        <v>100000</v>
      </c>
      <c r="B323" s="155">
        <f>IF(O323="PESO",VALUE(K323),K323*EERR!$D$2)</f>
        <v>0</v>
      </c>
      <c r="O323" s="244" t="s">
        <v>229</v>
      </c>
    </row>
    <row r="324" spans="1:15" x14ac:dyDescent="0.25">
      <c r="A324">
        <v>100000</v>
      </c>
      <c r="B324" s="155">
        <f>IF(O324="PESO",VALUE(K324),K324*EERR!$D$2)</f>
        <v>0</v>
      </c>
      <c r="O324" s="244" t="s">
        <v>229</v>
      </c>
    </row>
    <row r="325" spans="1:15" x14ac:dyDescent="0.25">
      <c r="A325">
        <v>100000</v>
      </c>
      <c r="B325" s="155">
        <f>IF(O325="PESO",VALUE(K325),K325*EERR!$D$2)</f>
        <v>0</v>
      </c>
      <c r="O325" s="244" t="s">
        <v>229</v>
      </c>
    </row>
    <row r="326" spans="1:15" x14ac:dyDescent="0.25">
      <c r="A326">
        <v>100000</v>
      </c>
      <c r="B326" s="155">
        <f>IF(O326="PESO",VALUE(K326),K326*EERR!$D$2)</f>
        <v>0</v>
      </c>
      <c r="O326" s="244" t="s">
        <v>229</v>
      </c>
    </row>
    <row r="327" spans="1:15" x14ac:dyDescent="0.25">
      <c r="A327">
        <v>100000</v>
      </c>
      <c r="B327" s="155">
        <f>IF(O327="PESO",VALUE(K327),K327*EERR!$D$2)</f>
        <v>0</v>
      </c>
      <c r="O327" s="244" t="s">
        <v>229</v>
      </c>
    </row>
    <row r="328" spans="1:15" x14ac:dyDescent="0.25">
      <c r="A328">
        <v>100000</v>
      </c>
      <c r="B328" s="155">
        <f>IF(O328="PESO",VALUE(K328),K328*EERR!$D$2)</f>
        <v>0</v>
      </c>
      <c r="O328" s="244" t="s">
        <v>229</v>
      </c>
    </row>
    <row r="329" spans="1:15" x14ac:dyDescent="0.25">
      <c r="A329">
        <v>100000</v>
      </c>
      <c r="B329" s="155">
        <f>IF(O329="PESO",VALUE(K329),K329*EERR!$D$2)</f>
        <v>0</v>
      </c>
      <c r="O329" s="244" t="s">
        <v>229</v>
      </c>
    </row>
    <row r="330" spans="1:15" x14ac:dyDescent="0.25">
      <c r="A330">
        <v>100000</v>
      </c>
      <c r="B330" s="155">
        <f>IF(O330="PESO",VALUE(K330),K330*EERR!$D$2)</f>
        <v>0</v>
      </c>
      <c r="O330" s="244" t="s">
        <v>229</v>
      </c>
    </row>
    <row r="331" spans="1:15" x14ac:dyDescent="0.25">
      <c r="A331">
        <v>100000</v>
      </c>
      <c r="B331" s="155">
        <f>IF(O331="PESO",VALUE(K331),K331*EERR!$D$2)</f>
        <v>0</v>
      </c>
      <c r="O331" s="244" t="s">
        <v>229</v>
      </c>
    </row>
    <row r="332" spans="1:15" x14ac:dyDescent="0.25">
      <c r="A332">
        <v>100000</v>
      </c>
      <c r="B332" s="155">
        <f>IF(O332="PESO",VALUE(K332),K332*EERR!$D$2)</f>
        <v>0</v>
      </c>
      <c r="O332" s="244" t="s">
        <v>229</v>
      </c>
    </row>
    <row r="333" spans="1:15" x14ac:dyDescent="0.25">
      <c r="A333">
        <v>100000</v>
      </c>
      <c r="B333" s="155">
        <f>IF(O333="PESO",VALUE(K333),K333*EERR!$D$2)</f>
        <v>0</v>
      </c>
      <c r="O333" s="244" t="s">
        <v>229</v>
      </c>
    </row>
    <row r="334" spans="1:15" x14ac:dyDescent="0.25">
      <c r="A334">
        <v>100000</v>
      </c>
      <c r="B334" s="155">
        <f>IF(O334="PESO",VALUE(K334),K334*EERR!$D$2)</f>
        <v>0</v>
      </c>
      <c r="O334" s="244" t="s">
        <v>229</v>
      </c>
    </row>
    <row r="335" spans="1:15" x14ac:dyDescent="0.25">
      <c r="A335">
        <v>100000</v>
      </c>
      <c r="B335" s="155">
        <f>IF(O335="PESO",VALUE(K335),K335*EERR!$D$2)</f>
        <v>0</v>
      </c>
      <c r="O335" s="244" t="s">
        <v>229</v>
      </c>
    </row>
    <row r="336" spans="1:15" x14ac:dyDescent="0.25">
      <c r="A336">
        <v>100000</v>
      </c>
      <c r="B336" s="155">
        <f>IF(O336="PESO",VALUE(K336),K336*EERR!$D$2)</f>
        <v>0</v>
      </c>
      <c r="O336" s="244" t="s">
        <v>229</v>
      </c>
    </row>
    <row r="337" spans="1:15" x14ac:dyDescent="0.25">
      <c r="A337">
        <v>100000</v>
      </c>
      <c r="B337" s="155">
        <f>IF(O337="PESO",VALUE(K337),K337*EERR!$D$2)</f>
        <v>0</v>
      </c>
      <c r="O337" s="244" t="s">
        <v>229</v>
      </c>
    </row>
    <row r="338" spans="1:15" x14ac:dyDescent="0.25">
      <c r="A338">
        <v>100000</v>
      </c>
      <c r="B338" s="155">
        <f>IF(O338="PESO",VALUE(K338),K338*EERR!$D$2)</f>
        <v>0</v>
      </c>
      <c r="O338" s="244" t="s">
        <v>229</v>
      </c>
    </row>
    <row r="339" spans="1:15" x14ac:dyDescent="0.25">
      <c r="A339">
        <v>100000</v>
      </c>
      <c r="B339" s="155">
        <f>IF(O339="PESO",VALUE(K339),K339*EERR!$D$2)</f>
        <v>0</v>
      </c>
      <c r="O339" s="244" t="s">
        <v>229</v>
      </c>
    </row>
    <row r="340" spans="1:15" x14ac:dyDescent="0.25">
      <c r="A340">
        <v>100000</v>
      </c>
      <c r="B340" s="155">
        <f>IF(O340="PESO",VALUE(K340),K340*EERR!$D$2)</f>
        <v>0</v>
      </c>
      <c r="O340" s="244" t="s">
        <v>229</v>
      </c>
    </row>
    <row r="341" spans="1:15" x14ac:dyDescent="0.25">
      <c r="A341">
        <v>100000</v>
      </c>
      <c r="B341" s="155">
        <f>IF(O341="PESO",VALUE(K341),K341*EERR!$D$2)</f>
        <v>0</v>
      </c>
      <c r="O341" s="244" t="s">
        <v>229</v>
      </c>
    </row>
    <row r="342" spans="1:15" x14ac:dyDescent="0.25">
      <c r="A342">
        <v>100000</v>
      </c>
      <c r="B342" s="155">
        <f>IF(O342="PESO",VALUE(K342),K342*EERR!$D$2)</f>
        <v>0</v>
      </c>
      <c r="O342" s="244" t="s">
        <v>229</v>
      </c>
    </row>
    <row r="343" spans="1:15" x14ac:dyDescent="0.25">
      <c r="A343">
        <v>100000</v>
      </c>
      <c r="B343" s="155">
        <f>IF(O343="PESO",VALUE(K343),K343*EERR!$D$2)</f>
        <v>0</v>
      </c>
      <c r="O343" s="244" t="s">
        <v>229</v>
      </c>
    </row>
    <row r="344" spans="1:15" x14ac:dyDescent="0.25">
      <c r="A344">
        <v>100000</v>
      </c>
      <c r="B344" s="155">
        <f>IF(O344="PESO",VALUE(K344),K344*EERR!$D$2)</f>
        <v>0</v>
      </c>
      <c r="O344" s="244" t="s">
        <v>229</v>
      </c>
    </row>
    <row r="345" spans="1:15" x14ac:dyDescent="0.25">
      <c r="A345">
        <v>100000</v>
      </c>
      <c r="B345" s="155">
        <f>IF(O345="PESO",VALUE(K345),K345*EERR!$D$2)</f>
        <v>0</v>
      </c>
      <c r="O345" s="244" t="s">
        <v>229</v>
      </c>
    </row>
    <row r="346" spans="1:15" x14ac:dyDescent="0.25">
      <c r="A346">
        <v>100000</v>
      </c>
      <c r="B346" s="155">
        <f>IF(O346="PESO",VALUE(K346),K346*EERR!$D$2)</f>
        <v>0</v>
      </c>
      <c r="O346" s="244" t="s">
        <v>229</v>
      </c>
    </row>
    <row r="347" spans="1:15" x14ac:dyDescent="0.25">
      <c r="A347">
        <v>100000</v>
      </c>
      <c r="B347" s="155">
        <f>IF(O347="PESO",VALUE(K347),K347*EERR!$D$2)</f>
        <v>0</v>
      </c>
      <c r="O347" s="244" t="s">
        <v>229</v>
      </c>
    </row>
    <row r="348" spans="1:15" x14ac:dyDescent="0.25">
      <c r="A348">
        <v>100000</v>
      </c>
      <c r="B348" s="155">
        <f>IF(O348="PESO",VALUE(K348),K348*EERR!$D$2)</f>
        <v>0</v>
      </c>
      <c r="O348" s="244" t="s">
        <v>229</v>
      </c>
    </row>
    <row r="349" spans="1:15" x14ac:dyDescent="0.25">
      <c r="A349">
        <v>100000</v>
      </c>
      <c r="B349" s="155">
        <f>IF(O349="PESO",VALUE(K349),K349*EERR!$D$2)</f>
        <v>0</v>
      </c>
      <c r="O349" s="244" t="s">
        <v>229</v>
      </c>
    </row>
    <row r="350" spans="1:15" x14ac:dyDescent="0.25">
      <c r="A350">
        <v>100000</v>
      </c>
      <c r="B350" s="155">
        <f>IF(O350="PESO",VALUE(K350),K350*EERR!$D$2)</f>
        <v>0</v>
      </c>
      <c r="O350" s="244" t="s">
        <v>229</v>
      </c>
    </row>
    <row r="351" spans="1:15" x14ac:dyDescent="0.25">
      <c r="A351">
        <v>100000</v>
      </c>
      <c r="B351" s="155">
        <f>IF(O351="PESO",VALUE(K351),K351*EERR!$D$2)</f>
        <v>0</v>
      </c>
      <c r="O351" s="244" t="s">
        <v>229</v>
      </c>
    </row>
    <row r="352" spans="1:15" x14ac:dyDescent="0.25">
      <c r="A352">
        <v>100000</v>
      </c>
      <c r="B352" s="155">
        <f>IF(O352="PESO",VALUE(K352),K352*EERR!$D$2)</f>
        <v>0</v>
      </c>
      <c r="O352" s="244" t="s">
        <v>229</v>
      </c>
    </row>
    <row r="353" spans="1:15" x14ac:dyDescent="0.25">
      <c r="A353">
        <v>100000</v>
      </c>
      <c r="B353" s="155">
        <f>IF(O353="PESO",VALUE(K353),K353*EERR!$D$2)</f>
        <v>0</v>
      </c>
      <c r="O353" s="244" t="s">
        <v>229</v>
      </c>
    </row>
    <row r="354" spans="1:15" x14ac:dyDescent="0.25">
      <c r="A354">
        <v>100000</v>
      </c>
      <c r="B354" s="155">
        <f>IF(O354="PESO",VALUE(K354),K354*EERR!$D$2)</f>
        <v>0</v>
      </c>
      <c r="O354" s="244" t="s">
        <v>229</v>
      </c>
    </row>
    <row r="355" spans="1:15" x14ac:dyDescent="0.25">
      <c r="A355">
        <v>100000</v>
      </c>
      <c r="B355" s="155">
        <f>IF(O355="PESO",VALUE(K355),K355*EERR!$D$2)</f>
        <v>0</v>
      </c>
      <c r="O355" s="244" t="s">
        <v>229</v>
      </c>
    </row>
    <row r="356" spans="1:15" x14ac:dyDescent="0.25">
      <c r="A356">
        <v>100000</v>
      </c>
      <c r="B356" s="155">
        <f>IF(O356="PESO",VALUE(K356),K356*EERR!$D$2)</f>
        <v>0</v>
      </c>
      <c r="O356" s="244" t="s">
        <v>229</v>
      </c>
    </row>
    <row r="357" spans="1:15" x14ac:dyDescent="0.25">
      <c r="A357">
        <v>100000</v>
      </c>
      <c r="B357" s="155">
        <f>IF(O357="PESO",VALUE(K357),K357*EERR!$D$2)</f>
        <v>0</v>
      </c>
      <c r="O357" s="244" t="s">
        <v>229</v>
      </c>
    </row>
    <row r="358" spans="1:15" x14ac:dyDescent="0.25">
      <c r="A358">
        <v>100000</v>
      </c>
      <c r="B358" s="155">
        <f>IF(O358="PESO",VALUE(K358),K358*EERR!$D$2)</f>
        <v>0</v>
      </c>
      <c r="O358" s="244" t="s">
        <v>229</v>
      </c>
    </row>
    <row r="359" spans="1:15" x14ac:dyDescent="0.25">
      <c r="A359">
        <v>100000</v>
      </c>
      <c r="B359" s="155">
        <f>IF(O359="PESO",VALUE(K359),K359*EERR!$D$2)</f>
        <v>0</v>
      </c>
      <c r="O359" s="244" t="s">
        <v>229</v>
      </c>
    </row>
    <row r="360" spans="1:15" x14ac:dyDescent="0.25">
      <c r="A360">
        <v>100000</v>
      </c>
      <c r="B360" s="155">
        <f>IF(O360="PESO",VALUE(K360),K360*EERR!$D$2)</f>
        <v>0</v>
      </c>
      <c r="O360" s="244" t="s">
        <v>229</v>
      </c>
    </row>
    <row r="361" spans="1:15" x14ac:dyDescent="0.25">
      <c r="A361">
        <v>100000</v>
      </c>
      <c r="B361" s="155">
        <f>IF(O361="PESO",VALUE(K361),K361*EERR!$D$2)</f>
        <v>0</v>
      </c>
      <c r="O361" s="244" t="s">
        <v>229</v>
      </c>
    </row>
    <row r="362" spans="1:15" x14ac:dyDescent="0.25">
      <c r="A362">
        <v>100000</v>
      </c>
      <c r="B362" s="155">
        <f>IF(O362="PESO",VALUE(K362),K362*EERR!$D$2)</f>
        <v>0</v>
      </c>
      <c r="O362" s="244" t="s">
        <v>229</v>
      </c>
    </row>
    <row r="363" spans="1:15" x14ac:dyDescent="0.25">
      <c r="A363">
        <v>100000</v>
      </c>
      <c r="B363" s="155">
        <f>IF(O363="PESO",VALUE(K363),K363*EERR!$D$2)</f>
        <v>0</v>
      </c>
      <c r="O363" s="244" t="s">
        <v>229</v>
      </c>
    </row>
    <row r="364" spans="1:15" x14ac:dyDescent="0.25">
      <c r="A364">
        <v>100000</v>
      </c>
      <c r="B364" s="155">
        <f>IF(O364="PESO",VALUE(K364),K364*EERR!$D$2)</f>
        <v>0</v>
      </c>
      <c r="O364" s="244" t="s">
        <v>229</v>
      </c>
    </row>
    <row r="365" spans="1:15" x14ac:dyDescent="0.25">
      <c r="A365">
        <v>100000</v>
      </c>
      <c r="B365" s="155">
        <f>IF(O365="PESO",VALUE(K365),K365*EERR!$D$2)</f>
        <v>0</v>
      </c>
      <c r="O365" s="244" t="s">
        <v>229</v>
      </c>
    </row>
    <row r="366" spans="1:15" x14ac:dyDescent="0.25">
      <c r="A366">
        <v>100000</v>
      </c>
      <c r="B366" s="155">
        <f>IF(O366="PESO",VALUE(K366),K366*EERR!$D$2)</f>
        <v>0</v>
      </c>
      <c r="O366" s="244" t="s">
        <v>229</v>
      </c>
    </row>
    <row r="367" spans="1:15" x14ac:dyDescent="0.25">
      <c r="A367">
        <v>100000</v>
      </c>
      <c r="B367" s="155">
        <f>IF(O367="PESO",VALUE(K367),K367*EERR!$D$2)</f>
        <v>0</v>
      </c>
      <c r="O367" s="244" t="s">
        <v>229</v>
      </c>
    </row>
    <row r="368" spans="1:15" x14ac:dyDescent="0.25">
      <c r="A368">
        <v>100000</v>
      </c>
      <c r="B368" s="155">
        <f>IF(O368="PESO",VALUE(K368),K368*EERR!$D$2)</f>
        <v>0</v>
      </c>
      <c r="O368" s="244" t="s">
        <v>229</v>
      </c>
    </row>
    <row r="369" spans="1:15" x14ac:dyDescent="0.25">
      <c r="A369">
        <v>100000</v>
      </c>
      <c r="B369" s="155">
        <f>IF(O369="PESO",VALUE(K369),K369*EERR!$D$2)</f>
        <v>0</v>
      </c>
      <c r="O369" s="244" t="s">
        <v>229</v>
      </c>
    </row>
    <row r="370" spans="1:15" x14ac:dyDescent="0.25">
      <c r="A370">
        <v>100000</v>
      </c>
      <c r="B370" s="155">
        <f>IF(O370="PESO",VALUE(K370),K370*EERR!$D$2)</f>
        <v>0</v>
      </c>
      <c r="O370" s="244" t="s">
        <v>229</v>
      </c>
    </row>
    <row r="371" spans="1:15" x14ac:dyDescent="0.25">
      <c r="A371">
        <v>100000</v>
      </c>
      <c r="B371" s="155">
        <f>IF(O371="PESO",VALUE(K371),K371*EERR!$D$2)</f>
        <v>0</v>
      </c>
      <c r="O371" s="244" t="s">
        <v>229</v>
      </c>
    </row>
    <row r="372" spans="1:15" x14ac:dyDescent="0.25">
      <c r="A372">
        <v>100000</v>
      </c>
      <c r="O372" s="244" t="s">
        <v>229</v>
      </c>
    </row>
    <row r="373" spans="1:15" x14ac:dyDescent="0.25">
      <c r="A373">
        <v>100000</v>
      </c>
      <c r="O373" s="244" t="s">
        <v>229</v>
      </c>
    </row>
    <row r="374" spans="1:15" x14ac:dyDescent="0.25">
      <c r="A374">
        <v>100000</v>
      </c>
      <c r="O374" s="244" t="s">
        <v>229</v>
      </c>
    </row>
    <row r="375" spans="1:15" x14ac:dyDescent="0.25">
      <c r="A375">
        <v>100000</v>
      </c>
      <c r="O375" s="244" t="s">
        <v>229</v>
      </c>
    </row>
    <row r="376" spans="1:15" x14ac:dyDescent="0.25">
      <c r="A376">
        <v>100000</v>
      </c>
      <c r="O376" s="244" t="s">
        <v>229</v>
      </c>
    </row>
    <row r="377" spans="1:15" x14ac:dyDescent="0.25">
      <c r="A377">
        <v>100000</v>
      </c>
      <c r="O377" s="244" t="s">
        <v>229</v>
      </c>
    </row>
    <row r="378" spans="1:15" x14ac:dyDescent="0.25">
      <c r="A378">
        <v>100000</v>
      </c>
      <c r="O378" s="244" t="s">
        <v>229</v>
      </c>
    </row>
    <row r="379" spans="1:15" x14ac:dyDescent="0.25">
      <c r="A379">
        <v>100000</v>
      </c>
      <c r="O379" s="244" t="s">
        <v>229</v>
      </c>
    </row>
    <row r="380" spans="1:15" x14ac:dyDescent="0.25">
      <c r="A380">
        <v>100000</v>
      </c>
      <c r="O380" s="244" t="s">
        <v>229</v>
      </c>
    </row>
    <row r="381" spans="1:15" x14ac:dyDescent="0.25">
      <c r="A381">
        <v>100000</v>
      </c>
      <c r="O381" s="244" t="s">
        <v>229</v>
      </c>
    </row>
    <row r="382" spans="1:15" x14ac:dyDescent="0.25">
      <c r="A382">
        <v>100000</v>
      </c>
      <c r="O382" s="244" t="s">
        <v>229</v>
      </c>
    </row>
    <row r="383" spans="1:15" x14ac:dyDescent="0.25">
      <c r="A383">
        <v>100000</v>
      </c>
      <c r="O383" s="244" t="s">
        <v>229</v>
      </c>
    </row>
    <row r="384" spans="1:15" x14ac:dyDescent="0.25">
      <c r="A384">
        <v>100000</v>
      </c>
      <c r="O384" s="244" t="s">
        <v>229</v>
      </c>
    </row>
    <row r="385" spans="1:15" x14ac:dyDescent="0.25">
      <c r="A385">
        <v>100000</v>
      </c>
      <c r="O385" s="244" t="s">
        <v>229</v>
      </c>
    </row>
    <row r="386" spans="1:15" x14ac:dyDescent="0.25">
      <c r="A386">
        <v>100000</v>
      </c>
      <c r="O386" s="244" t="s">
        <v>229</v>
      </c>
    </row>
    <row r="387" spans="1:15" x14ac:dyDescent="0.25">
      <c r="A387">
        <v>100000</v>
      </c>
      <c r="O387" s="244" t="s">
        <v>229</v>
      </c>
    </row>
    <row r="388" spans="1:15" x14ac:dyDescent="0.25">
      <c r="A388">
        <v>100000</v>
      </c>
      <c r="O388" s="244" t="s">
        <v>229</v>
      </c>
    </row>
    <row r="389" spans="1:15" x14ac:dyDescent="0.25">
      <c r="A389">
        <v>100000</v>
      </c>
      <c r="O389" s="244" t="s">
        <v>229</v>
      </c>
    </row>
    <row r="390" spans="1:15" x14ac:dyDescent="0.25">
      <c r="A390">
        <v>100000</v>
      </c>
      <c r="O390" s="244" t="s">
        <v>229</v>
      </c>
    </row>
    <row r="391" spans="1:15" x14ac:dyDescent="0.25">
      <c r="A391">
        <v>100000</v>
      </c>
      <c r="O391" s="244" t="s">
        <v>229</v>
      </c>
    </row>
    <row r="392" spans="1:15" x14ac:dyDescent="0.25">
      <c r="A392">
        <v>100000</v>
      </c>
      <c r="O392" s="244" t="s">
        <v>229</v>
      </c>
    </row>
    <row r="393" spans="1:15" x14ac:dyDescent="0.25">
      <c r="A393">
        <v>100000</v>
      </c>
      <c r="O393" s="244" t="s">
        <v>229</v>
      </c>
    </row>
    <row r="394" spans="1:15" x14ac:dyDescent="0.25">
      <c r="A394">
        <v>100000</v>
      </c>
      <c r="O394" s="244" t="s">
        <v>229</v>
      </c>
    </row>
    <row r="395" spans="1:15" x14ac:dyDescent="0.25">
      <c r="A395">
        <v>100000</v>
      </c>
      <c r="O395" s="244" t="s">
        <v>229</v>
      </c>
    </row>
    <row r="396" spans="1:15" x14ac:dyDescent="0.25">
      <c r="A396">
        <v>100000</v>
      </c>
      <c r="O396" s="244" t="s">
        <v>229</v>
      </c>
    </row>
    <row r="397" spans="1:15" x14ac:dyDescent="0.25">
      <c r="A397">
        <v>100000</v>
      </c>
      <c r="O397" s="244" t="s">
        <v>229</v>
      </c>
    </row>
    <row r="398" spans="1:15" x14ac:dyDescent="0.25">
      <c r="A398">
        <v>100000</v>
      </c>
      <c r="O398" s="244" t="s">
        <v>229</v>
      </c>
    </row>
    <row r="399" spans="1:15" x14ac:dyDescent="0.25">
      <c r="A399">
        <v>100000</v>
      </c>
      <c r="O399" s="244" t="s">
        <v>229</v>
      </c>
    </row>
    <row r="400" spans="1:15" x14ac:dyDescent="0.25">
      <c r="A400">
        <v>100000</v>
      </c>
      <c r="O400" s="244" t="s">
        <v>229</v>
      </c>
    </row>
    <row r="401" spans="1:15" x14ac:dyDescent="0.25">
      <c r="A401">
        <v>100000</v>
      </c>
      <c r="O401" s="244" t="s">
        <v>229</v>
      </c>
    </row>
    <row r="402" spans="1:15" x14ac:dyDescent="0.25">
      <c r="A402">
        <v>100000</v>
      </c>
      <c r="O402" s="244" t="s">
        <v>229</v>
      </c>
    </row>
    <row r="403" spans="1:15" x14ac:dyDescent="0.25">
      <c r="A403">
        <v>100000</v>
      </c>
      <c r="O403" s="244" t="s">
        <v>229</v>
      </c>
    </row>
    <row r="404" spans="1:15" x14ac:dyDescent="0.25">
      <c r="A404">
        <v>100000</v>
      </c>
      <c r="O404" s="244" t="s">
        <v>229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8"/>
  <sheetViews>
    <sheetView topLeftCell="A121" zoomScale="85" zoomScaleNormal="85" workbookViewId="0">
      <selection activeCell="D71" sqref="D71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1" customWidth="1"/>
    <col min="16" max="16" width="16.7109375" style="34" customWidth="1"/>
    <col min="17" max="17" width="18" style="34" customWidth="1"/>
    <col min="18" max="18" width="11.140625" style="34" customWidth="1"/>
    <col min="19" max="19" width="15.42578125" style="82" customWidth="1"/>
    <col min="20" max="20" width="11.140625" style="82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5" t="s">
        <v>89</v>
      </c>
      <c r="P1" s="96"/>
      <c r="Q1" s="96"/>
      <c r="R1" s="96"/>
      <c r="S1" s="97"/>
      <c r="T1" s="97"/>
      <c r="U1" s="96"/>
      <c r="V1" s="96"/>
      <c r="W1" s="96"/>
    </row>
    <row r="2" spans="1:27" ht="18" customHeight="1" x14ac:dyDescent="0.25">
      <c r="B2" s="45" t="s">
        <v>5</v>
      </c>
      <c r="C2" s="45" t="s">
        <v>25</v>
      </c>
      <c r="D2" s="45" t="s">
        <v>26</v>
      </c>
      <c r="E2" s="45" t="s">
        <v>27</v>
      </c>
      <c r="F2" s="45" t="s">
        <v>28</v>
      </c>
      <c r="G2" s="45" t="s">
        <v>29</v>
      </c>
      <c r="H2" s="45" t="s">
        <v>46</v>
      </c>
      <c r="I2" s="46" t="s">
        <v>36</v>
      </c>
      <c r="J2" s="46" t="s">
        <v>122</v>
      </c>
      <c r="K2" s="46" t="s">
        <v>90</v>
      </c>
      <c r="L2" s="89"/>
      <c r="N2" s="84"/>
      <c r="O2" s="135" t="s">
        <v>5</v>
      </c>
      <c r="P2" s="135" t="s">
        <v>143</v>
      </c>
      <c r="Q2" s="135" t="s">
        <v>144</v>
      </c>
      <c r="R2" s="135" t="s">
        <v>145</v>
      </c>
      <c r="S2" s="135" t="s">
        <v>146</v>
      </c>
      <c r="T2" s="135" t="s">
        <v>87</v>
      </c>
      <c r="U2" s="135" t="s">
        <v>59</v>
      </c>
      <c r="V2" s="135" t="s">
        <v>147</v>
      </c>
      <c r="W2" s="135" t="s">
        <v>148</v>
      </c>
    </row>
    <row r="3" spans="1:27" ht="18" customHeight="1" x14ac:dyDescent="0.3">
      <c r="B3" s="114" t="s">
        <v>584</v>
      </c>
      <c r="C3" s="87" t="s">
        <v>259</v>
      </c>
      <c r="D3" s="87" t="s">
        <v>263</v>
      </c>
      <c r="E3" s="87" t="s">
        <v>696</v>
      </c>
      <c r="F3" s="154">
        <v>90890</v>
      </c>
      <c r="G3" s="87">
        <v>0</v>
      </c>
      <c r="H3" s="87">
        <v>8848805</v>
      </c>
      <c r="I3" s="127" t="s">
        <v>138</v>
      </c>
      <c r="J3" s="13" t="str">
        <f>VLOOKUP(-F3,$T$3:$W$55,4,FALSE)</f>
        <v>fact 11492794 Transporte , tec</v>
      </c>
      <c r="K3" s="13" t="str">
        <f>IFERROR(VLOOKUP(-F3,$T$3:$W$55,3,FALSE),"")</f>
        <v xml:space="preserve">Angelica Ramirez Muñoz                       </v>
      </c>
      <c r="L3" s="119" t="s">
        <v>763</v>
      </c>
      <c r="M3" s="119"/>
      <c r="N3" s="119"/>
      <c r="O3" s="143" t="s">
        <v>584</v>
      </c>
      <c r="P3" s="144" t="s">
        <v>585</v>
      </c>
      <c r="Q3" s="144" t="s">
        <v>586</v>
      </c>
      <c r="R3" s="144" t="s">
        <v>117</v>
      </c>
      <c r="S3" s="145" t="s">
        <v>587</v>
      </c>
      <c r="T3" s="148">
        <v>-350000</v>
      </c>
      <c r="U3" s="144" t="s">
        <v>115</v>
      </c>
      <c r="V3" s="144" t="s">
        <v>588</v>
      </c>
      <c r="W3" s="146" t="s">
        <v>589</v>
      </c>
      <c r="X3" s="210"/>
      <c r="Y3" s="210"/>
      <c r="AA3" s="4">
        <f t="shared" ref="AA3:AA20" si="0">VALUE(T3)</f>
        <v>-350000</v>
      </c>
    </row>
    <row r="4" spans="1:27" ht="18" customHeight="1" x14ac:dyDescent="0.3">
      <c r="B4" s="114" t="s">
        <v>584</v>
      </c>
      <c r="C4" s="87" t="s">
        <v>259</v>
      </c>
      <c r="D4" s="87" t="s">
        <v>263</v>
      </c>
      <c r="E4" s="87" t="s">
        <v>697</v>
      </c>
      <c r="F4" s="87">
        <v>147798</v>
      </c>
      <c r="G4" s="87">
        <v>0</v>
      </c>
      <c r="H4" s="87">
        <v>8701007</v>
      </c>
      <c r="I4" s="127" t="s">
        <v>138</v>
      </c>
      <c r="J4" s="13" t="str">
        <f t="shared" ref="J4:J52" si="1">VLOOKUP(-F4,$T$3:$W$55,4,FALSE)</f>
        <v>fact 188 DSI SpA</v>
      </c>
      <c r="K4" s="13" t="str">
        <f t="shared" ref="K4:K52" si="2">IFERROR(VLOOKUP(-F4,$T$3:$W$55,3,FALSE),"")</f>
        <v xml:space="preserve">Angelica Ramirez Muñoz                       </v>
      </c>
      <c r="L4" s="119" t="s">
        <v>763</v>
      </c>
      <c r="M4" s="119"/>
      <c r="N4" s="119"/>
      <c r="O4" s="143" t="s">
        <v>590</v>
      </c>
      <c r="P4" s="144" t="s">
        <v>591</v>
      </c>
      <c r="Q4" s="144" t="s">
        <v>592</v>
      </c>
      <c r="R4" s="144" t="s">
        <v>117</v>
      </c>
      <c r="S4" s="145" t="s">
        <v>593</v>
      </c>
      <c r="T4" s="148">
        <v>-480000</v>
      </c>
      <c r="U4" s="144" t="s">
        <v>115</v>
      </c>
      <c r="V4" s="144" t="s">
        <v>594</v>
      </c>
      <c r="W4" s="146" t="s">
        <v>595</v>
      </c>
      <c r="X4" s="210"/>
      <c r="Y4" s="210"/>
      <c r="AA4" s="4">
        <f t="shared" si="0"/>
        <v>-480000</v>
      </c>
    </row>
    <row r="5" spans="1:27" ht="18" customHeight="1" x14ac:dyDescent="0.3">
      <c r="B5" s="114" t="s">
        <v>584</v>
      </c>
      <c r="C5" s="87" t="s">
        <v>259</v>
      </c>
      <c r="D5" s="87" t="s">
        <v>263</v>
      </c>
      <c r="E5" s="87" t="s">
        <v>698</v>
      </c>
      <c r="F5" s="87">
        <v>75000</v>
      </c>
      <c r="G5" s="87">
        <v>0</v>
      </c>
      <c r="H5" s="87">
        <v>8626007</v>
      </c>
      <c r="I5" s="127" t="s">
        <v>30</v>
      </c>
      <c r="J5" s="13" t="str">
        <f t="shared" si="1"/>
        <v>Sueldo Junio 23</v>
      </c>
      <c r="K5" s="13" t="str">
        <f t="shared" si="2"/>
        <v xml:space="preserve">Isabel Quispe Machaca                        </v>
      </c>
      <c r="L5" s="119"/>
      <c r="M5" s="119"/>
      <c r="N5" s="119"/>
      <c r="O5" s="143" t="s">
        <v>590</v>
      </c>
      <c r="P5" s="144" t="s">
        <v>596</v>
      </c>
      <c r="Q5" s="144" t="s">
        <v>597</v>
      </c>
      <c r="R5" s="144" t="s">
        <v>598</v>
      </c>
      <c r="S5" s="145" t="s">
        <v>599</v>
      </c>
      <c r="T5" s="148">
        <v>283024</v>
      </c>
      <c r="U5" s="144" t="s">
        <v>600</v>
      </c>
      <c r="V5" s="144" t="s">
        <v>601</v>
      </c>
      <c r="W5" s="146"/>
      <c r="X5" s="210"/>
      <c r="Y5" s="210"/>
      <c r="AA5" s="4">
        <f t="shared" si="0"/>
        <v>283024</v>
      </c>
    </row>
    <row r="6" spans="1:27" ht="18" customHeight="1" x14ac:dyDescent="0.3">
      <c r="B6" s="114" t="s">
        <v>584</v>
      </c>
      <c r="C6" s="87" t="s">
        <v>259</v>
      </c>
      <c r="D6" s="87" t="s">
        <v>263</v>
      </c>
      <c r="E6" s="87" t="s">
        <v>699</v>
      </c>
      <c r="F6" s="87">
        <v>35000</v>
      </c>
      <c r="G6" s="87">
        <v>0</v>
      </c>
      <c r="H6" s="87">
        <v>8591007</v>
      </c>
      <c r="I6" s="127" t="s">
        <v>30</v>
      </c>
      <c r="J6" s="13" t="str">
        <f t="shared" si="1"/>
        <v>Sueldo Mayo23</v>
      </c>
      <c r="K6" s="13" t="str">
        <f t="shared" si="2"/>
        <v xml:space="preserve">Ximena Loza                                  </v>
      </c>
      <c r="L6" s="119"/>
      <c r="M6" s="119"/>
      <c r="N6" s="119"/>
      <c r="O6" s="143" t="s">
        <v>602</v>
      </c>
      <c r="P6" s="144" t="s">
        <v>603</v>
      </c>
      <c r="Q6" s="144" t="s">
        <v>604</v>
      </c>
      <c r="R6" s="144" t="s">
        <v>117</v>
      </c>
      <c r="S6" s="145" t="s">
        <v>605</v>
      </c>
      <c r="T6" s="148">
        <v>-340000</v>
      </c>
      <c r="U6" s="144" t="s">
        <v>115</v>
      </c>
      <c r="V6" s="144" t="s">
        <v>606</v>
      </c>
      <c r="W6" s="146" t="s">
        <v>607</v>
      </c>
      <c r="X6" s="210"/>
      <c r="Y6" s="210"/>
      <c r="AA6" s="4">
        <f t="shared" si="0"/>
        <v>-340000</v>
      </c>
    </row>
    <row r="7" spans="1:27" s="75" customFormat="1" ht="18" customHeight="1" x14ac:dyDescent="0.3">
      <c r="A7" s="4"/>
      <c r="B7" s="114" t="s">
        <v>584</v>
      </c>
      <c r="C7" s="87" t="s">
        <v>259</v>
      </c>
      <c r="D7" s="87" t="s">
        <v>263</v>
      </c>
      <c r="E7" s="87" t="s">
        <v>700</v>
      </c>
      <c r="F7" s="87">
        <v>35000</v>
      </c>
      <c r="G7" s="87">
        <v>0</v>
      </c>
      <c r="H7" s="87">
        <v>8556007</v>
      </c>
      <c r="I7" s="127" t="s">
        <v>30</v>
      </c>
      <c r="J7" s="13" t="str">
        <f t="shared" si="1"/>
        <v>Sueldo Mayo23</v>
      </c>
      <c r="K7" s="13" t="str">
        <f t="shared" si="2"/>
        <v xml:space="preserve">Ximena Loza                                  </v>
      </c>
      <c r="L7" s="119"/>
      <c r="M7" s="119"/>
      <c r="N7" s="119"/>
      <c r="O7" s="143" t="s">
        <v>602</v>
      </c>
      <c r="P7" s="144" t="s">
        <v>608</v>
      </c>
      <c r="Q7" s="144" t="s">
        <v>604</v>
      </c>
      <c r="R7" s="144" t="s">
        <v>117</v>
      </c>
      <c r="S7" s="145" t="s">
        <v>605</v>
      </c>
      <c r="T7" s="148">
        <v>-100000</v>
      </c>
      <c r="U7" s="144" t="s">
        <v>115</v>
      </c>
      <c r="V7" s="144" t="s">
        <v>606</v>
      </c>
      <c r="W7" s="146" t="s">
        <v>609</v>
      </c>
      <c r="X7" s="210"/>
      <c r="Y7" s="210"/>
      <c r="AA7" s="4">
        <f t="shared" si="0"/>
        <v>-100000</v>
      </c>
    </row>
    <row r="8" spans="1:27" ht="18" customHeight="1" x14ac:dyDescent="0.3">
      <c r="B8" s="114" t="s">
        <v>584</v>
      </c>
      <c r="C8" s="87" t="s">
        <v>259</v>
      </c>
      <c r="D8" s="87" t="s">
        <v>263</v>
      </c>
      <c r="E8" s="87" t="s">
        <v>701</v>
      </c>
      <c r="F8" s="87">
        <v>350000</v>
      </c>
      <c r="G8" s="87">
        <v>0</v>
      </c>
      <c r="H8" s="87">
        <v>8206007</v>
      </c>
      <c r="I8" s="127" t="s">
        <v>138</v>
      </c>
      <c r="J8" s="13" t="str">
        <f t="shared" si="1"/>
        <v>mant hotel 1</v>
      </c>
      <c r="K8" s="13" t="str">
        <f t="shared" si="2"/>
        <v xml:space="preserve">Filiberto Viillagra Catacora                 </v>
      </c>
      <c r="L8" s="119" t="s">
        <v>764</v>
      </c>
      <c r="M8" s="119"/>
      <c r="N8" s="119"/>
      <c r="O8" s="143" t="s">
        <v>610</v>
      </c>
      <c r="P8" s="144" t="s">
        <v>611</v>
      </c>
      <c r="Q8" s="144" t="s">
        <v>612</v>
      </c>
      <c r="R8" s="144" t="s">
        <v>116</v>
      </c>
      <c r="S8" s="145" t="s">
        <v>613</v>
      </c>
      <c r="T8" s="148">
        <v>-50000</v>
      </c>
      <c r="U8" s="144" t="s">
        <v>115</v>
      </c>
      <c r="V8" s="144" t="s">
        <v>614</v>
      </c>
      <c r="W8" s="146" t="s">
        <v>615</v>
      </c>
      <c r="X8" s="210"/>
      <c r="Y8" s="210"/>
      <c r="AA8" s="4">
        <f t="shared" si="0"/>
        <v>-50000</v>
      </c>
    </row>
    <row r="9" spans="1:27" ht="18" customHeight="1" x14ac:dyDescent="0.3">
      <c r="B9" s="114" t="s">
        <v>590</v>
      </c>
      <c r="C9" s="87" t="s">
        <v>104</v>
      </c>
      <c r="D9" s="87" t="s">
        <v>702</v>
      </c>
      <c r="E9" s="87" t="s">
        <v>265</v>
      </c>
      <c r="F9" s="87">
        <v>560928</v>
      </c>
      <c r="G9" s="87">
        <v>0</v>
      </c>
      <c r="H9" s="87">
        <v>7645079</v>
      </c>
      <c r="I9" s="127" t="s">
        <v>19</v>
      </c>
      <c r="J9" s="13" t="e">
        <f t="shared" si="1"/>
        <v>#N/A</v>
      </c>
      <c r="K9" s="13" t="str">
        <f t="shared" si="2"/>
        <v/>
      </c>
      <c r="L9" s="119"/>
      <c r="M9" s="119"/>
      <c r="N9" s="119"/>
      <c r="O9" s="143" t="s">
        <v>610</v>
      </c>
      <c r="P9" s="144" t="s">
        <v>616</v>
      </c>
      <c r="Q9" s="144" t="s">
        <v>604</v>
      </c>
      <c r="R9" s="144" t="s">
        <v>117</v>
      </c>
      <c r="S9" s="145" t="s">
        <v>605</v>
      </c>
      <c r="T9" s="148">
        <v>-50001</v>
      </c>
      <c r="U9" s="144" t="s">
        <v>115</v>
      </c>
      <c r="V9" s="144" t="s">
        <v>606</v>
      </c>
      <c r="W9" s="146" t="s">
        <v>617</v>
      </c>
      <c r="X9" s="210"/>
      <c r="Y9" s="210"/>
      <c r="AA9" s="4">
        <f t="shared" si="0"/>
        <v>-50001</v>
      </c>
    </row>
    <row r="10" spans="1:27" ht="18" customHeight="1" x14ac:dyDescent="0.3">
      <c r="B10" s="114" t="s">
        <v>602</v>
      </c>
      <c r="C10" s="87" t="s">
        <v>259</v>
      </c>
      <c r="D10" s="87" t="s">
        <v>703</v>
      </c>
      <c r="E10" s="87" t="s">
        <v>596</v>
      </c>
      <c r="F10" s="87">
        <v>0</v>
      </c>
      <c r="G10" s="87">
        <v>283024</v>
      </c>
      <c r="H10" s="87">
        <v>7928103</v>
      </c>
      <c r="I10" s="127" t="s">
        <v>141</v>
      </c>
      <c r="J10" s="13" t="e">
        <f t="shared" si="1"/>
        <v>#N/A</v>
      </c>
      <c r="K10" s="13" t="str">
        <f t="shared" si="2"/>
        <v/>
      </c>
      <c r="L10" s="119"/>
      <c r="M10" s="119"/>
      <c r="N10" s="119"/>
      <c r="O10" s="143" t="s">
        <v>618</v>
      </c>
      <c r="P10" s="144" t="s">
        <v>619</v>
      </c>
      <c r="Q10" s="144" t="s">
        <v>604</v>
      </c>
      <c r="R10" s="144" t="s">
        <v>117</v>
      </c>
      <c r="S10" s="145" t="s">
        <v>605</v>
      </c>
      <c r="T10" s="148">
        <v>-170000</v>
      </c>
      <c r="U10" s="144" t="s">
        <v>115</v>
      </c>
      <c r="V10" s="144" t="s">
        <v>606</v>
      </c>
      <c r="W10" s="146" t="s">
        <v>620</v>
      </c>
      <c r="X10" s="210"/>
      <c r="Y10" s="210"/>
      <c r="AA10" s="4">
        <f t="shared" si="0"/>
        <v>-170000</v>
      </c>
    </row>
    <row r="11" spans="1:27" ht="18" customHeight="1" x14ac:dyDescent="0.3">
      <c r="B11" s="114" t="s">
        <v>602</v>
      </c>
      <c r="C11" s="87" t="s">
        <v>259</v>
      </c>
      <c r="D11" s="87" t="s">
        <v>263</v>
      </c>
      <c r="E11" s="87" t="s">
        <v>704</v>
      </c>
      <c r="F11" s="87">
        <v>480000</v>
      </c>
      <c r="G11" s="87">
        <v>0</v>
      </c>
      <c r="H11" s="87">
        <v>7448103</v>
      </c>
      <c r="I11" s="127" t="s">
        <v>138</v>
      </c>
      <c r="J11" s="13" t="str">
        <f t="shared" si="1"/>
        <v>Tablero Electrico Hotel Pascu</v>
      </c>
      <c r="K11" s="13" t="str">
        <f t="shared" si="2"/>
        <v xml:space="preserve">Jaime Escobar                                </v>
      </c>
      <c r="L11" s="119"/>
      <c r="M11" s="119"/>
      <c r="N11" s="119"/>
      <c r="O11" s="143" t="s">
        <v>621</v>
      </c>
      <c r="P11" s="144" t="s">
        <v>622</v>
      </c>
      <c r="Q11" s="144" t="s">
        <v>586</v>
      </c>
      <c r="R11" s="144" t="s">
        <v>117</v>
      </c>
      <c r="S11" s="145" t="s">
        <v>587</v>
      </c>
      <c r="T11" s="148">
        <v>-100000</v>
      </c>
      <c r="U11" s="144" t="s">
        <v>115</v>
      </c>
      <c r="V11" s="144" t="s">
        <v>588</v>
      </c>
      <c r="W11" s="146" t="s">
        <v>623</v>
      </c>
      <c r="X11" s="210"/>
      <c r="Y11" s="210"/>
      <c r="AA11" s="4">
        <f t="shared" si="0"/>
        <v>-100000</v>
      </c>
    </row>
    <row r="12" spans="1:27" ht="18" customHeight="1" x14ac:dyDescent="0.3">
      <c r="B12" s="114" t="s">
        <v>602</v>
      </c>
      <c r="C12" s="87" t="s">
        <v>259</v>
      </c>
      <c r="D12" s="87" t="s">
        <v>263</v>
      </c>
      <c r="E12" s="87" t="s">
        <v>705</v>
      </c>
      <c r="F12" s="87">
        <v>100000</v>
      </c>
      <c r="G12" s="87">
        <v>0</v>
      </c>
      <c r="H12" s="87">
        <v>7348103</v>
      </c>
      <c r="I12" s="127" t="s">
        <v>138</v>
      </c>
      <c r="J12" s="13" t="str">
        <f t="shared" si="1"/>
        <v>maders</v>
      </c>
      <c r="K12" s="13" t="str">
        <f t="shared" si="2"/>
        <v xml:space="preserve">Jose Rivas                                   </v>
      </c>
      <c r="L12" s="119"/>
      <c r="M12" s="119"/>
      <c r="N12" s="119"/>
      <c r="O12" s="143" t="s">
        <v>621</v>
      </c>
      <c r="P12" s="144" t="s">
        <v>624</v>
      </c>
      <c r="Q12" s="144" t="s">
        <v>586</v>
      </c>
      <c r="R12" s="144" t="s">
        <v>117</v>
      </c>
      <c r="S12" s="145" t="s">
        <v>587</v>
      </c>
      <c r="T12" s="148">
        <v>-90000</v>
      </c>
      <c r="U12" s="144" t="s">
        <v>115</v>
      </c>
      <c r="V12" s="144" t="s">
        <v>588</v>
      </c>
      <c r="W12" s="146" t="s">
        <v>625</v>
      </c>
      <c r="X12" s="210"/>
      <c r="Y12" s="210"/>
      <c r="AA12" s="4">
        <f>VALUE(T12)</f>
        <v>-90000</v>
      </c>
    </row>
    <row r="13" spans="1:27" ht="18" customHeight="1" x14ac:dyDescent="0.3">
      <c r="B13" s="114" t="s">
        <v>602</v>
      </c>
      <c r="C13" s="87" t="s">
        <v>259</v>
      </c>
      <c r="D13" s="87" t="s">
        <v>263</v>
      </c>
      <c r="E13" s="87" t="s">
        <v>706</v>
      </c>
      <c r="F13" s="87">
        <v>340000</v>
      </c>
      <c r="G13" s="87">
        <v>0</v>
      </c>
      <c r="H13" s="87">
        <v>7008103</v>
      </c>
      <c r="I13" s="127" t="s">
        <v>138</v>
      </c>
      <c r="J13" s="13" t="str">
        <f t="shared" si="1"/>
        <v>mesas y sillas</v>
      </c>
      <c r="K13" s="13" t="str">
        <f t="shared" si="2"/>
        <v xml:space="preserve">Jose Rivas                                   </v>
      </c>
      <c r="L13" s="119"/>
      <c r="M13" s="119"/>
      <c r="N13" s="119"/>
      <c r="O13" s="143" t="s">
        <v>626</v>
      </c>
      <c r="P13" s="144" t="s">
        <v>627</v>
      </c>
      <c r="Q13" s="144" t="s">
        <v>447</v>
      </c>
      <c r="R13" s="144" t="s">
        <v>448</v>
      </c>
      <c r="S13" s="145" t="s">
        <v>449</v>
      </c>
      <c r="T13" s="148">
        <v>-1951600</v>
      </c>
      <c r="U13" s="144" t="s">
        <v>115</v>
      </c>
      <c r="V13" s="144" t="s">
        <v>450</v>
      </c>
      <c r="W13" s="146" t="s">
        <v>628</v>
      </c>
      <c r="X13" s="210"/>
      <c r="Y13" s="210"/>
      <c r="AA13" s="4">
        <f t="shared" si="0"/>
        <v>-1951600</v>
      </c>
    </row>
    <row r="14" spans="1:27" ht="18" customHeight="1" x14ac:dyDescent="0.3">
      <c r="B14" s="114" t="s">
        <v>610</v>
      </c>
      <c r="C14" s="87" t="s">
        <v>259</v>
      </c>
      <c r="D14" s="87" t="s">
        <v>263</v>
      </c>
      <c r="E14" s="87" t="s">
        <v>707</v>
      </c>
      <c r="F14" s="87">
        <v>50000</v>
      </c>
      <c r="G14" s="87">
        <v>0</v>
      </c>
      <c r="H14" s="87">
        <v>6958103</v>
      </c>
      <c r="I14" s="127" t="s">
        <v>139</v>
      </c>
      <c r="J14" s="13" t="str">
        <f t="shared" si="1"/>
        <v>cuotas mayo junio 23 Pascual</v>
      </c>
      <c r="K14" s="13" t="str">
        <f t="shared" si="2"/>
        <v xml:space="preserve">Jose Hernandez Calderon                      </v>
      </c>
      <c r="L14" s="119"/>
      <c r="M14" s="119"/>
      <c r="N14" s="119"/>
      <c r="O14" s="143" t="s">
        <v>626</v>
      </c>
      <c r="P14" s="144" t="s">
        <v>629</v>
      </c>
      <c r="Q14" s="144" t="s">
        <v>192</v>
      </c>
      <c r="R14" s="144" t="s">
        <v>193</v>
      </c>
      <c r="S14" s="145" t="s">
        <v>194</v>
      </c>
      <c r="T14" s="148">
        <v>-3025159</v>
      </c>
      <c r="U14" s="144" t="s">
        <v>115</v>
      </c>
      <c r="V14" s="144" t="s">
        <v>195</v>
      </c>
      <c r="W14" s="146" t="s">
        <v>630</v>
      </c>
      <c r="X14" s="210"/>
      <c r="Y14" s="210"/>
      <c r="AA14" s="4">
        <f t="shared" si="0"/>
        <v>-3025159</v>
      </c>
    </row>
    <row r="15" spans="1:27" ht="18" customHeight="1" x14ac:dyDescent="0.3">
      <c r="B15" s="114" t="s">
        <v>610</v>
      </c>
      <c r="C15" s="87" t="s">
        <v>259</v>
      </c>
      <c r="D15" s="87" t="s">
        <v>263</v>
      </c>
      <c r="E15" s="87" t="s">
        <v>708</v>
      </c>
      <c r="F15" s="87">
        <v>50001</v>
      </c>
      <c r="G15" s="87">
        <v>0</v>
      </c>
      <c r="H15" s="87">
        <v>6908103</v>
      </c>
      <c r="I15" s="127" t="s">
        <v>138</v>
      </c>
      <c r="J15" s="13" t="str">
        <f t="shared" si="1"/>
        <v>palos</v>
      </c>
      <c r="K15" s="13" t="str">
        <f t="shared" si="2"/>
        <v xml:space="preserve">Jose Rivas                                   </v>
      </c>
      <c r="L15" s="119"/>
      <c r="M15" s="119"/>
      <c r="N15" s="119"/>
      <c r="O15" s="143" t="s">
        <v>626</v>
      </c>
      <c r="P15" s="144" t="s">
        <v>631</v>
      </c>
      <c r="Q15" s="144" t="s">
        <v>232</v>
      </c>
      <c r="R15" s="144" t="s">
        <v>233</v>
      </c>
      <c r="S15" s="145" t="s">
        <v>234</v>
      </c>
      <c r="T15" s="148">
        <v>-280949</v>
      </c>
      <c r="U15" s="144" t="s">
        <v>115</v>
      </c>
      <c r="V15" s="144" t="s">
        <v>235</v>
      </c>
      <c r="W15" s="146" t="s">
        <v>632</v>
      </c>
      <c r="X15" s="210"/>
      <c r="Y15" s="210"/>
      <c r="AA15" s="4">
        <f t="shared" si="0"/>
        <v>-280949</v>
      </c>
    </row>
    <row r="16" spans="1:27" ht="18" customHeight="1" x14ac:dyDescent="0.3">
      <c r="B16" s="114" t="s">
        <v>610</v>
      </c>
      <c r="C16" s="87" t="s">
        <v>104</v>
      </c>
      <c r="D16" s="87" t="s">
        <v>709</v>
      </c>
      <c r="E16" s="87" t="s">
        <v>710</v>
      </c>
      <c r="F16" s="87">
        <v>15161</v>
      </c>
      <c r="G16" s="87">
        <v>0</v>
      </c>
      <c r="H16" s="87">
        <v>6892942</v>
      </c>
      <c r="I16" s="127" t="s">
        <v>136</v>
      </c>
      <c r="J16" s="13" t="e">
        <f t="shared" si="1"/>
        <v>#N/A</v>
      </c>
      <c r="K16" s="13" t="str">
        <f t="shared" si="2"/>
        <v/>
      </c>
      <c r="L16" s="119"/>
      <c r="M16" s="119"/>
      <c r="N16" s="119"/>
      <c r="O16" s="143" t="s">
        <v>626</v>
      </c>
      <c r="P16" s="144" t="s">
        <v>633</v>
      </c>
      <c r="Q16" s="144" t="s">
        <v>131</v>
      </c>
      <c r="R16" s="144" t="s">
        <v>634</v>
      </c>
      <c r="S16" s="145" t="s">
        <v>451</v>
      </c>
      <c r="T16" s="148">
        <v>5000000</v>
      </c>
      <c r="U16" s="144" t="s">
        <v>600</v>
      </c>
      <c r="V16" s="144" t="s">
        <v>635</v>
      </c>
      <c r="W16" s="146"/>
      <c r="X16" s="210"/>
      <c r="Y16" s="210"/>
      <c r="AA16" s="4">
        <f t="shared" si="0"/>
        <v>5000000</v>
      </c>
    </row>
    <row r="17" spans="2:27" ht="18" customHeight="1" x14ac:dyDescent="0.3">
      <c r="B17" s="114" t="s">
        <v>711</v>
      </c>
      <c r="C17" s="87" t="s">
        <v>259</v>
      </c>
      <c r="D17" s="87" t="s">
        <v>263</v>
      </c>
      <c r="E17" s="87" t="s">
        <v>712</v>
      </c>
      <c r="F17" s="87">
        <v>170000</v>
      </c>
      <c r="G17" s="87">
        <v>0</v>
      </c>
      <c r="H17" s="87">
        <v>6722942</v>
      </c>
      <c r="I17" s="127" t="s">
        <v>138</v>
      </c>
      <c r="J17" s="13" t="str">
        <f t="shared" si="1"/>
        <v>techo</v>
      </c>
      <c r="K17" s="13" t="str">
        <f t="shared" si="2"/>
        <v xml:space="preserve">Jose Rivas                                   </v>
      </c>
      <c r="L17" s="119"/>
      <c r="M17" s="119"/>
      <c r="N17" s="119"/>
      <c r="O17" s="143" t="s">
        <v>636</v>
      </c>
      <c r="P17" s="144" t="s">
        <v>637</v>
      </c>
      <c r="Q17" s="144" t="s">
        <v>131</v>
      </c>
      <c r="R17" s="144" t="s">
        <v>118</v>
      </c>
      <c r="S17" s="145" t="s">
        <v>168</v>
      </c>
      <c r="T17" s="148">
        <v>-2000000</v>
      </c>
      <c r="U17" s="144" t="s">
        <v>115</v>
      </c>
      <c r="V17" s="144" t="s">
        <v>132</v>
      </c>
      <c r="W17" s="146" t="s">
        <v>203</v>
      </c>
      <c r="X17" s="210"/>
      <c r="Y17" s="210"/>
      <c r="AA17" s="4">
        <f t="shared" si="0"/>
        <v>-2000000</v>
      </c>
    </row>
    <row r="18" spans="2:27" ht="18" customHeight="1" x14ac:dyDescent="0.3">
      <c r="B18" s="114" t="s">
        <v>621</v>
      </c>
      <c r="C18" s="87" t="s">
        <v>259</v>
      </c>
      <c r="D18" s="87" t="s">
        <v>263</v>
      </c>
      <c r="E18" s="87" t="s">
        <v>713</v>
      </c>
      <c r="F18" s="87">
        <v>90000</v>
      </c>
      <c r="G18" s="87">
        <v>0</v>
      </c>
      <c r="H18" s="87">
        <v>6632942</v>
      </c>
      <c r="I18" s="127" t="s">
        <v>138</v>
      </c>
      <c r="J18" s="13" t="str">
        <f t="shared" si="1"/>
        <v>arena filiberto</v>
      </c>
      <c r="K18" s="13" t="str">
        <f t="shared" si="2"/>
        <v xml:space="preserve">Filiberto Viillagra Catacora                 </v>
      </c>
      <c r="L18" s="119"/>
      <c r="M18" s="119"/>
      <c r="N18" s="119"/>
      <c r="O18" s="143" t="s">
        <v>638</v>
      </c>
      <c r="P18" s="144" t="s">
        <v>639</v>
      </c>
      <c r="Q18" s="144" t="s">
        <v>586</v>
      </c>
      <c r="R18" s="144" t="s">
        <v>117</v>
      </c>
      <c r="S18" s="145" t="s">
        <v>587</v>
      </c>
      <c r="T18" s="148">
        <v>-1000000</v>
      </c>
      <c r="U18" s="144" t="s">
        <v>115</v>
      </c>
      <c r="V18" s="144" t="s">
        <v>588</v>
      </c>
      <c r="W18" s="146" t="s">
        <v>640</v>
      </c>
      <c r="X18" s="210"/>
      <c r="Y18" s="210"/>
      <c r="AA18" s="4">
        <f t="shared" si="0"/>
        <v>-1000000</v>
      </c>
    </row>
    <row r="19" spans="2:27" ht="18" customHeight="1" x14ac:dyDescent="0.3">
      <c r="B19" s="114" t="s">
        <v>621</v>
      </c>
      <c r="C19" s="87" t="s">
        <v>259</v>
      </c>
      <c r="D19" s="87" t="s">
        <v>263</v>
      </c>
      <c r="E19" s="87" t="s">
        <v>714</v>
      </c>
      <c r="F19" s="87">
        <v>100000</v>
      </c>
      <c r="G19" s="87">
        <v>0</v>
      </c>
      <c r="H19" s="87">
        <v>6532942</v>
      </c>
      <c r="I19" s="127" t="s">
        <v>138</v>
      </c>
      <c r="J19" s="13" t="str">
        <f t="shared" si="1"/>
        <v>maders</v>
      </c>
      <c r="K19" s="13" t="str">
        <f t="shared" si="2"/>
        <v xml:space="preserve">Jose Rivas                                   </v>
      </c>
      <c r="L19" s="119"/>
      <c r="M19" s="119"/>
      <c r="N19" s="119"/>
      <c r="O19" s="143" t="s">
        <v>641</v>
      </c>
      <c r="P19" s="144" t="s">
        <v>642</v>
      </c>
      <c r="Q19" s="144" t="s">
        <v>643</v>
      </c>
      <c r="R19" s="144" t="s">
        <v>116</v>
      </c>
      <c r="S19" s="145" t="s">
        <v>644</v>
      </c>
      <c r="T19" s="148">
        <v>-130000</v>
      </c>
      <c r="U19" s="144" t="s">
        <v>115</v>
      </c>
      <c r="V19" s="144" t="s">
        <v>645</v>
      </c>
      <c r="W19" s="146" t="s">
        <v>646</v>
      </c>
      <c r="X19" s="210"/>
      <c r="Y19" s="210"/>
      <c r="AA19" s="4">
        <f t="shared" si="0"/>
        <v>-130000</v>
      </c>
    </row>
    <row r="20" spans="2:27" ht="18" customHeight="1" x14ac:dyDescent="0.3">
      <c r="B20" s="114" t="s">
        <v>626</v>
      </c>
      <c r="C20" s="87" t="s">
        <v>259</v>
      </c>
      <c r="D20" s="87" t="s">
        <v>263</v>
      </c>
      <c r="E20" s="87" t="s">
        <v>715</v>
      </c>
      <c r="F20" s="87">
        <v>3025159</v>
      </c>
      <c r="G20" s="87">
        <v>0</v>
      </c>
      <c r="H20" s="87">
        <v>3507783</v>
      </c>
      <c r="I20" s="127" t="s">
        <v>31</v>
      </c>
      <c r="J20" s="13" t="str">
        <f t="shared" si="1"/>
        <v>10256461 fact 1591389230</v>
      </c>
      <c r="K20" s="13" t="str">
        <f t="shared" si="2"/>
        <v xml:space="preserve">Pagos y Servicios Astropay Ltda              </v>
      </c>
      <c r="L20" s="119"/>
      <c r="M20" s="119"/>
      <c r="N20" s="119"/>
      <c r="O20" s="143" t="s">
        <v>641</v>
      </c>
      <c r="P20" s="144" t="s">
        <v>647</v>
      </c>
      <c r="Q20" s="144" t="s">
        <v>648</v>
      </c>
      <c r="R20" s="144" t="s">
        <v>118</v>
      </c>
      <c r="S20" s="145" t="s">
        <v>649</v>
      </c>
      <c r="T20" s="148">
        <v>-1531973</v>
      </c>
      <c r="U20" s="144" t="s">
        <v>115</v>
      </c>
      <c r="V20" s="144" t="s">
        <v>650</v>
      </c>
      <c r="W20" s="146" t="s">
        <v>651</v>
      </c>
      <c r="X20" s="210"/>
      <c r="Y20" s="210"/>
      <c r="AA20" s="4">
        <f t="shared" si="0"/>
        <v>-1531973</v>
      </c>
    </row>
    <row r="21" spans="2:27" ht="18" customHeight="1" x14ac:dyDescent="0.3">
      <c r="B21" s="114" t="s">
        <v>626</v>
      </c>
      <c r="C21" s="87" t="s">
        <v>259</v>
      </c>
      <c r="D21" s="87" t="s">
        <v>263</v>
      </c>
      <c r="E21" s="87" t="s">
        <v>716</v>
      </c>
      <c r="F21" s="87">
        <v>280949</v>
      </c>
      <c r="G21" s="87">
        <v>0</v>
      </c>
      <c r="H21" s="87">
        <v>3226834</v>
      </c>
      <c r="I21" s="127" t="s">
        <v>88</v>
      </c>
      <c r="J21" s="13" t="str">
        <f t="shared" si="1"/>
        <v>fact 2320534049</v>
      </c>
      <c r="K21" s="13" t="str">
        <f t="shared" si="2"/>
        <v xml:space="preserve">EXP Chile Limitada                           </v>
      </c>
      <c r="L21" s="119"/>
      <c r="M21" s="119"/>
      <c r="N21" s="119"/>
      <c r="O21" s="143" t="s">
        <v>652</v>
      </c>
      <c r="P21" s="144" t="s">
        <v>653</v>
      </c>
      <c r="Q21" s="144" t="s">
        <v>301</v>
      </c>
      <c r="R21" s="144" t="s">
        <v>270</v>
      </c>
      <c r="S21" s="145" t="s">
        <v>302</v>
      </c>
      <c r="T21" s="148">
        <v>-279933</v>
      </c>
      <c r="U21" s="144" t="s">
        <v>115</v>
      </c>
      <c r="V21" s="144" t="s">
        <v>303</v>
      </c>
      <c r="W21" s="146" t="s">
        <v>654</v>
      </c>
      <c r="X21" s="210"/>
      <c r="Y21" s="210"/>
    </row>
    <row r="22" spans="2:27" ht="18" customHeight="1" x14ac:dyDescent="0.3">
      <c r="B22" s="114" t="s">
        <v>626</v>
      </c>
      <c r="C22" s="87" t="s">
        <v>259</v>
      </c>
      <c r="D22" s="87" t="s">
        <v>263</v>
      </c>
      <c r="E22" s="87" t="s">
        <v>717</v>
      </c>
      <c r="F22" s="87">
        <v>1951600</v>
      </c>
      <c r="G22" s="87">
        <v>0</v>
      </c>
      <c r="H22" s="87">
        <v>1275234</v>
      </c>
      <c r="I22" s="127" t="s">
        <v>139</v>
      </c>
      <c r="J22" s="13" t="str">
        <f t="shared" si="1"/>
        <v>Contabilidad may 23</v>
      </c>
      <c r="K22" s="13" t="str">
        <f t="shared" si="2"/>
        <v xml:space="preserve">Jorge Baez Rojas                             </v>
      </c>
      <c r="L22" s="119"/>
      <c r="M22" s="119"/>
      <c r="N22" s="119"/>
      <c r="O22" s="143" t="s">
        <v>652</v>
      </c>
      <c r="P22" s="144" t="s">
        <v>655</v>
      </c>
      <c r="Q22" s="144" t="s">
        <v>131</v>
      </c>
      <c r="R22" s="144" t="s">
        <v>634</v>
      </c>
      <c r="S22" s="145" t="s">
        <v>451</v>
      </c>
      <c r="T22" s="148">
        <v>5000000</v>
      </c>
      <c r="U22" s="144" t="s">
        <v>600</v>
      </c>
      <c r="V22" s="144" t="s">
        <v>635</v>
      </c>
      <c r="W22" s="146"/>
      <c r="X22" s="210"/>
      <c r="Y22" s="210"/>
    </row>
    <row r="23" spans="2:27" ht="18" customHeight="1" x14ac:dyDescent="0.3">
      <c r="B23" s="114" t="s">
        <v>626</v>
      </c>
      <c r="C23" s="87" t="s">
        <v>259</v>
      </c>
      <c r="D23" s="87" t="s">
        <v>718</v>
      </c>
      <c r="E23" s="87" t="s">
        <v>633</v>
      </c>
      <c r="F23" s="87">
        <v>0</v>
      </c>
      <c r="G23" s="87">
        <v>5000000</v>
      </c>
      <c r="H23" s="87">
        <v>6275234</v>
      </c>
      <c r="I23" s="127" t="s">
        <v>107</v>
      </c>
      <c r="J23" s="13" t="e">
        <f t="shared" si="1"/>
        <v>#N/A</v>
      </c>
      <c r="K23" s="13" t="str">
        <f t="shared" si="2"/>
        <v/>
      </c>
      <c r="L23" s="119"/>
      <c r="M23" s="119"/>
      <c r="N23" s="119"/>
      <c r="O23" s="143" t="s">
        <v>656</v>
      </c>
      <c r="P23" s="144" t="s">
        <v>657</v>
      </c>
      <c r="Q23" s="144" t="s">
        <v>604</v>
      </c>
      <c r="R23" s="144" t="s">
        <v>117</v>
      </c>
      <c r="S23" s="145" t="s">
        <v>605</v>
      </c>
      <c r="T23" s="148">
        <v>-140000</v>
      </c>
      <c r="U23" s="144" t="s">
        <v>115</v>
      </c>
      <c r="V23" s="144" t="s">
        <v>606</v>
      </c>
      <c r="W23" s="146" t="s">
        <v>658</v>
      </c>
      <c r="X23" s="210"/>
      <c r="Y23" s="210"/>
    </row>
    <row r="24" spans="2:27" ht="18" customHeight="1" x14ac:dyDescent="0.3">
      <c r="B24" s="114" t="s">
        <v>638</v>
      </c>
      <c r="C24" s="87" t="s">
        <v>259</v>
      </c>
      <c r="D24" s="87" t="s">
        <v>262</v>
      </c>
      <c r="E24" s="87" t="s">
        <v>264</v>
      </c>
      <c r="F24" s="87">
        <v>2000000</v>
      </c>
      <c r="G24" s="87">
        <v>0</v>
      </c>
      <c r="H24" s="87">
        <v>4275234</v>
      </c>
      <c r="I24" s="127" t="s">
        <v>137</v>
      </c>
      <c r="J24" s="13" t="str">
        <f t="shared" si="1"/>
        <v xml:space="preserve"> </v>
      </c>
      <c r="K24" s="13" t="str">
        <f t="shared" si="2"/>
        <v>SOCIEDAD HOTELERA ZAMORA RAMIREZ HERMANOS LIM</v>
      </c>
      <c r="L24" s="119"/>
      <c r="M24" s="119"/>
      <c r="N24" s="119"/>
      <c r="O24" s="143" t="s">
        <v>659</v>
      </c>
      <c r="P24" s="144" t="s">
        <v>660</v>
      </c>
      <c r="Q24" s="144" t="s">
        <v>236</v>
      </c>
      <c r="R24" s="144" t="s">
        <v>117</v>
      </c>
      <c r="S24" s="145" t="s">
        <v>237</v>
      </c>
      <c r="T24" s="148">
        <v>-1487013</v>
      </c>
      <c r="U24" s="144" t="s">
        <v>115</v>
      </c>
      <c r="V24" s="144" t="s">
        <v>238</v>
      </c>
      <c r="W24" s="146" t="s">
        <v>661</v>
      </c>
      <c r="X24" s="210"/>
      <c r="Y24" s="210"/>
    </row>
    <row r="25" spans="2:27" ht="18" customHeight="1" x14ac:dyDescent="0.3">
      <c r="B25" s="114" t="s">
        <v>638</v>
      </c>
      <c r="C25" s="87" t="s">
        <v>259</v>
      </c>
      <c r="D25" s="87" t="s">
        <v>263</v>
      </c>
      <c r="E25" s="87" t="s">
        <v>719</v>
      </c>
      <c r="F25" s="87">
        <v>1000000</v>
      </c>
      <c r="G25" s="87">
        <v>0</v>
      </c>
      <c r="H25" s="87">
        <v>3275234</v>
      </c>
      <c r="I25" s="127" t="s">
        <v>138</v>
      </c>
      <c r="J25" s="13" t="str">
        <f t="shared" si="1"/>
        <v>trabajos hotel</v>
      </c>
      <c r="K25" s="13" t="str">
        <f t="shared" si="2"/>
        <v xml:space="preserve">Filiberto Viillagra Catacora                 </v>
      </c>
      <c r="L25" s="119"/>
      <c r="M25" s="119"/>
      <c r="N25" s="119"/>
      <c r="O25" s="143" t="s">
        <v>659</v>
      </c>
      <c r="P25" s="144" t="s">
        <v>662</v>
      </c>
      <c r="Q25" s="144" t="s">
        <v>247</v>
      </c>
      <c r="R25" s="144" t="s">
        <v>117</v>
      </c>
      <c r="S25" s="145" t="s">
        <v>248</v>
      </c>
      <c r="T25" s="148">
        <v>-630104</v>
      </c>
      <c r="U25" s="144" t="s">
        <v>115</v>
      </c>
      <c r="V25" s="144" t="s">
        <v>249</v>
      </c>
      <c r="W25" s="146" t="s">
        <v>661</v>
      </c>
      <c r="X25" s="210"/>
      <c r="Y25" s="210"/>
    </row>
    <row r="26" spans="2:27" ht="18" customHeight="1" x14ac:dyDescent="0.3">
      <c r="B26" s="114" t="s">
        <v>652</v>
      </c>
      <c r="C26" s="87" t="s">
        <v>259</v>
      </c>
      <c r="D26" s="87" t="s">
        <v>720</v>
      </c>
      <c r="E26" s="87" t="s">
        <v>721</v>
      </c>
      <c r="F26" s="87">
        <v>1531973</v>
      </c>
      <c r="G26" s="87">
        <v>0</v>
      </c>
      <c r="H26" s="87">
        <v>1743261</v>
      </c>
      <c r="I26" s="127" t="s">
        <v>140</v>
      </c>
      <c r="J26" s="13" t="str">
        <f t="shared" si="1"/>
        <v>Factura 37029</v>
      </c>
      <c r="K26" s="13" t="str">
        <f t="shared" si="2"/>
        <v xml:space="preserve">CESPA Ltda                                   </v>
      </c>
      <c r="L26" s="119"/>
      <c r="M26" s="119"/>
      <c r="N26" s="119"/>
      <c r="O26" s="143" t="s">
        <v>659</v>
      </c>
      <c r="P26" s="144" t="s">
        <v>663</v>
      </c>
      <c r="Q26" s="144" t="s">
        <v>286</v>
      </c>
      <c r="R26" s="144" t="s">
        <v>116</v>
      </c>
      <c r="S26" s="145" t="s">
        <v>287</v>
      </c>
      <c r="T26" s="148">
        <v>-1419865</v>
      </c>
      <c r="U26" s="144" t="s">
        <v>115</v>
      </c>
      <c r="V26" s="144" t="s">
        <v>288</v>
      </c>
      <c r="W26" s="146" t="s">
        <v>661</v>
      </c>
      <c r="X26" s="210"/>
      <c r="Y26" s="210"/>
    </row>
    <row r="27" spans="2:27" ht="18" customHeight="1" x14ac:dyDescent="0.3">
      <c r="B27" s="114" t="s">
        <v>652</v>
      </c>
      <c r="C27" s="87" t="s">
        <v>259</v>
      </c>
      <c r="D27" s="87" t="s">
        <v>263</v>
      </c>
      <c r="E27" s="87" t="s">
        <v>722</v>
      </c>
      <c r="F27" s="87">
        <v>130000</v>
      </c>
      <c r="G27" s="87">
        <v>0</v>
      </c>
      <c r="H27" s="87">
        <v>1613261</v>
      </c>
      <c r="I27" s="127" t="s">
        <v>138</v>
      </c>
      <c r="J27" s="13" t="str">
        <f t="shared" si="1"/>
        <v>factura 347</v>
      </c>
      <c r="K27" s="13" t="str">
        <f t="shared" si="2"/>
        <v xml:space="preserve">Agrovet Luz Gomez                            </v>
      </c>
      <c r="L27" s="119"/>
      <c r="M27" s="119"/>
      <c r="N27" s="119"/>
      <c r="O27" s="143" t="s">
        <v>659</v>
      </c>
      <c r="P27" s="144" t="s">
        <v>664</v>
      </c>
      <c r="Q27" s="144" t="s">
        <v>272</v>
      </c>
      <c r="R27" s="144" t="s">
        <v>270</v>
      </c>
      <c r="S27" s="145" t="s">
        <v>273</v>
      </c>
      <c r="T27" s="148">
        <v>-797590</v>
      </c>
      <c r="U27" s="144" t="s">
        <v>115</v>
      </c>
      <c r="V27" s="144" t="s">
        <v>274</v>
      </c>
      <c r="W27" s="146" t="s">
        <v>665</v>
      </c>
      <c r="X27" s="210"/>
      <c r="Y27" s="210"/>
    </row>
    <row r="28" spans="2:27" ht="18" customHeight="1" x14ac:dyDescent="0.3">
      <c r="B28" s="237" t="s">
        <v>652</v>
      </c>
      <c r="C28" s="238" t="s">
        <v>259</v>
      </c>
      <c r="D28" s="238" t="s">
        <v>433</v>
      </c>
      <c r="E28" s="238" t="s">
        <v>434</v>
      </c>
      <c r="F28" s="238">
        <v>1035715</v>
      </c>
      <c r="G28" s="238">
        <v>0</v>
      </c>
      <c r="H28" s="238">
        <v>577546</v>
      </c>
      <c r="I28" s="312"/>
      <c r="J28" s="326" t="e">
        <f t="shared" si="1"/>
        <v>#N/A</v>
      </c>
      <c r="K28" s="326" t="str">
        <f t="shared" si="2"/>
        <v/>
      </c>
      <c r="L28" s="119"/>
      <c r="M28" s="119"/>
      <c r="N28" s="119"/>
      <c r="O28" s="143" t="s">
        <v>659</v>
      </c>
      <c r="P28" s="144" t="s">
        <v>666</v>
      </c>
      <c r="Q28" s="144" t="s">
        <v>207</v>
      </c>
      <c r="R28" s="144" t="s">
        <v>116</v>
      </c>
      <c r="S28" s="145" t="s">
        <v>250</v>
      </c>
      <c r="T28" s="148">
        <v>-642395</v>
      </c>
      <c r="U28" s="144" t="s">
        <v>115</v>
      </c>
      <c r="V28" s="144" t="s">
        <v>208</v>
      </c>
      <c r="W28" s="146" t="s">
        <v>661</v>
      </c>
      <c r="X28" s="210"/>
      <c r="Y28" s="210"/>
    </row>
    <row r="29" spans="2:27" ht="18" customHeight="1" x14ac:dyDescent="0.3">
      <c r="B29" s="114" t="s">
        <v>652</v>
      </c>
      <c r="C29" s="87" t="s">
        <v>259</v>
      </c>
      <c r="D29" s="87" t="s">
        <v>718</v>
      </c>
      <c r="E29" s="87" t="s">
        <v>655</v>
      </c>
      <c r="F29" s="87">
        <v>0</v>
      </c>
      <c r="G29" s="87">
        <v>5000000</v>
      </c>
      <c r="H29" s="87">
        <v>5577546</v>
      </c>
      <c r="I29" s="127" t="s">
        <v>107</v>
      </c>
      <c r="J29" s="13" t="e">
        <f t="shared" si="1"/>
        <v>#N/A</v>
      </c>
      <c r="K29" s="13" t="str">
        <f t="shared" si="2"/>
        <v/>
      </c>
      <c r="L29" s="119"/>
      <c r="M29" s="119"/>
      <c r="N29" s="119"/>
      <c r="O29" s="143" t="s">
        <v>659</v>
      </c>
      <c r="P29" s="144" t="s">
        <v>667</v>
      </c>
      <c r="Q29" s="144" t="s">
        <v>289</v>
      </c>
      <c r="R29" s="144" t="s">
        <v>117</v>
      </c>
      <c r="S29" s="145" t="s">
        <v>290</v>
      </c>
      <c r="T29" s="148">
        <v>-500000</v>
      </c>
      <c r="U29" s="144" t="s">
        <v>115</v>
      </c>
      <c r="V29" s="144" t="s">
        <v>291</v>
      </c>
      <c r="W29" s="146" t="s">
        <v>668</v>
      </c>
      <c r="X29" s="210"/>
      <c r="Y29" s="210"/>
    </row>
    <row r="30" spans="2:27" ht="18" customHeight="1" x14ac:dyDescent="0.3">
      <c r="B30" s="114" t="s">
        <v>652</v>
      </c>
      <c r="C30" s="87" t="s">
        <v>259</v>
      </c>
      <c r="D30" s="87" t="s">
        <v>263</v>
      </c>
      <c r="E30" s="87" t="s">
        <v>723</v>
      </c>
      <c r="F30" s="87">
        <v>279933</v>
      </c>
      <c r="G30" s="87">
        <v>0</v>
      </c>
      <c r="H30" s="87">
        <v>5297613</v>
      </c>
      <c r="I30" s="127" t="s">
        <v>8</v>
      </c>
      <c r="J30" s="13" t="str">
        <f t="shared" si="1"/>
        <v>fact 1382165</v>
      </c>
      <c r="K30" s="13" t="str">
        <f t="shared" si="2"/>
        <v xml:space="preserve">Soc Comercial Conaripe Ltda                  </v>
      </c>
      <c r="L30" s="119"/>
      <c r="M30" s="119"/>
      <c r="N30" s="119"/>
      <c r="O30" s="143" t="s">
        <v>659</v>
      </c>
      <c r="P30" s="144" t="s">
        <v>669</v>
      </c>
      <c r="Q30" s="144" t="s">
        <v>206</v>
      </c>
      <c r="R30" s="144" t="s">
        <v>200</v>
      </c>
      <c r="S30" s="145" t="s">
        <v>670</v>
      </c>
      <c r="T30" s="148">
        <v>-624790</v>
      </c>
      <c r="U30" s="144" t="s">
        <v>115</v>
      </c>
      <c r="V30" s="144" t="s">
        <v>671</v>
      </c>
      <c r="W30" s="146" t="s">
        <v>661</v>
      </c>
      <c r="X30" s="210"/>
      <c r="Y30" s="210"/>
    </row>
    <row r="31" spans="2:27" ht="18" customHeight="1" x14ac:dyDescent="0.3">
      <c r="B31" s="114" t="s">
        <v>652</v>
      </c>
      <c r="C31" s="87" t="s">
        <v>259</v>
      </c>
      <c r="D31" s="87" t="s">
        <v>432</v>
      </c>
      <c r="E31" s="87"/>
      <c r="F31" s="87">
        <v>0</v>
      </c>
      <c r="G31" s="87">
        <v>46226000</v>
      </c>
      <c r="H31" s="87">
        <v>51523613</v>
      </c>
      <c r="I31" s="127" t="s">
        <v>107</v>
      </c>
      <c r="J31" s="13" t="e">
        <f t="shared" si="1"/>
        <v>#N/A</v>
      </c>
      <c r="K31" s="13" t="str">
        <f t="shared" si="2"/>
        <v/>
      </c>
      <c r="L31" s="119"/>
      <c r="M31" s="119"/>
      <c r="N31" s="119"/>
      <c r="O31" s="143" t="s">
        <v>659</v>
      </c>
      <c r="P31" s="144" t="s">
        <v>672</v>
      </c>
      <c r="Q31" s="144" t="s">
        <v>295</v>
      </c>
      <c r="R31" s="144" t="s">
        <v>117</v>
      </c>
      <c r="S31" s="145" t="s">
        <v>296</v>
      </c>
      <c r="T31" s="148">
        <v>-402525</v>
      </c>
      <c r="U31" s="144" t="s">
        <v>115</v>
      </c>
      <c r="V31" s="144" t="s">
        <v>297</v>
      </c>
      <c r="W31" s="146" t="s">
        <v>440</v>
      </c>
      <c r="X31" s="210"/>
      <c r="Y31" s="210"/>
    </row>
    <row r="32" spans="2:27" ht="18" customHeight="1" x14ac:dyDescent="0.3">
      <c r="B32" s="114" t="s">
        <v>652</v>
      </c>
      <c r="C32" s="87" t="s">
        <v>259</v>
      </c>
      <c r="D32" s="87" t="s">
        <v>724</v>
      </c>
      <c r="E32" s="87"/>
      <c r="F32" s="87">
        <v>23857</v>
      </c>
      <c r="G32" s="87">
        <v>0</v>
      </c>
      <c r="H32" s="87">
        <v>51499756</v>
      </c>
      <c r="I32" s="127" t="s">
        <v>136</v>
      </c>
      <c r="J32" s="13" t="e">
        <f t="shared" si="1"/>
        <v>#N/A</v>
      </c>
      <c r="K32" s="13" t="str">
        <f t="shared" si="2"/>
        <v/>
      </c>
      <c r="L32" s="119"/>
      <c r="M32" s="119"/>
      <c r="N32" s="119"/>
      <c r="O32" s="143" t="s">
        <v>659</v>
      </c>
      <c r="P32" s="144" t="s">
        <v>673</v>
      </c>
      <c r="Q32" s="144" t="s">
        <v>674</v>
      </c>
      <c r="R32" s="144" t="s">
        <v>117</v>
      </c>
      <c r="S32" s="145" t="s">
        <v>675</v>
      </c>
      <c r="T32" s="148">
        <v>-383045</v>
      </c>
      <c r="U32" s="144" t="s">
        <v>115</v>
      </c>
      <c r="V32" s="144" t="s">
        <v>676</v>
      </c>
      <c r="W32" s="146" t="s">
        <v>665</v>
      </c>
      <c r="X32" s="210"/>
      <c r="Y32" s="210"/>
    </row>
    <row r="33" spans="2:25" ht="18" customHeight="1" x14ac:dyDescent="0.3">
      <c r="B33" s="114" t="s">
        <v>656</v>
      </c>
      <c r="C33" s="87" t="s">
        <v>259</v>
      </c>
      <c r="D33" s="87" t="s">
        <v>263</v>
      </c>
      <c r="E33" s="87" t="s">
        <v>725</v>
      </c>
      <c r="F33" s="87">
        <v>140000</v>
      </c>
      <c r="G33" s="87">
        <v>0</v>
      </c>
      <c r="H33" s="87">
        <v>51359756</v>
      </c>
      <c r="I33" s="127" t="s">
        <v>138</v>
      </c>
      <c r="J33" s="13" t="str">
        <f t="shared" si="1"/>
        <v>Mantenimiento 2023</v>
      </c>
      <c r="K33" s="13" t="str">
        <f t="shared" si="2"/>
        <v xml:space="preserve">Jose Rivas                                   </v>
      </c>
      <c r="L33" s="119"/>
      <c r="M33" s="119"/>
      <c r="N33" s="119"/>
      <c r="O33" s="143" t="s">
        <v>659</v>
      </c>
      <c r="P33" s="144" t="s">
        <v>677</v>
      </c>
      <c r="Q33" s="144" t="s">
        <v>678</v>
      </c>
      <c r="R33" s="144" t="s">
        <v>117</v>
      </c>
      <c r="S33" s="145" t="s">
        <v>679</v>
      </c>
      <c r="T33" s="148">
        <v>-225000</v>
      </c>
      <c r="U33" s="144" t="s">
        <v>115</v>
      </c>
      <c r="V33" s="144" t="s">
        <v>680</v>
      </c>
      <c r="W33" s="146" t="s">
        <v>668</v>
      </c>
      <c r="X33" s="210"/>
      <c r="Y33" s="210"/>
    </row>
    <row r="34" spans="2:25" ht="18" customHeight="1" x14ac:dyDescent="0.3">
      <c r="B34" s="114" t="s">
        <v>693</v>
      </c>
      <c r="C34" s="87" t="s">
        <v>259</v>
      </c>
      <c r="D34" s="87" t="s">
        <v>263</v>
      </c>
      <c r="E34" s="87" t="s">
        <v>726</v>
      </c>
      <c r="F34" s="87">
        <v>500000</v>
      </c>
      <c r="G34" s="87">
        <v>0</v>
      </c>
      <c r="H34" s="87">
        <v>50859756</v>
      </c>
      <c r="I34" s="127" t="s">
        <v>30</v>
      </c>
      <c r="J34" s="13" t="str">
        <f t="shared" si="1"/>
        <v>sueldo jun 23</v>
      </c>
      <c r="K34" s="13" t="str">
        <f t="shared" si="2"/>
        <v xml:space="preserve">NATALIA CASTAÑO                              </v>
      </c>
      <c r="L34" s="119"/>
      <c r="M34" s="119"/>
      <c r="N34" s="119"/>
      <c r="O34" s="143" t="s">
        <v>659</v>
      </c>
      <c r="P34" s="144" t="s">
        <v>681</v>
      </c>
      <c r="Q34" s="144" t="s">
        <v>157</v>
      </c>
      <c r="R34" s="144" t="s">
        <v>117</v>
      </c>
      <c r="S34" s="145" t="s">
        <v>169</v>
      </c>
      <c r="T34" s="148">
        <v>-509692</v>
      </c>
      <c r="U34" s="144" t="s">
        <v>115</v>
      </c>
      <c r="V34" s="144" t="s">
        <v>171</v>
      </c>
      <c r="W34" s="146" t="s">
        <v>661</v>
      </c>
      <c r="X34" s="210"/>
      <c r="Y34" s="210"/>
    </row>
    <row r="35" spans="2:25" ht="18" customHeight="1" x14ac:dyDescent="0.3">
      <c r="B35" s="114" t="s">
        <v>693</v>
      </c>
      <c r="C35" s="87" t="s">
        <v>259</v>
      </c>
      <c r="D35" s="87" t="s">
        <v>263</v>
      </c>
      <c r="E35" s="87" t="s">
        <v>727</v>
      </c>
      <c r="F35" s="87">
        <v>402525</v>
      </c>
      <c r="G35" s="87">
        <v>0</v>
      </c>
      <c r="H35" s="87">
        <v>50457231</v>
      </c>
      <c r="I35" s="127" t="s">
        <v>30</v>
      </c>
      <c r="J35" s="13" t="str">
        <f t="shared" si="1"/>
        <v>Sueldo Mayo23</v>
      </c>
      <c r="K35" s="13" t="str">
        <f t="shared" si="2"/>
        <v xml:space="preserve">Silvia Perez Ibarra                          </v>
      </c>
      <c r="L35" s="119"/>
      <c r="M35" s="119"/>
      <c r="N35" s="84"/>
      <c r="O35" s="143" t="s">
        <v>659</v>
      </c>
      <c r="P35" s="144" t="s">
        <v>682</v>
      </c>
      <c r="Q35" s="144" t="s">
        <v>295</v>
      </c>
      <c r="R35" s="144" t="s">
        <v>117</v>
      </c>
      <c r="S35" s="145" t="s">
        <v>296</v>
      </c>
      <c r="T35" s="148">
        <v>-292612</v>
      </c>
      <c r="U35" s="144" t="s">
        <v>115</v>
      </c>
      <c r="V35" s="144" t="s">
        <v>297</v>
      </c>
      <c r="W35" s="146" t="s">
        <v>665</v>
      </c>
      <c r="X35" s="210"/>
      <c r="Y35" s="210"/>
    </row>
    <row r="36" spans="2:25" ht="18" customHeight="1" x14ac:dyDescent="0.3">
      <c r="B36" s="114" t="s">
        <v>693</v>
      </c>
      <c r="C36" s="87" t="s">
        <v>259</v>
      </c>
      <c r="D36" s="87" t="s">
        <v>263</v>
      </c>
      <c r="E36" s="87" t="s">
        <v>728</v>
      </c>
      <c r="F36" s="87">
        <v>624790</v>
      </c>
      <c r="G36" s="87">
        <v>0</v>
      </c>
      <c r="H36" s="87">
        <v>49832441</v>
      </c>
      <c r="I36" s="127" t="s">
        <v>30</v>
      </c>
      <c r="J36" s="13" t="str">
        <f t="shared" si="1"/>
        <v>sueldo junio 23</v>
      </c>
      <c r="K36" s="13" t="str">
        <f t="shared" si="2"/>
        <v xml:space="preserve">NILDA CCAMA AYMA                             </v>
      </c>
      <c r="L36" s="119"/>
      <c r="M36" s="119"/>
      <c r="N36" s="84"/>
      <c r="O36" s="143" t="s">
        <v>659</v>
      </c>
      <c r="P36" s="144" t="s">
        <v>683</v>
      </c>
      <c r="Q36" s="144" t="s">
        <v>684</v>
      </c>
      <c r="R36" s="144" t="s">
        <v>117</v>
      </c>
      <c r="S36" s="145" t="s">
        <v>685</v>
      </c>
      <c r="T36" s="148">
        <v>-290975</v>
      </c>
      <c r="U36" s="144" t="s">
        <v>115</v>
      </c>
      <c r="V36" s="144" t="s">
        <v>686</v>
      </c>
      <c r="W36" s="146" t="s">
        <v>661</v>
      </c>
      <c r="X36" s="210"/>
      <c r="Y36" s="210"/>
    </row>
    <row r="37" spans="2:25" ht="18" customHeight="1" x14ac:dyDescent="0.3">
      <c r="B37" s="114" t="s">
        <v>693</v>
      </c>
      <c r="C37" s="87" t="s">
        <v>259</v>
      </c>
      <c r="D37" s="87" t="s">
        <v>263</v>
      </c>
      <c r="E37" s="87" t="s">
        <v>729</v>
      </c>
      <c r="F37" s="87">
        <v>509692</v>
      </c>
      <c r="G37" s="87">
        <v>0</v>
      </c>
      <c r="H37" s="87">
        <v>49322749</v>
      </c>
      <c r="I37" s="127" t="s">
        <v>30</v>
      </c>
      <c r="J37" s="13" t="str">
        <f t="shared" si="1"/>
        <v>sueldo junio 23</v>
      </c>
      <c r="K37" s="13" t="str">
        <f t="shared" si="2"/>
        <v xml:space="preserve">Luis Arias                                   </v>
      </c>
      <c r="L37" s="119"/>
      <c r="M37" s="119"/>
      <c r="N37" s="84"/>
      <c r="O37" s="143" t="s">
        <v>659</v>
      </c>
      <c r="P37" s="144" t="s">
        <v>687</v>
      </c>
      <c r="Q37" s="144" t="s">
        <v>292</v>
      </c>
      <c r="R37" s="144" t="s">
        <v>117</v>
      </c>
      <c r="S37" s="145" t="s">
        <v>293</v>
      </c>
      <c r="T37" s="148">
        <v>-175000</v>
      </c>
      <c r="U37" s="144" t="s">
        <v>115</v>
      </c>
      <c r="V37" s="144" t="s">
        <v>294</v>
      </c>
      <c r="W37" s="146" t="s">
        <v>688</v>
      </c>
      <c r="X37" s="210"/>
      <c r="Y37" s="210"/>
    </row>
    <row r="38" spans="2:25" ht="18" customHeight="1" x14ac:dyDescent="0.3">
      <c r="B38" s="114" t="s">
        <v>693</v>
      </c>
      <c r="C38" s="87" t="s">
        <v>259</v>
      </c>
      <c r="D38" s="87" t="s">
        <v>263</v>
      </c>
      <c r="E38" s="87" t="s">
        <v>730</v>
      </c>
      <c r="F38" s="87">
        <v>75000</v>
      </c>
      <c r="G38" s="87">
        <v>0</v>
      </c>
      <c r="H38" s="87">
        <v>49247749</v>
      </c>
      <c r="I38" s="127" t="s">
        <v>30</v>
      </c>
      <c r="J38" s="13" t="str">
        <f t="shared" si="1"/>
        <v>Sueldo Junio 23</v>
      </c>
      <c r="K38" s="13" t="str">
        <f t="shared" si="2"/>
        <v xml:space="preserve">Isabel Quispe Machaca                        </v>
      </c>
      <c r="L38" s="119"/>
      <c r="M38" s="119"/>
      <c r="N38" s="84"/>
      <c r="O38" s="143" t="s">
        <v>659</v>
      </c>
      <c r="P38" s="144" t="s">
        <v>689</v>
      </c>
      <c r="Q38" s="144" t="s">
        <v>674</v>
      </c>
      <c r="R38" s="144" t="s">
        <v>117</v>
      </c>
      <c r="S38" s="145" t="s">
        <v>675</v>
      </c>
      <c r="T38" s="148">
        <v>-87500</v>
      </c>
      <c r="U38" s="144" t="s">
        <v>115</v>
      </c>
      <c r="V38" s="144" t="s">
        <v>676</v>
      </c>
      <c r="W38" s="146" t="s">
        <v>668</v>
      </c>
      <c r="X38" s="210"/>
    </row>
    <row r="39" spans="2:25" ht="18" customHeight="1" x14ac:dyDescent="0.3">
      <c r="B39" s="114" t="s">
        <v>693</v>
      </c>
      <c r="C39" s="87" t="s">
        <v>259</v>
      </c>
      <c r="D39" s="87" t="s">
        <v>263</v>
      </c>
      <c r="E39" s="87" t="s">
        <v>731</v>
      </c>
      <c r="F39" s="87">
        <v>75000</v>
      </c>
      <c r="G39" s="87">
        <v>0</v>
      </c>
      <c r="H39" s="87">
        <v>49172749</v>
      </c>
      <c r="I39" s="127" t="s">
        <v>30</v>
      </c>
      <c r="J39" s="13" t="str">
        <f t="shared" si="1"/>
        <v>Sueldo Junio 23</v>
      </c>
      <c r="K39" s="13" t="str">
        <f t="shared" si="2"/>
        <v xml:space="preserve">Isabel Quispe Machaca                        </v>
      </c>
      <c r="L39" s="119"/>
      <c r="M39" s="119"/>
      <c r="N39" s="84"/>
      <c r="O39" s="143" t="s">
        <v>659</v>
      </c>
      <c r="P39" s="144" t="s">
        <v>690</v>
      </c>
      <c r="Q39" s="144" t="s">
        <v>239</v>
      </c>
      <c r="R39" s="144" t="s">
        <v>117</v>
      </c>
      <c r="S39" s="145" t="s">
        <v>240</v>
      </c>
      <c r="T39" s="148">
        <v>-75000</v>
      </c>
      <c r="U39" s="144" t="s">
        <v>115</v>
      </c>
      <c r="V39" s="144" t="s">
        <v>241</v>
      </c>
      <c r="W39" s="146" t="s">
        <v>691</v>
      </c>
      <c r="X39" s="210"/>
    </row>
    <row r="40" spans="2:25" ht="18" customHeight="1" x14ac:dyDescent="0.3">
      <c r="B40" s="114" t="s">
        <v>693</v>
      </c>
      <c r="C40" s="87" t="s">
        <v>259</v>
      </c>
      <c r="D40" s="87" t="s">
        <v>263</v>
      </c>
      <c r="E40" s="87" t="s">
        <v>732</v>
      </c>
      <c r="F40" s="87">
        <v>175000</v>
      </c>
      <c r="G40" s="87">
        <v>0</v>
      </c>
      <c r="H40" s="87">
        <v>48997749</v>
      </c>
      <c r="I40" s="127" t="s">
        <v>30</v>
      </c>
      <c r="J40" s="13" t="str">
        <f t="shared" si="1"/>
        <v>Sueldojun23</v>
      </c>
      <c r="K40" s="13" t="str">
        <f t="shared" si="2"/>
        <v xml:space="preserve">Juany Estelo Cruz                            </v>
      </c>
      <c r="L40" s="119"/>
      <c r="M40" s="119"/>
      <c r="N40" s="84"/>
      <c r="O40" s="143" t="s">
        <v>659</v>
      </c>
      <c r="P40" s="144" t="s">
        <v>692</v>
      </c>
      <c r="Q40" s="144" t="s">
        <v>298</v>
      </c>
      <c r="R40" s="144" t="s">
        <v>200</v>
      </c>
      <c r="S40" s="145" t="s">
        <v>299</v>
      </c>
      <c r="T40" s="148">
        <v>-75000</v>
      </c>
      <c r="U40" s="144" t="s">
        <v>115</v>
      </c>
      <c r="V40" s="144" t="s">
        <v>300</v>
      </c>
      <c r="W40" s="146" t="s">
        <v>661</v>
      </c>
    </row>
    <row r="41" spans="2:25" ht="18" customHeight="1" x14ac:dyDescent="0.3">
      <c r="B41" s="114" t="s">
        <v>693</v>
      </c>
      <c r="C41" s="87" t="s">
        <v>259</v>
      </c>
      <c r="D41" s="87" t="s">
        <v>263</v>
      </c>
      <c r="E41" s="87" t="s">
        <v>733</v>
      </c>
      <c r="F41" s="87">
        <v>87500</v>
      </c>
      <c r="G41" s="87">
        <v>0</v>
      </c>
      <c r="H41" s="87">
        <v>48910249</v>
      </c>
      <c r="I41" s="127" t="s">
        <v>30</v>
      </c>
      <c r="J41" s="13" t="str">
        <f t="shared" si="1"/>
        <v>sueldo jun 23</v>
      </c>
      <c r="K41" s="13" t="str">
        <f t="shared" si="2"/>
        <v xml:space="preserve">Camila Marrazzo                              </v>
      </c>
      <c r="L41" s="119"/>
      <c r="M41" s="119"/>
      <c r="N41" s="84"/>
      <c r="O41" s="143" t="s">
        <v>693</v>
      </c>
      <c r="P41" s="144" t="s">
        <v>694</v>
      </c>
      <c r="Q41" s="144" t="s">
        <v>586</v>
      </c>
      <c r="R41" s="144" t="s">
        <v>117</v>
      </c>
      <c r="S41" s="145" t="s">
        <v>587</v>
      </c>
      <c r="T41" s="148">
        <v>-898000</v>
      </c>
      <c r="U41" s="144" t="s">
        <v>115</v>
      </c>
      <c r="V41" s="144" t="s">
        <v>588</v>
      </c>
      <c r="W41" s="146" t="s">
        <v>695</v>
      </c>
    </row>
    <row r="42" spans="2:25" ht="18" customHeight="1" x14ac:dyDescent="0.3">
      <c r="B42" s="114" t="s">
        <v>693</v>
      </c>
      <c r="C42" s="87" t="s">
        <v>259</v>
      </c>
      <c r="D42" s="87" t="s">
        <v>263</v>
      </c>
      <c r="E42" s="87" t="s">
        <v>734</v>
      </c>
      <c r="F42" s="87">
        <v>292612</v>
      </c>
      <c r="G42" s="87">
        <v>0</v>
      </c>
      <c r="H42" s="87">
        <v>48617637</v>
      </c>
      <c r="I42" s="127" t="s">
        <v>30</v>
      </c>
      <c r="J42" s="13" t="str">
        <f t="shared" si="1"/>
        <v>Sueldo junio23</v>
      </c>
      <c r="K42" s="13" t="str">
        <f t="shared" si="2"/>
        <v xml:space="preserve">Silvia Perez Ibarra                          </v>
      </c>
      <c r="L42" s="119"/>
      <c r="M42" s="119"/>
      <c r="N42" s="84"/>
      <c r="O42" s="226" t="s">
        <v>405</v>
      </c>
      <c r="P42" s="222" t="s">
        <v>435</v>
      </c>
      <c r="Q42" s="222" t="s">
        <v>236</v>
      </c>
      <c r="R42" s="222" t="s">
        <v>117</v>
      </c>
      <c r="S42" s="223" t="s">
        <v>237</v>
      </c>
      <c r="T42" s="224">
        <v>-147798</v>
      </c>
      <c r="U42" s="222" t="s">
        <v>115</v>
      </c>
      <c r="V42" s="222" t="s">
        <v>238</v>
      </c>
      <c r="W42" s="225" t="s">
        <v>436</v>
      </c>
    </row>
    <row r="43" spans="2:25" ht="18" customHeight="1" x14ac:dyDescent="0.3">
      <c r="B43" s="114" t="s">
        <v>693</v>
      </c>
      <c r="C43" s="87" t="s">
        <v>259</v>
      </c>
      <c r="D43" s="87" t="s">
        <v>263</v>
      </c>
      <c r="E43" s="87" t="s">
        <v>735</v>
      </c>
      <c r="F43" s="87">
        <v>383045</v>
      </c>
      <c r="G43" s="87">
        <v>0</v>
      </c>
      <c r="H43" s="87">
        <v>48234592</v>
      </c>
      <c r="I43" s="127" t="s">
        <v>30</v>
      </c>
      <c r="J43" s="13" t="str">
        <f t="shared" si="1"/>
        <v>Sueldo junio23</v>
      </c>
      <c r="K43" s="13" t="str">
        <f t="shared" si="2"/>
        <v xml:space="preserve">Camila Marrazzo                              </v>
      </c>
      <c r="L43" s="119"/>
      <c r="M43" s="119"/>
      <c r="N43" s="84"/>
      <c r="O43" s="226" t="s">
        <v>405</v>
      </c>
      <c r="P43" s="222" t="s">
        <v>437</v>
      </c>
      <c r="Q43" s="222" t="s">
        <v>236</v>
      </c>
      <c r="R43" s="222" t="s">
        <v>117</v>
      </c>
      <c r="S43" s="223" t="s">
        <v>237</v>
      </c>
      <c r="T43" s="224">
        <v>-90890</v>
      </c>
      <c r="U43" s="222" t="s">
        <v>115</v>
      </c>
      <c r="V43" s="222" t="s">
        <v>238</v>
      </c>
      <c r="W43" s="225" t="s">
        <v>438</v>
      </c>
    </row>
    <row r="44" spans="2:25" ht="18" customHeight="1" x14ac:dyDescent="0.3">
      <c r="B44" s="114" t="s">
        <v>693</v>
      </c>
      <c r="C44" s="87" t="s">
        <v>259</v>
      </c>
      <c r="D44" s="87" t="s">
        <v>263</v>
      </c>
      <c r="E44" s="87" t="s">
        <v>736</v>
      </c>
      <c r="F44" s="87">
        <v>225000</v>
      </c>
      <c r="G44" s="87">
        <v>0</v>
      </c>
      <c r="H44" s="87">
        <v>48009592</v>
      </c>
      <c r="I44" s="127" t="s">
        <v>30</v>
      </c>
      <c r="J44" s="13" t="str">
        <f t="shared" si="1"/>
        <v>sueldo jun 23</v>
      </c>
      <c r="K44" s="13" t="str">
        <f t="shared" si="2"/>
        <v xml:space="preserve">Diana Mascaya Zabal                          </v>
      </c>
      <c r="L44" s="119"/>
      <c r="M44" s="119"/>
      <c r="N44" s="84"/>
      <c r="O44" s="226" t="s">
        <v>405</v>
      </c>
      <c r="P44" s="222" t="s">
        <v>439</v>
      </c>
      <c r="Q44" s="222" t="s">
        <v>207</v>
      </c>
      <c r="R44" s="222" t="s">
        <v>116</v>
      </c>
      <c r="S44" s="223" t="s">
        <v>250</v>
      </c>
      <c r="T44" s="224">
        <v>-35000</v>
      </c>
      <c r="U44" s="222" t="s">
        <v>115</v>
      </c>
      <c r="V44" s="222" t="s">
        <v>208</v>
      </c>
      <c r="W44" s="225" t="s">
        <v>440</v>
      </c>
    </row>
    <row r="45" spans="2:25" ht="18" customHeight="1" x14ac:dyDescent="0.3">
      <c r="B45" s="114" t="s">
        <v>693</v>
      </c>
      <c r="C45" s="87" t="s">
        <v>259</v>
      </c>
      <c r="D45" s="87" t="s">
        <v>263</v>
      </c>
      <c r="E45" s="87" t="s">
        <v>737</v>
      </c>
      <c r="F45" s="87">
        <v>290975</v>
      </c>
      <c r="G45" s="87">
        <v>0</v>
      </c>
      <c r="H45" s="87">
        <v>47718617</v>
      </c>
      <c r="I45" s="127" t="s">
        <v>30</v>
      </c>
      <c r="J45" s="13" t="str">
        <f t="shared" si="1"/>
        <v>sueldo junio 23</v>
      </c>
      <c r="K45" s="13" t="str">
        <f t="shared" si="2"/>
        <v xml:space="preserve">Jose Torres Torres                           </v>
      </c>
      <c r="L45" s="119"/>
      <c r="M45" s="119"/>
      <c r="N45" s="84"/>
      <c r="O45" s="147" t="s">
        <v>405</v>
      </c>
      <c r="P45" s="144" t="s">
        <v>441</v>
      </c>
      <c r="Q45" s="144" t="s">
        <v>442</v>
      </c>
      <c r="R45" s="144" t="s">
        <v>270</v>
      </c>
      <c r="S45" s="145" t="s">
        <v>443</v>
      </c>
      <c r="T45" s="148">
        <v>-75000</v>
      </c>
      <c r="U45" s="144" t="s">
        <v>115</v>
      </c>
      <c r="V45" s="144" t="s">
        <v>444</v>
      </c>
      <c r="W45" s="146" t="s">
        <v>445</v>
      </c>
    </row>
    <row r="46" spans="2:25" ht="18" customHeight="1" x14ac:dyDescent="0.3">
      <c r="B46" s="114" t="s">
        <v>693</v>
      </c>
      <c r="C46" s="87" t="s">
        <v>259</v>
      </c>
      <c r="D46" s="87" t="s">
        <v>263</v>
      </c>
      <c r="E46" s="87" t="s">
        <v>738</v>
      </c>
      <c r="F46" s="87">
        <v>1487013</v>
      </c>
      <c r="G46" s="87">
        <v>0</v>
      </c>
      <c r="H46" s="87">
        <v>46231604</v>
      </c>
      <c r="I46" s="127" t="s">
        <v>30</v>
      </c>
      <c r="J46" s="13" t="str">
        <f t="shared" si="1"/>
        <v>sueldo junio 23</v>
      </c>
      <c r="K46" s="13" t="str">
        <f t="shared" si="2"/>
        <v xml:space="preserve">Angelica Ramirez Muñoz                       </v>
      </c>
      <c r="L46" s="119"/>
      <c r="M46" s="84"/>
      <c r="N46" s="84"/>
      <c r="O46" s="147" t="s">
        <v>405</v>
      </c>
      <c r="P46" s="144" t="s">
        <v>446</v>
      </c>
      <c r="Q46" s="144" t="s">
        <v>247</v>
      </c>
      <c r="R46" s="144" t="s">
        <v>117</v>
      </c>
      <c r="S46" s="145" t="s">
        <v>248</v>
      </c>
      <c r="T46" s="148">
        <v>-35000</v>
      </c>
      <c r="U46" s="144" t="s">
        <v>115</v>
      </c>
      <c r="V46" s="144" t="s">
        <v>249</v>
      </c>
      <c r="W46" s="146" t="s">
        <v>440</v>
      </c>
    </row>
    <row r="47" spans="2:25" ht="18" customHeight="1" x14ac:dyDescent="0.3">
      <c r="B47" s="114" t="s">
        <v>693</v>
      </c>
      <c r="C47" s="87" t="s">
        <v>259</v>
      </c>
      <c r="D47" s="87" t="s">
        <v>263</v>
      </c>
      <c r="E47" s="87" t="s">
        <v>739</v>
      </c>
      <c r="F47" s="87">
        <v>797590</v>
      </c>
      <c r="G47" s="87">
        <v>0</v>
      </c>
      <c r="H47" s="87">
        <v>45434014</v>
      </c>
      <c r="I47" s="127" t="s">
        <v>30</v>
      </c>
      <c r="J47" s="13" t="str">
        <f t="shared" si="1"/>
        <v>Sueldo junio23</v>
      </c>
      <c r="K47" s="13" t="str">
        <f t="shared" si="2"/>
        <v xml:space="preserve">Brandon Arostegui                            </v>
      </c>
      <c r="L47" s="119"/>
      <c r="M47" s="119"/>
      <c r="N47" s="84"/>
      <c r="O47" s="147"/>
      <c r="P47" s="144"/>
      <c r="Q47" s="144"/>
      <c r="R47" s="144"/>
      <c r="S47" s="145"/>
      <c r="T47" s="148"/>
      <c r="U47" s="144"/>
      <c r="V47" s="144"/>
      <c r="W47" s="146"/>
    </row>
    <row r="48" spans="2:25" ht="18" customHeight="1" x14ac:dyDescent="0.3">
      <c r="B48" s="114" t="s">
        <v>693</v>
      </c>
      <c r="C48" s="87" t="s">
        <v>259</v>
      </c>
      <c r="D48" s="87" t="s">
        <v>263</v>
      </c>
      <c r="E48" s="87" t="s">
        <v>740</v>
      </c>
      <c r="F48" s="87">
        <v>642395</v>
      </c>
      <c r="G48" s="87">
        <v>0</v>
      </c>
      <c r="H48" s="87">
        <v>44791619</v>
      </c>
      <c r="I48" s="127" t="s">
        <v>30</v>
      </c>
      <c r="J48" s="13" t="str">
        <f t="shared" si="1"/>
        <v>sueldo junio 23</v>
      </c>
      <c r="K48" s="13" t="str">
        <f t="shared" si="2"/>
        <v xml:space="preserve">Ximena Loza                                  </v>
      </c>
      <c r="L48" s="119"/>
      <c r="M48" s="119"/>
      <c r="N48" s="84"/>
      <c r="O48" s="147"/>
      <c r="P48" s="144"/>
      <c r="Q48" s="144"/>
      <c r="R48" s="144"/>
      <c r="S48" s="145"/>
      <c r="T48" s="148"/>
      <c r="U48" s="144"/>
      <c r="V48" s="144"/>
      <c r="W48" s="146"/>
    </row>
    <row r="49" spans="2:23" ht="18" customHeight="1" x14ac:dyDescent="0.3">
      <c r="B49" s="114" t="s">
        <v>693</v>
      </c>
      <c r="C49" s="87" t="s">
        <v>259</v>
      </c>
      <c r="D49" s="87" t="s">
        <v>263</v>
      </c>
      <c r="E49" s="87" t="s">
        <v>741</v>
      </c>
      <c r="F49" s="87">
        <v>630104</v>
      </c>
      <c r="G49" s="87">
        <v>0</v>
      </c>
      <c r="H49" s="87">
        <v>44161515</v>
      </c>
      <c r="I49" s="127" t="s">
        <v>30</v>
      </c>
      <c r="J49" s="13" t="str">
        <f t="shared" si="1"/>
        <v>sueldo junio 23</v>
      </c>
      <c r="K49" s="13" t="str">
        <f t="shared" si="2"/>
        <v xml:space="preserve">Paula Machaca Yanamo                         </v>
      </c>
      <c r="L49" s="119"/>
      <c r="M49" s="119"/>
      <c r="N49" s="84"/>
      <c r="O49" s="147"/>
      <c r="P49" s="144"/>
      <c r="Q49" s="144"/>
      <c r="R49" s="144"/>
      <c r="S49" s="145"/>
      <c r="T49" s="148"/>
      <c r="U49" s="144"/>
      <c r="V49" s="144"/>
      <c r="W49" s="146"/>
    </row>
    <row r="50" spans="2:23" ht="18" customHeight="1" x14ac:dyDescent="0.3">
      <c r="B50" s="114" t="s">
        <v>693</v>
      </c>
      <c r="C50" s="87" t="s">
        <v>259</v>
      </c>
      <c r="D50" s="87" t="s">
        <v>263</v>
      </c>
      <c r="E50" s="87" t="s">
        <v>742</v>
      </c>
      <c r="F50" s="87">
        <v>1419865</v>
      </c>
      <c r="G50" s="87">
        <v>0</v>
      </c>
      <c r="H50" s="87">
        <v>42741650</v>
      </c>
      <c r="I50" s="127" t="s">
        <v>30</v>
      </c>
      <c r="J50" s="13" t="str">
        <f t="shared" si="1"/>
        <v>sueldo junio 23</v>
      </c>
      <c r="K50" s="13" t="str">
        <f t="shared" si="2"/>
        <v xml:space="preserve">Leticia Alessi                               </v>
      </c>
      <c r="L50" s="119"/>
      <c r="M50" s="119"/>
      <c r="N50" s="84"/>
      <c r="O50" s="147"/>
      <c r="P50" s="144"/>
      <c r="Q50" s="144"/>
      <c r="R50" s="144"/>
      <c r="S50" s="145"/>
      <c r="T50" s="148"/>
      <c r="U50" s="144"/>
      <c r="V50" s="144"/>
      <c r="W50" s="146"/>
    </row>
    <row r="51" spans="2:23" ht="18" customHeight="1" x14ac:dyDescent="0.3">
      <c r="B51" s="114" t="s">
        <v>693</v>
      </c>
      <c r="C51" s="87" t="s">
        <v>259</v>
      </c>
      <c r="D51" s="87" t="s">
        <v>263</v>
      </c>
      <c r="E51" s="87" t="s">
        <v>743</v>
      </c>
      <c r="F51" s="87">
        <v>898000</v>
      </c>
      <c r="G51" s="87">
        <v>0</v>
      </c>
      <c r="H51" s="87">
        <v>41843650</v>
      </c>
      <c r="I51" s="127" t="s">
        <v>138</v>
      </c>
      <c r="J51" s="13" t="str">
        <f t="shared" si="1"/>
        <v>MO mantenimiento 23</v>
      </c>
      <c r="K51" s="13" t="str">
        <f t="shared" si="2"/>
        <v xml:space="preserve">Filiberto Viillagra Catacora                 </v>
      </c>
      <c r="L51" s="119"/>
      <c r="M51" s="119"/>
      <c r="N51" s="84"/>
      <c r="O51" s="147"/>
      <c r="P51" s="144"/>
      <c r="Q51" s="144"/>
      <c r="R51" s="144"/>
      <c r="S51" s="145"/>
      <c r="T51" s="148"/>
      <c r="U51" s="144"/>
      <c r="V51" s="144"/>
      <c r="W51" s="146"/>
    </row>
    <row r="52" spans="2:23" ht="18" customHeight="1" x14ac:dyDescent="0.3">
      <c r="B52" s="114" t="s">
        <v>744</v>
      </c>
      <c r="C52" s="87" t="s">
        <v>284</v>
      </c>
      <c r="D52" s="87" t="s">
        <v>285</v>
      </c>
      <c r="E52" s="87"/>
      <c r="F52" s="87">
        <v>0</v>
      </c>
      <c r="G52" s="87">
        <v>47000</v>
      </c>
      <c r="H52" s="87">
        <v>41890650</v>
      </c>
      <c r="I52" s="127" t="s">
        <v>141</v>
      </c>
      <c r="J52" s="13" t="e">
        <f t="shared" si="1"/>
        <v>#N/A</v>
      </c>
      <c r="K52" s="13" t="str">
        <f t="shared" si="2"/>
        <v/>
      </c>
      <c r="L52" s="119"/>
      <c r="M52" s="119"/>
      <c r="N52" s="84"/>
      <c r="O52" s="147"/>
      <c r="P52" s="144"/>
      <c r="Q52" s="144"/>
      <c r="R52" s="144"/>
      <c r="S52" s="145"/>
      <c r="T52" s="148"/>
      <c r="U52" s="144"/>
      <c r="V52" s="144"/>
      <c r="W52" s="146"/>
    </row>
    <row r="53" spans="2:23" ht="18" customHeight="1" x14ac:dyDescent="0.3">
      <c r="B53" s="114"/>
      <c r="C53" s="87"/>
      <c r="D53" s="87"/>
      <c r="E53" s="87"/>
      <c r="F53" s="87"/>
      <c r="G53" s="87"/>
      <c r="H53" s="87"/>
      <c r="I53" s="127"/>
      <c r="J53" s="13"/>
      <c r="K53" s="13" t="str">
        <f t="shared" ref="K53:K56" si="3">IFERROR(VLOOKUP(-F53,$T$3:$W$55,3,FALSE),"")</f>
        <v/>
      </c>
      <c r="L53" s="119"/>
      <c r="M53" s="119"/>
      <c r="N53" s="84"/>
      <c r="O53" s="147"/>
      <c r="P53" s="144"/>
      <c r="Q53" s="144"/>
      <c r="R53" s="144"/>
      <c r="S53" s="145"/>
      <c r="T53" s="148"/>
      <c r="U53" s="144"/>
      <c r="V53" s="144"/>
      <c r="W53" s="146"/>
    </row>
    <row r="54" spans="2:23" ht="18" customHeight="1" x14ac:dyDescent="0.3">
      <c r="B54" s="114"/>
      <c r="C54" s="87"/>
      <c r="D54" s="87"/>
      <c r="E54" s="87"/>
      <c r="F54" s="87"/>
      <c r="G54" s="87"/>
      <c r="H54" s="87"/>
      <c r="I54" s="127"/>
      <c r="J54" s="13"/>
      <c r="K54" s="13" t="str">
        <f t="shared" si="3"/>
        <v/>
      </c>
      <c r="L54" s="119"/>
      <c r="M54" s="119"/>
      <c r="N54" s="84"/>
      <c r="O54" s="147"/>
      <c r="P54" s="144"/>
      <c r="Q54" s="144"/>
      <c r="R54" s="144"/>
      <c r="S54" s="145"/>
      <c r="T54" s="148"/>
      <c r="U54" s="144"/>
      <c r="V54" s="144"/>
      <c r="W54" s="146"/>
    </row>
    <row r="55" spans="2:23" ht="18" customHeight="1" x14ac:dyDescent="0.3">
      <c r="B55" s="114"/>
      <c r="C55" s="87"/>
      <c r="D55" s="87"/>
      <c r="E55" s="87"/>
      <c r="F55" s="87"/>
      <c r="G55" s="87"/>
      <c r="H55" s="87"/>
      <c r="I55" s="127"/>
      <c r="J55" s="13"/>
      <c r="K55" s="13" t="str">
        <f t="shared" si="3"/>
        <v/>
      </c>
      <c r="L55" s="119"/>
      <c r="M55" s="119"/>
      <c r="N55" s="84"/>
      <c r="O55" s="147"/>
      <c r="P55" s="144"/>
      <c r="Q55" s="144"/>
      <c r="R55" s="144"/>
      <c r="S55" s="145"/>
      <c r="T55" s="148"/>
      <c r="U55" s="144"/>
      <c r="V55" s="144"/>
      <c r="W55" s="146"/>
    </row>
    <row r="56" spans="2:23" ht="18" customHeight="1" x14ac:dyDescent="0.3">
      <c r="B56" s="114"/>
      <c r="C56" s="87"/>
      <c r="D56" s="87"/>
      <c r="E56" s="87"/>
      <c r="F56" s="87"/>
      <c r="G56" s="87"/>
      <c r="H56" s="87"/>
      <c r="I56" s="127"/>
      <c r="J56" s="13"/>
      <c r="K56" s="13" t="str">
        <f t="shared" si="3"/>
        <v/>
      </c>
      <c r="L56" s="119"/>
      <c r="M56" s="119"/>
      <c r="N56" s="84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4"/>
      <c r="C57" s="87"/>
      <c r="D57" s="87"/>
      <c r="E57" s="87"/>
      <c r="F57" s="87"/>
      <c r="G57" s="87"/>
      <c r="H57" s="87"/>
      <c r="I57" s="127"/>
      <c r="J57" s="13"/>
      <c r="K57" s="13" t="str">
        <f t="shared" ref="K57:K62" si="4">IFERROR(VLOOKUP(-F57,$T$3:$W$55,3,FALSE),"")</f>
        <v/>
      </c>
      <c r="L57" s="119"/>
      <c r="M57" s="119"/>
      <c r="N57" s="84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4"/>
      <c r="C58" s="87"/>
      <c r="D58" s="87"/>
      <c r="E58" s="87"/>
      <c r="F58" s="87"/>
      <c r="G58" s="87"/>
      <c r="H58" s="87"/>
      <c r="I58" s="127"/>
      <c r="J58" s="13"/>
      <c r="K58" s="13" t="str">
        <f t="shared" si="4"/>
        <v/>
      </c>
      <c r="L58" s="119"/>
      <c r="M58" s="119"/>
      <c r="N58" s="84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4"/>
      <c r="C59" s="87"/>
      <c r="D59" s="87"/>
      <c r="E59" s="87"/>
      <c r="F59" s="87"/>
      <c r="G59" s="87"/>
      <c r="H59" s="87"/>
      <c r="I59" s="127"/>
      <c r="J59" s="13"/>
      <c r="K59" s="13" t="str">
        <f t="shared" si="4"/>
        <v/>
      </c>
      <c r="L59" s="119"/>
      <c r="M59" s="119"/>
      <c r="N59" s="84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4"/>
      <c r="C60" s="87"/>
      <c r="D60" s="87"/>
      <c r="E60" s="87"/>
      <c r="F60" s="87"/>
      <c r="G60" s="87"/>
      <c r="H60" s="87"/>
      <c r="I60" s="127"/>
      <c r="J60" s="13"/>
      <c r="K60" s="13" t="str">
        <f t="shared" si="4"/>
        <v/>
      </c>
      <c r="L60" s="119"/>
      <c r="M60" s="119"/>
      <c r="N60" s="84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4"/>
      <c r="C61" s="87"/>
      <c r="D61" s="87"/>
      <c r="E61" s="87"/>
      <c r="F61" s="87"/>
      <c r="G61" s="87"/>
      <c r="H61" s="87"/>
      <c r="I61" s="127"/>
      <c r="J61" s="13" t="str">
        <f t="shared" ref="J61:J62" si="5">IFERROR(VLOOKUP(-F61,$T$3:$W$55,4,FALSE),"")</f>
        <v/>
      </c>
      <c r="K61" s="13" t="str">
        <f t="shared" si="4"/>
        <v/>
      </c>
      <c r="L61" s="119"/>
      <c r="M61" s="119"/>
      <c r="N61" s="84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4"/>
      <c r="C62" s="87"/>
      <c r="D62" s="87"/>
      <c r="E62" s="87"/>
      <c r="F62" s="87"/>
      <c r="G62" s="87"/>
      <c r="H62" s="87"/>
      <c r="I62" s="127"/>
      <c r="J62" s="13" t="str">
        <f t="shared" si="5"/>
        <v/>
      </c>
      <c r="K62" s="13" t="str">
        <f t="shared" si="4"/>
        <v/>
      </c>
      <c r="L62" s="119"/>
      <c r="M62" s="119"/>
      <c r="N62" s="84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4"/>
      <c r="C63" s="87"/>
      <c r="D63" s="87"/>
      <c r="E63" s="87"/>
      <c r="F63" s="87"/>
      <c r="G63" s="87"/>
      <c r="H63" s="87"/>
      <c r="I63" s="127"/>
      <c r="J63" s="13" t="str">
        <f t="shared" ref="J63" si="6">IFERROR(VLOOKUP(-F63,$T$3:$W$50,4,FALSE),"")</f>
        <v/>
      </c>
      <c r="K63" s="13" t="str">
        <f t="shared" ref="K63" si="7">IFERROR(VLOOKUP(-F63,$T$3:$W$50,3,FALSE),"")</f>
        <v/>
      </c>
      <c r="L63" s="119"/>
      <c r="M63" s="84"/>
      <c r="N63" s="84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25</v>
      </c>
      <c r="D64" s="45" t="s">
        <v>109</v>
      </c>
      <c r="E64" s="45" t="s">
        <v>27</v>
      </c>
      <c r="F64" s="45" t="s">
        <v>28</v>
      </c>
      <c r="G64" s="45" t="s">
        <v>29</v>
      </c>
      <c r="H64" s="45" t="s">
        <v>46</v>
      </c>
      <c r="I64" s="46"/>
      <c r="J64" s="130"/>
      <c r="K64" s="46"/>
      <c r="L64" s="119"/>
      <c r="M64" s="84"/>
      <c r="N64" s="84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4">
        <v>45078</v>
      </c>
      <c r="C65" s="136" t="s">
        <v>259</v>
      </c>
      <c r="D65" s="87" t="s">
        <v>745</v>
      </c>
      <c r="E65" s="87">
        <v>62300294414</v>
      </c>
      <c r="F65" s="87">
        <v>0</v>
      </c>
      <c r="G65" s="87">
        <v>6566.71</v>
      </c>
      <c r="H65" s="87">
        <v>56201.79</v>
      </c>
      <c r="I65" s="127" t="s">
        <v>107</v>
      </c>
      <c r="J65" s="129"/>
      <c r="K65" s="13"/>
      <c r="L65" s="119"/>
      <c r="M65" s="84"/>
      <c r="N65" s="84"/>
    </row>
    <row r="66" spans="2:14" s="4" customFormat="1" ht="18" customHeight="1" x14ac:dyDescent="0.3">
      <c r="B66" s="114">
        <v>45083</v>
      </c>
      <c r="C66" s="136" t="s">
        <v>259</v>
      </c>
      <c r="D66" s="87" t="s">
        <v>746</v>
      </c>
      <c r="E66" s="87">
        <v>62300302794</v>
      </c>
      <c r="F66" s="87">
        <v>0</v>
      </c>
      <c r="G66" s="87">
        <v>401.32</v>
      </c>
      <c r="H66" s="87">
        <v>56603.11</v>
      </c>
      <c r="I66" s="127" t="s">
        <v>107</v>
      </c>
      <c r="J66" s="129"/>
      <c r="K66" s="13"/>
      <c r="L66" s="119"/>
      <c r="M66" s="84"/>
      <c r="N66" s="84"/>
    </row>
    <row r="67" spans="2:14" s="4" customFormat="1" ht="18" customHeight="1" x14ac:dyDescent="0.3">
      <c r="B67" s="114">
        <v>45090</v>
      </c>
      <c r="C67" s="136" t="s">
        <v>259</v>
      </c>
      <c r="D67" s="87" t="s">
        <v>747</v>
      </c>
      <c r="E67" s="87">
        <v>62300316797</v>
      </c>
      <c r="F67" s="87">
        <v>0</v>
      </c>
      <c r="G67" s="87">
        <v>1167.3499999999999</v>
      </c>
      <c r="H67" s="87">
        <v>57770.46</v>
      </c>
      <c r="I67" s="127" t="s">
        <v>107</v>
      </c>
      <c r="J67" s="129"/>
      <c r="K67" s="13"/>
      <c r="L67" s="119"/>
      <c r="M67" s="84"/>
      <c r="N67" s="84"/>
    </row>
    <row r="68" spans="2:14" s="4" customFormat="1" ht="18" customHeight="1" x14ac:dyDescent="0.3">
      <c r="B68" s="114">
        <v>45093</v>
      </c>
      <c r="C68" s="136" t="s">
        <v>259</v>
      </c>
      <c r="D68" s="87" t="s">
        <v>748</v>
      </c>
      <c r="E68" s="87">
        <v>62300325526</v>
      </c>
      <c r="F68" s="87">
        <v>0</v>
      </c>
      <c r="G68" s="87">
        <v>572.39</v>
      </c>
      <c r="H68" s="87">
        <v>58342.85</v>
      </c>
      <c r="I68" s="127" t="s">
        <v>107</v>
      </c>
      <c r="J68" s="129"/>
      <c r="K68" s="13"/>
      <c r="L68" s="119"/>
      <c r="M68" s="84"/>
      <c r="N68" s="84"/>
    </row>
    <row r="69" spans="2:14" s="4" customFormat="1" ht="18" customHeight="1" x14ac:dyDescent="0.3">
      <c r="B69" s="114">
        <v>45099</v>
      </c>
      <c r="C69" s="87" t="s">
        <v>259</v>
      </c>
      <c r="D69" s="87" t="s">
        <v>749</v>
      </c>
      <c r="E69" s="154">
        <v>62300333760</v>
      </c>
      <c r="F69" s="154">
        <v>0</v>
      </c>
      <c r="G69" s="154">
        <v>2830.31</v>
      </c>
      <c r="H69" s="154">
        <v>61173.16</v>
      </c>
      <c r="I69" s="127" t="s">
        <v>107</v>
      </c>
      <c r="J69" s="131"/>
      <c r="K69" s="13"/>
      <c r="L69" s="119"/>
      <c r="M69" s="84"/>
      <c r="N69" s="84"/>
    </row>
    <row r="70" spans="2:14" s="4" customFormat="1" ht="18" customHeight="1" x14ac:dyDescent="0.3">
      <c r="B70" s="114">
        <v>45099</v>
      </c>
      <c r="C70" s="87" t="s">
        <v>259</v>
      </c>
      <c r="D70" s="87" t="s">
        <v>750</v>
      </c>
      <c r="E70" s="87">
        <v>9009098969</v>
      </c>
      <c r="F70" s="154">
        <v>0</v>
      </c>
      <c r="G70" s="154">
        <v>2633.4</v>
      </c>
      <c r="H70" s="154">
        <v>63806.559999999998</v>
      </c>
      <c r="I70" s="127" t="s">
        <v>107</v>
      </c>
      <c r="J70" s="131"/>
      <c r="K70" s="13"/>
      <c r="L70" s="119"/>
      <c r="M70" s="84"/>
      <c r="N70" s="84"/>
    </row>
    <row r="71" spans="2:14" s="4" customFormat="1" ht="18" customHeight="1" x14ac:dyDescent="0.3">
      <c r="B71" s="114">
        <v>45099</v>
      </c>
      <c r="C71" s="87" t="s">
        <v>259</v>
      </c>
      <c r="D71" s="87" t="s">
        <v>751</v>
      </c>
      <c r="E71" s="87">
        <v>9001600136</v>
      </c>
      <c r="F71" s="154">
        <v>58000</v>
      </c>
      <c r="G71" s="154">
        <v>0</v>
      </c>
      <c r="H71" s="154">
        <v>5806.56</v>
      </c>
      <c r="I71" s="127" t="s">
        <v>106</v>
      </c>
      <c r="J71" s="131"/>
      <c r="K71" s="13"/>
      <c r="L71" s="119"/>
      <c r="M71" s="84"/>
      <c r="N71" s="84"/>
    </row>
    <row r="72" spans="2:14" s="4" customFormat="1" ht="18" customHeight="1" x14ac:dyDescent="0.3">
      <c r="B72" s="114">
        <v>45105</v>
      </c>
      <c r="C72" s="87" t="s">
        <v>259</v>
      </c>
      <c r="D72" s="87" t="s">
        <v>752</v>
      </c>
      <c r="E72" s="87">
        <v>62300343693</v>
      </c>
      <c r="F72" s="87">
        <v>0</v>
      </c>
      <c r="G72" s="87">
        <v>2686.18</v>
      </c>
      <c r="H72" s="87">
        <v>8492.74</v>
      </c>
      <c r="I72" s="127" t="s">
        <v>107</v>
      </c>
      <c r="J72" s="131"/>
      <c r="K72" s="13"/>
      <c r="L72" s="119"/>
      <c r="M72" s="84"/>
      <c r="N72" s="84"/>
    </row>
    <row r="73" spans="2:14" s="4" customFormat="1" ht="18" customHeight="1" x14ac:dyDescent="0.3">
      <c r="B73" s="114"/>
      <c r="C73" s="87"/>
      <c r="D73" s="87"/>
      <c r="E73" s="87"/>
      <c r="F73" s="87"/>
      <c r="G73" s="87"/>
      <c r="H73" s="87"/>
      <c r="I73" s="127"/>
      <c r="J73" s="131"/>
      <c r="K73" s="13"/>
      <c r="L73" s="119"/>
      <c r="M73" s="84"/>
      <c r="N73" s="84"/>
    </row>
    <row r="74" spans="2:14" s="4" customFormat="1" ht="18" customHeight="1" x14ac:dyDescent="0.3">
      <c r="B74" s="114"/>
      <c r="C74" s="87"/>
      <c r="D74" s="87"/>
      <c r="E74" s="87"/>
      <c r="F74" s="87"/>
      <c r="G74" s="87"/>
      <c r="H74" s="87"/>
      <c r="I74" s="127"/>
      <c r="J74" s="131"/>
      <c r="K74" s="13"/>
      <c r="L74" s="119"/>
      <c r="M74" s="84"/>
      <c r="N74" s="84"/>
    </row>
    <row r="75" spans="2:14" s="4" customFormat="1" ht="18" customHeight="1" x14ac:dyDescent="0.3">
      <c r="B75" s="114"/>
      <c r="C75" s="87"/>
      <c r="D75" s="87"/>
      <c r="E75" s="87"/>
      <c r="F75" s="87"/>
      <c r="G75" s="87"/>
      <c r="H75" s="87"/>
      <c r="I75" s="127"/>
      <c r="J75" s="131"/>
      <c r="K75" s="13"/>
      <c r="L75" s="119"/>
      <c r="M75" s="84"/>
      <c r="N75" s="84"/>
    </row>
    <row r="76" spans="2:14" s="4" customFormat="1" ht="18" customHeight="1" x14ac:dyDescent="0.3">
      <c r="B76" s="114"/>
      <c r="C76" s="87"/>
      <c r="D76" s="87"/>
      <c r="E76" s="87"/>
      <c r="F76" s="87"/>
      <c r="G76" s="87"/>
      <c r="H76" s="87"/>
      <c r="I76" s="127"/>
      <c r="J76" s="131"/>
      <c r="K76" s="13"/>
      <c r="L76" s="119" t="s">
        <v>453</v>
      </c>
      <c r="M76" s="84"/>
      <c r="N76" s="84"/>
    </row>
    <row r="77" spans="2:14" s="4" customFormat="1" ht="18" customHeight="1" x14ac:dyDescent="0.3">
      <c r="B77" s="114"/>
      <c r="C77" s="87"/>
      <c r="D77" s="87"/>
      <c r="E77" s="87"/>
      <c r="F77" s="87"/>
      <c r="G77" s="87"/>
      <c r="H77" s="87"/>
      <c r="I77" s="127"/>
      <c r="J77" s="131"/>
      <c r="K77" s="13"/>
      <c r="L77" s="119"/>
      <c r="M77" s="84"/>
      <c r="N77" s="84"/>
    </row>
    <row r="78" spans="2:14" s="4" customFormat="1" ht="18" customHeight="1" x14ac:dyDescent="0.3">
      <c r="B78" s="114"/>
      <c r="C78" s="87"/>
      <c r="D78" s="87"/>
      <c r="E78" s="87"/>
      <c r="F78" s="87"/>
      <c r="G78" s="87"/>
      <c r="H78" s="87"/>
      <c r="I78" s="127"/>
      <c r="J78" s="131"/>
      <c r="K78" s="13"/>
      <c r="L78" s="119"/>
      <c r="M78" s="84"/>
      <c r="N78" s="84"/>
    </row>
    <row r="79" spans="2:14" s="4" customFormat="1" ht="18" customHeight="1" x14ac:dyDescent="0.3">
      <c r="B79" s="114"/>
      <c r="C79" s="87"/>
      <c r="D79" s="87"/>
      <c r="E79" s="87"/>
      <c r="F79" s="87"/>
      <c r="G79" s="87"/>
      <c r="H79" s="87"/>
      <c r="I79" s="127"/>
      <c r="J79" s="131"/>
      <c r="K79" s="13"/>
      <c r="L79" s="119"/>
      <c r="M79" s="84"/>
      <c r="N79" s="84"/>
    </row>
    <row r="80" spans="2:14" s="4" customFormat="1" ht="18" customHeight="1" x14ac:dyDescent="0.3">
      <c r="B80" s="114"/>
      <c r="C80" s="87"/>
      <c r="D80" s="87"/>
      <c r="E80" s="87"/>
      <c r="F80" s="87"/>
      <c r="G80" s="87"/>
      <c r="H80" s="87"/>
      <c r="I80" s="127"/>
      <c r="J80" s="131"/>
      <c r="K80" s="13"/>
      <c r="L80" s="119"/>
      <c r="M80" s="84"/>
      <c r="N80" s="84"/>
    </row>
    <row r="81" spans="2:23" ht="18" customHeight="1" x14ac:dyDescent="0.3">
      <c r="B81" s="114"/>
      <c r="C81" s="87"/>
      <c r="D81" s="87"/>
      <c r="E81" s="87"/>
      <c r="F81" s="87"/>
      <c r="G81" s="87"/>
      <c r="H81" s="87"/>
      <c r="I81" s="127"/>
      <c r="J81" s="131"/>
      <c r="K81" s="13"/>
      <c r="L81" s="119"/>
      <c r="M81" s="84"/>
      <c r="N81" s="84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4"/>
      <c r="C82" s="87"/>
      <c r="D82" s="87"/>
      <c r="E82" s="87"/>
      <c r="F82" s="87"/>
      <c r="G82" s="87"/>
      <c r="H82" s="87"/>
      <c r="I82" s="127"/>
      <c r="J82" s="131"/>
      <c r="K82" s="13"/>
      <c r="L82" s="119"/>
      <c r="M82" s="84"/>
      <c r="N82" s="84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4"/>
      <c r="C83" s="87"/>
      <c r="D83" s="87"/>
      <c r="E83" s="87"/>
      <c r="F83" s="87"/>
      <c r="G83" s="87"/>
      <c r="H83" s="87"/>
      <c r="I83" s="127"/>
      <c r="J83" s="131"/>
      <c r="K83" s="13"/>
      <c r="L83" s="119"/>
      <c r="M83" s="84"/>
      <c r="N83" s="84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4"/>
      <c r="C84" s="87"/>
      <c r="D84" s="87"/>
      <c r="E84" s="87"/>
      <c r="F84" s="87"/>
      <c r="G84" s="87"/>
      <c r="H84" s="87"/>
      <c r="I84" s="127"/>
      <c r="J84" s="131"/>
      <c r="K84" s="13"/>
      <c r="L84" s="119"/>
      <c r="M84" s="84"/>
      <c r="N84" s="84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4"/>
      <c r="C85" s="87"/>
      <c r="D85" s="87"/>
      <c r="E85" s="87"/>
      <c r="F85" s="87"/>
      <c r="G85" s="87"/>
      <c r="H85" s="87"/>
      <c r="I85" s="127"/>
      <c r="J85" s="131"/>
      <c r="K85" s="13"/>
      <c r="L85" s="119"/>
      <c r="M85" s="84"/>
      <c r="N85" s="84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4"/>
      <c r="C86" s="87"/>
      <c r="D86" s="87"/>
      <c r="E86" s="87"/>
      <c r="F86" s="87"/>
      <c r="G86" s="87"/>
      <c r="H86" s="87"/>
      <c r="I86" s="127"/>
      <c r="J86" s="131"/>
      <c r="K86" s="13"/>
      <c r="L86" s="119"/>
      <c r="M86" s="84"/>
      <c r="N86" s="84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98</v>
      </c>
      <c r="C87" s="45" t="s">
        <v>5</v>
      </c>
      <c r="D87" s="45" t="s">
        <v>108</v>
      </c>
      <c r="E87" s="45"/>
      <c r="F87" s="45"/>
      <c r="G87" s="45"/>
      <c r="H87" s="45"/>
      <c r="I87" s="46"/>
      <c r="J87" s="130"/>
      <c r="K87" s="46"/>
      <c r="L87" s="119"/>
      <c r="M87" s="84"/>
      <c r="N87" s="84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4" t="s">
        <v>766</v>
      </c>
      <c r="C88" s="87" t="s">
        <v>767</v>
      </c>
      <c r="D88" s="87" t="s">
        <v>768</v>
      </c>
      <c r="E88" s="87"/>
      <c r="F88" s="87">
        <v>-1000000</v>
      </c>
      <c r="G88" s="87"/>
      <c r="H88" s="87"/>
      <c r="I88" s="127"/>
      <c r="J88" s="129"/>
      <c r="K88" s="13"/>
      <c r="L88" s="119"/>
      <c r="M88" s="84"/>
      <c r="N88" s="84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4" t="s">
        <v>769</v>
      </c>
      <c r="C89" s="87" t="s">
        <v>431</v>
      </c>
      <c r="D89" s="87" t="s">
        <v>753</v>
      </c>
      <c r="E89" s="87" t="s">
        <v>271</v>
      </c>
      <c r="F89" s="87">
        <v>1169424</v>
      </c>
      <c r="G89" s="87"/>
      <c r="H89" s="87"/>
      <c r="I89" s="127" t="s">
        <v>140</v>
      </c>
      <c r="J89" s="129"/>
      <c r="K89" s="13"/>
      <c r="M89" s="84"/>
      <c r="N89" s="84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4" t="s">
        <v>770</v>
      </c>
      <c r="C90" s="87" t="s">
        <v>331</v>
      </c>
      <c r="D90" s="87" t="s">
        <v>771</v>
      </c>
      <c r="E90" s="87" t="s">
        <v>271</v>
      </c>
      <c r="F90" s="87">
        <v>22268</v>
      </c>
      <c r="G90" s="87"/>
      <c r="H90" s="87"/>
      <c r="I90" s="127" t="s">
        <v>139</v>
      </c>
      <c r="J90" s="129"/>
      <c r="K90" s="13"/>
      <c r="L90" s="119"/>
      <c r="M90" s="84"/>
      <c r="N90" s="84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4" t="s">
        <v>772</v>
      </c>
      <c r="C91" s="87" t="s">
        <v>331</v>
      </c>
      <c r="D91" s="87" t="s">
        <v>773</v>
      </c>
      <c r="E91" s="87" t="s">
        <v>276</v>
      </c>
      <c r="F91" s="87">
        <v>30910</v>
      </c>
      <c r="G91" s="87"/>
      <c r="H91" s="87"/>
      <c r="I91" s="127" t="s">
        <v>139</v>
      </c>
      <c r="J91" s="129"/>
      <c r="K91" s="13"/>
      <c r="L91" s="119"/>
      <c r="M91" s="84"/>
      <c r="N91" s="84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4" t="s">
        <v>774</v>
      </c>
      <c r="C92" s="87" t="s">
        <v>775</v>
      </c>
      <c r="D92" s="87" t="s">
        <v>776</v>
      </c>
      <c r="E92" s="87" t="s">
        <v>104</v>
      </c>
      <c r="F92" s="87">
        <v>18007</v>
      </c>
      <c r="G92" s="87"/>
      <c r="H92" s="87"/>
      <c r="I92" s="127" t="s">
        <v>139</v>
      </c>
      <c r="J92" s="129"/>
      <c r="K92" s="13"/>
      <c r="L92" s="119"/>
      <c r="M92" s="84"/>
      <c r="N92" s="84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4" t="s">
        <v>777</v>
      </c>
      <c r="C93" s="87" t="s">
        <v>775</v>
      </c>
      <c r="D93" s="87" t="s">
        <v>754</v>
      </c>
      <c r="E93" s="87" t="s">
        <v>271</v>
      </c>
      <c r="F93" s="87">
        <v>184324</v>
      </c>
      <c r="G93" s="87"/>
      <c r="H93" s="87"/>
      <c r="I93" s="127" t="s">
        <v>138</v>
      </c>
      <c r="J93" s="129"/>
      <c r="K93" s="13"/>
      <c r="L93" s="119" t="s">
        <v>801</v>
      </c>
      <c r="M93" s="84"/>
      <c r="N93" s="84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778</v>
      </c>
      <c r="C94" s="87" t="s">
        <v>775</v>
      </c>
      <c r="D94" s="87" t="s">
        <v>754</v>
      </c>
      <c r="E94" s="87" t="s">
        <v>271</v>
      </c>
      <c r="F94" s="87">
        <v>88320</v>
      </c>
      <c r="G94" s="87"/>
      <c r="H94" s="87"/>
      <c r="I94" s="127" t="s">
        <v>138</v>
      </c>
      <c r="J94" s="129"/>
      <c r="K94" s="13"/>
      <c r="L94" s="119" t="s">
        <v>802</v>
      </c>
      <c r="N94" s="84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6" t="s">
        <v>779</v>
      </c>
      <c r="C95" s="87" t="s">
        <v>775</v>
      </c>
      <c r="D95" s="87" t="s">
        <v>780</v>
      </c>
      <c r="E95" s="87" t="s">
        <v>271</v>
      </c>
      <c r="F95" s="87">
        <v>26000</v>
      </c>
      <c r="G95" s="87"/>
      <c r="H95" s="87"/>
      <c r="I95" s="127" t="s">
        <v>139</v>
      </c>
      <c r="J95" s="129"/>
      <c r="K95" s="13"/>
      <c r="L95" s="119"/>
      <c r="N95" s="84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6" t="s">
        <v>781</v>
      </c>
      <c r="C96" s="87" t="s">
        <v>775</v>
      </c>
      <c r="D96" s="87" t="s">
        <v>782</v>
      </c>
      <c r="E96" s="87" t="s">
        <v>783</v>
      </c>
      <c r="F96" s="87">
        <v>20337</v>
      </c>
      <c r="G96" s="87"/>
      <c r="H96" s="87"/>
      <c r="I96" s="127" t="s">
        <v>138</v>
      </c>
      <c r="J96" s="129"/>
      <c r="K96" s="13"/>
      <c r="L96" s="119" t="s">
        <v>801</v>
      </c>
      <c r="N96" s="84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6" t="s">
        <v>784</v>
      </c>
      <c r="C97" s="87" t="s">
        <v>374</v>
      </c>
      <c r="D97" s="87" t="s">
        <v>785</v>
      </c>
      <c r="E97" s="87" t="s">
        <v>786</v>
      </c>
      <c r="F97" s="87">
        <v>34866</v>
      </c>
      <c r="G97" s="87"/>
      <c r="H97" s="87"/>
      <c r="I97" s="127" t="s">
        <v>139</v>
      </c>
      <c r="J97" s="87"/>
      <c r="K97" s="13"/>
      <c r="L97" s="119"/>
      <c r="N97" s="84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6" t="s">
        <v>787</v>
      </c>
      <c r="C98" s="87" t="s">
        <v>405</v>
      </c>
      <c r="D98" s="87" t="s">
        <v>452</v>
      </c>
      <c r="E98" s="87" t="s">
        <v>271</v>
      </c>
      <c r="F98" s="87">
        <v>50354</v>
      </c>
      <c r="G98" s="87"/>
      <c r="H98" s="87"/>
      <c r="I98" s="127" t="s">
        <v>139</v>
      </c>
      <c r="J98" s="87"/>
      <c r="K98" s="13"/>
      <c r="L98" s="119"/>
      <c r="N98" s="84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6" t="s">
        <v>788</v>
      </c>
      <c r="C99" s="87" t="s">
        <v>584</v>
      </c>
      <c r="D99" s="87" t="s">
        <v>789</v>
      </c>
      <c r="E99" s="87" t="s">
        <v>271</v>
      </c>
      <c r="F99" s="87">
        <v>61320</v>
      </c>
      <c r="G99" s="87"/>
      <c r="H99" s="87"/>
      <c r="I99" s="127" t="s">
        <v>139</v>
      </c>
      <c r="J99" s="87"/>
      <c r="K99" s="13"/>
      <c r="L99" s="119"/>
      <c r="N99" s="84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6" t="s">
        <v>790</v>
      </c>
      <c r="C100" s="87" t="s">
        <v>590</v>
      </c>
      <c r="D100" s="87" t="s">
        <v>791</v>
      </c>
      <c r="E100" s="87" t="s">
        <v>271</v>
      </c>
      <c r="F100" s="87">
        <v>10000</v>
      </c>
      <c r="G100" s="87"/>
      <c r="H100" s="87"/>
      <c r="I100" s="127" t="s">
        <v>140</v>
      </c>
      <c r="J100" s="87"/>
      <c r="K100" s="13"/>
      <c r="L100" s="119"/>
      <c r="N100" s="8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6" t="s">
        <v>792</v>
      </c>
      <c r="C101" s="87" t="s">
        <v>331</v>
      </c>
      <c r="D101" s="87" t="s">
        <v>129</v>
      </c>
      <c r="E101" s="87"/>
      <c r="F101" s="87">
        <v>4460</v>
      </c>
      <c r="G101" s="87"/>
      <c r="H101" s="87"/>
      <c r="I101" s="127" t="s">
        <v>136</v>
      </c>
      <c r="J101" s="87"/>
      <c r="K101" s="13"/>
      <c r="L101" s="119"/>
      <c r="N101" s="8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6" t="s">
        <v>793</v>
      </c>
      <c r="C102" s="87" t="s">
        <v>374</v>
      </c>
      <c r="D102" s="87" t="s">
        <v>129</v>
      </c>
      <c r="E102" s="87"/>
      <c r="F102" s="87">
        <v>203</v>
      </c>
      <c r="G102" s="87"/>
      <c r="H102" s="87"/>
      <c r="I102" s="127" t="s">
        <v>136</v>
      </c>
      <c r="J102" s="87"/>
      <c r="K102" s="13"/>
      <c r="L102" s="119"/>
      <c r="N102" s="84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6" t="s">
        <v>793</v>
      </c>
      <c r="C103" s="87" t="s">
        <v>374</v>
      </c>
      <c r="D103" s="87" t="s">
        <v>794</v>
      </c>
      <c r="E103" s="87"/>
      <c r="F103" s="87">
        <v>305282</v>
      </c>
      <c r="G103" s="87"/>
      <c r="H103" s="87"/>
      <c r="I103" s="127"/>
      <c r="J103" s="87"/>
      <c r="K103" s="13"/>
      <c r="L103" s="119"/>
      <c r="N103" s="84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6" t="s">
        <v>795</v>
      </c>
      <c r="C104" s="87" t="s">
        <v>796</v>
      </c>
      <c r="D104" s="87" t="s">
        <v>129</v>
      </c>
      <c r="E104" s="87"/>
      <c r="F104" s="87">
        <v>1856</v>
      </c>
      <c r="G104" s="87"/>
      <c r="H104" s="87"/>
      <c r="I104" s="127" t="s">
        <v>136</v>
      </c>
      <c r="J104" s="87"/>
      <c r="K104" s="13"/>
      <c r="L104" s="119"/>
      <c r="N104" s="84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6" t="s">
        <v>797</v>
      </c>
      <c r="C105" s="87" t="s">
        <v>798</v>
      </c>
      <c r="D105" s="87" t="s">
        <v>129</v>
      </c>
      <c r="E105" s="87"/>
      <c r="F105" s="87">
        <v>1116</v>
      </c>
      <c r="G105" s="87"/>
      <c r="H105" s="87"/>
      <c r="I105" s="127" t="s">
        <v>136</v>
      </c>
      <c r="J105" s="87"/>
      <c r="K105" s="13"/>
      <c r="L105" s="119"/>
      <c r="N105" s="84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6" t="s">
        <v>799</v>
      </c>
      <c r="C106" s="87" t="s">
        <v>800</v>
      </c>
      <c r="D106" s="87" t="s">
        <v>130</v>
      </c>
      <c r="E106" s="87"/>
      <c r="F106" s="87">
        <v>2164</v>
      </c>
      <c r="G106" s="87"/>
      <c r="H106" s="87"/>
      <c r="I106" s="127" t="s">
        <v>136</v>
      </c>
      <c r="J106" s="87"/>
      <c r="K106" s="13"/>
      <c r="L106" s="119"/>
      <c r="N106" s="84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6" t="s">
        <v>799</v>
      </c>
      <c r="C107" s="87" t="s">
        <v>800</v>
      </c>
      <c r="D107" s="87" t="s">
        <v>129</v>
      </c>
      <c r="E107" s="87"/>
      <c r="F107" s="87">
        <v>4504</v>
      </c>
      <c r="G107" s="87"/>
      <c r="H107" s="87"/>
      <c r="I107" s="127" t="s">
        <v>136</v>
      </c>
      <c r="J107" s="87"/>
      <c r="K107" s="13"/>
      <c r="L107" s="119"/>
      <c r="N107" s="84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6"/>
      <c r="C108" s="87"/>
      <c r="D108" s="87"/>
      <c r="E108" s="87"/>
      <c r="F108" s="87"/>
      <c r="G108" s="87"/>
      <c r="H108" s="87"/>
      <c r="I108" s="127"/>
      <c r="J108" s="87"/>
      <c r="K108" s="13"/>
      <c r="L108" s="119"/>
      <c r="N108" s="84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6"/>
      <c r="C109" s="87"/>
      <c r="D109" s="87"/>
      <c r="E109" s="87"/>
      <c r="F109" s="87"/>
      <c r="G109" s="87"/>
      <c r="H109" s="87"/>
      <c r="I109" s="127"/>
      <c r="J109" s="87"/>
      <c r="K109" s="13"/>
      <c r="L109" s="119"/>
      <c r="N109" s="84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6"/>
      <c r="C110" s="120"/>
      <c r="D110" s="121"/>
      <c r="E110" s="121"/>
      <c r="F110" s="121"/>
      <c r="G110" s="121"/>
      <c r="H110" s="120"/>
      <c r="I110" s="127"/>
      <c r="J110" s="87"/>
      <c r="K110" s="13"/>
      <c r="L110" s="119"/>
      <c r="N110" s="84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6"/>
      <c r="C111" s="120"/>
      <c r="D111" s="120"/>
      <c r="E111" s="120"/>
      <c r="F111" s="121"/>
      <c r="G111" s="121"/>
      <c r="H111" s="120"/>
      <c r="I111" s="127"/>
      <c r="J111" s="87"/>
      <c r="K111" s="13"/>
      <c r="L111" s="119"/>
      <c r="N111" s="84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20"/>
      <c r="C112" s="120"/>
      <c r="D112" s="120"/>
      <c r="E112" s="120"/>
      <c r="F112" s="121"/>
      <c r="G112" s="121"/>
      <c r="H112" s="120"/>
      <c r="I112" s="127"/>
      <c r="J112" s="129"/>
      <c r="K112" s="13"/>
      <c r="L112" s="119"/>
      <c r="N112" s="84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20"/>
      <c r="C113" s="120"/>
      <c r="D113" s="120"/>
      <c r="E113" s="120"/>
      <c r="F113" s="120"/>
      <c r="G113" s="120"/>
      <c r="H113" s="120"/>
      <c r="I113" s="127"/>
      <c r="J113" s="129"/>
      <c r="K113" s="13"/>
      <c r="L113" s="119"/>
      <c r="N113" s="84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14"/>
      <c r="C114" s="87"/>
      <c r="D114" s="87"/>
      <c r="E114" s="87"/>
      <c r="F114" s="87"/>
      <c r="G114" s="87"/>
      <c r="H114" s="87"/>
      <c r="I114" s="127"/>
      <c r="J114" s="131"/>
      <c r="K114" s="13"/>
      <c r="L114" s="89"/>
      <c r="N114" s="84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thickBot="1" x14ac:dyDescent="0.3">
      <c r="B115" s="107" t="s">
        <v>98</v>
      </c>
      <c r="C115" s="107" t="s">
        <v>5</v>
      </c>
      <c r="D115" s="107" t="s">
        <v>111</v>
      </c>
      <c r="E115" s="107" t="s">
        <v>110</v>
      </c>
      <c r="F115" s="107" t="s">
        <v>87</v>
      </c>
      <c r="G115" s="107" t="s">
        <v>112</v>
      </c>
      <c r="H115" s="107"/>
      <c r="I115" s="106"/>
      <c r="J115" s="132"/>
      <c r="K115" s="106"/>
      <c r="L115" s="89"/>
      <c r="N115" s="84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x14ac:dyDescent="0.3">
      <c r="B116" s="120" t="s">
        <v>755</v>
      </c>
      <c r="C116" s="114">
        <v>45097</v>
      </c>
      <c r="D116" s="120" t="s">
        <v>756</v>
      </c>
      <c r="E116" s="286">
        <v>9.82</v>
      </c>
      <c r="F116" s="239">
        <f>E116*EERR!$D$2</f>
        <v>7846.18</v>
      </c>
      <c r="G116" s="154"/>
      <c r="H116" s="154"/>
      <c r="I116" s="127" t="s">
        <v>135</v>
      </c>
      <c r="J116" s="133"/>
      <c r="K116" s="13"/>
      <c r="L116" s="89"/>
      <c r="M116" s="278"/>
      <c r="N116" s="279"/>
      <c r="O116" s="278"/>
      <c r="P116" s="279"/>
      <c r="Q116" s="280"/>
      <c r="R116" s="280"/>
      <c r="S116" s="280"/>
      <c r="T116" s="281"/>
      <c r="U116" s="313"/>
      <c r="V116" s="4"/>
      <c r="W116" s="4"/>
    </row>
    <row r="117" spans="2:24" ht="18" customHeight="1" x14ac:dyDescent="0.3">
      <c r="B117" s="120" t="s">
        <v>758</v>
      </c>
      <c r="C117" s="114">
        <v>45105</v>
      </c>
      <c r="D117" s="120" t="s">
        <v>183</v>
      </c>
      <c r="E117" s="286">
        <v>90</v>
      </c>
      <c r="F117" s="239">
        <f>E117*EERR!$D$2</f>
        <v>71910</v>
      </c>
      <c r="G117" s="154"/>
      <c r="H117" s="154"/>
      <c r="I117" s="127" t="s">
        <v>135</v>
      </c>
      <c r="J117" s="133"/>
      <c r="K117" s="13"/>
      <c r="L117" s="89"/>
      <c r="M117" s="282"/>
      <c r="N117" s="275"/>
      <c r="O117" s="282"/>
      <c r="P117" s="275"/>
      <c r="Q117" s="274"/>
      <c r="R117" s="274"/>
      <c r="S117" s="274"/>
      <c r="T117" s="277"/>
      <c r="U117" s="314"/>
      <c r="V117" s="4"/>
      <c r="W117" s="4"/>
    </row>
    <row r="118" spans="2:24" ht="18" customHeight="1" x14ac:dyDescent="0.3">
      <c r="B118" s="120" t="s">
        <v>760</v>
      </c>
      <c r="C118" s="114">
        <v>45108</v>
      </c>
      <c r="D118" s="120" t="s">
        <v>266</v>
      </c>
      <c r="E118" s="286">
        <v>54</v>
      </c>
      <c r="F118" s="239">
        <f>E118*EERR!$D$2</f>
        <v>43146</v>
      </c>
      <c r="G118" s="154"/>
      <c r="H118" s="154"/>
      <c r="I118" s="127" t="s">
        <v>135</v>
      </c>
      <c r="J118" s="133"/>
      <c r="K118" s="13"/>
      <c r="L118" s="89"/>
      <c r="M118" s="282"/>
      <c r="N118" s="275"/>
      <c r="O118" s="282"/>
      <c r="P118" s="275"/>
      <c r="Q118" s="274"/>
      <c r="R118" s="274"/>
      <c r="S118" s="274"/>
      <c r="T118" s="277"/>
      <c r="U118" s="314"/>
      <c r="V118" s="4"/>
      <c r="W118" s="4"/>
    </row>
    <row r="119" spans="2:24" ht="18" customHeight="1" thickBot="1" x14ac:dyDescent="0.35">
      <c r="B119" s="120"/>
      <c r="C119" s="114"/>
      <c r="D119" s="120"/>
      <c r="E119" s="287"/>
      <c r="F119" s="239"/>
      <c r="G119" s="154"/>
      <c r="H119" s="154"/>
      <c r="I119" s="127"/>
      <c r="J119" s="133"/>
      <c r="K119" s="88"/>
      <c r="L119" s="89"/>
      <c r="M119" s="206"/>
      <c r="N119" s="207"/>
      <c r="O119" s="282"/>
      <c r="P119" s="275"/>
      <c r="Q119" s="274"/>
      <c r="R119" s="274"/>
      <c r="S119" s="274"/>
      <c r="T119" s="277"/>
      <c r="U119" s="314"/>
      <c r="V119" s="4"/>
      <c r="W119" s="4"/>
    </row>
    <row r="120" spans="2:24" ht="18" customHeight="1" thickBot="1" x14ac:dyDescent="0.35">
      <c r="B120" s="120"/>
      <c r="C120" s="114"/>
      <c r="D120" s="120"/>
      <c r="E120" s="287"/>
      <c r="F120" s="239"/>
      <c r="G120" s="116"/>
      <c r="H120" s="115"/>
      <c r="I120" s="127"/>
      <c r="J120" s="134"/>
      <c r="K120" s="88"/>
      <c r="L120" s="89"/>
      <c r="N120" s="84"/>
      <c r="O120" s="206"/>
      <c r="P120" s="207"/>
      <c r="Q120" s="208"/>
      <c r="R120" s="208"/>
      <c r="S120" s="208"/>
      <c r="T120" s="209"/>
      <c r="U120" s="315"/>
      <c r="V120" s="4"/>
      <c r="W120" s="4"/>
    </row>
    <row r="121" spans="2:24" ht="18" customHeight="1" x14ac:dyDescent="0.3">
      <c r="B121" s="120"/>
      <c r="C121" s="114"/>
      <c r="D121" s="120"/>
      <c r="E121" s="287"/>
      <c r="F121" s="239"/>
      <c r="G121" s="116"/>
      <c r="H121" s="115"/>
      <c r="I121" s="127"/>
      <c r="J121" s="134"/>
      <c r="K121" s="88"/>
      <c r="L121" s="89"/>
      <c r="N121" s="84"/>
      <c r="O121" s="4"/>
      <c r="P121" s="4"/>
      <c r="Q121" s="4"/>
      <c r="R121" s="4"/>
      <c r="S121" s="4"/>
      <c r="T121" s="4"/>
      <c r="U121" s="4"/>
      <c r="V121" s="4"/>
      <c r="W121" s="4"/>
    </row>
    <row r="122" spans="2:24" ht="18" customHeight="1" x14ac:dyDescent="0.3">
      <c r="B122" s="114"/>
      <c r="C122" s="114"/>
      <c r="D122" s="87"/>
      <c r="E122" s="108"/>
      <c r="F122" s="239">
        <f>E122*EERR!$D$2</f>
        <v>0</v>
      </c>
      <c r="G122" s="87"/>
      <c r="H122" s="115"/>
      <c r="I122" s="127"/>
      <c r="J122" s="129"/>
      <c r="K122" s="88"/>
      <c r="L122" s="90"/>
      <c r="M122" s="34"/>
      <c r="N122" s="34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25">
      <c r="B123" s="93"/>
      <c r="C123" s="94"/>
      <c r="D123" s="94"/>
      <c r="E123" s="94"/>
      <c r="G123" s="91"/>
      <c r="H123" s="91"/>
      <c r="I123" s="91"/>
      <c r="J123" s="91"/>
      <c r="K123" s="91"/>
      <c r="L123"/>
      <c r="M123" s="34"/>
      <c r="O123" s="4"/>
      <c r="P123" s="265"/>
      <c r="Q123" s="265"/>
      <c r="R123" s="265"/>
      <c r="S123" s="265"/>
      <c r="T123" s="272"/>
      <c r="U123" s="4"/>
      <c r="V123" s="4"/>
      <c r="W123" s="4"/>
    </row>
    <row r="124" spans="2:24" ht="18" customHeight="1" x14ac:dyDescent="0.25">
      <c r="B124" s="93"/>
      <c r="C124" s="94"/>
      <c r="D124" s="94"/>
      <c r="E124" s="94"/>
      <c r="G124" s="91"/>
      <c r="H124" s="91"/>
      <c r="I124" s="91"/>
      <c r="J124" s="91"/>
      <c r="K124" s="91"/>
      <c r="L124"/>
      <c r="M124" s="34"/>
      <c r="O124" s="4"/>
      <c r="P124" s="4"/>
      <c r="Q124" s="4"/>
      <c r="R124" s="4"/>
      <c r="S124" s="4"/>
      <c r="T124" s="4"/>
      <c r="U124" s="4"/>
      <c r="V124" s="4"/>
      <c r="W124" s="4"/>
    </row>
    <row r="125" spans="2:24" ht="18" customHeight="1" x14ac:dyDescent="0.25">
      <c r="B125" s="93"/>
      <c r="C125" s="94"/>
      <c r="D125" s="94"/>
      <c r="E125" s="94"/>
      <c r="F125" s="118">
        <f>SUBTOTAL(9,F3:F122)</f>
        <v>24821687.18</v>
      </c>
      <c r="G125" s="118">
        <f>SUBTOTAL(9,G3:G122)</f>
        <v>56572881.660000004</v>
      </c>
      <c r="H125" s="118"/>
      <c r="I125" s="91"/>
      <c r="J125" s="4"/>
      <c r="K125" s="91"/>
      <c r="L125" s="90"/>
      <c r="M125" s="34"/>
      <c r="O125" s="41"/>
      <c r="P125" s="4"/>
      <c r="Q125" s="4"/>
      <c r="R125" s="4"/>
      <c r="S125" s="4"/>
      <c r="T125" s="4"/>
      <c r="U125" s="4"/>
      <c r="V125" s="310"/>
      <c r="W125" s="4"/>
      <c r="X125" s="310"/>
    </row>
    <row r="126" spans="2:24" ht="18" customHeight="1" x14ac:dyDescent="0.25">
      <c r="B126" s="23"/>
      <c r="E126" s="22"/>
      <c r="F126" s="23"/>
      <c r="G126" s="35"/>
      <c r="H126" s="47"/>
      <c r="I126" s="47" t="s">
        <v>4</v>
      </c>
      <c r="J126" s="4"/>
      <c r="L126" s="90"/>
      <c r="M126" s="34"/>
      <c r="O126" s="41"/>
      <c r="P126" s="4"/>
      <c r="Q126" s="4"/>
      <c r="R126" s="4"/>
      <c r="S126" s="4"/>
      <c r="T126" s="4"/>
      <c r="U126" s="4"/>
      <c r="V126" s="4"/>
      <c r="W126" s="4"/>
      <c r="X126" s="310"/>
    </row>
    <row r="127" spans="2:24" ht="18" customHeight="1" x14ac:dyDescent="0.3">
      <c r="B127" s="23"/>
      <c r="E127" s="22"/>
      <c r="F127" s="23"/>
      <c r="G127" s="35"/>
      <c r="H127" s="48">
        <f>SUMIF($I$3:$I$63,I127,$F$3:$F$63)-SUMIF($I$3:$I$63,I127,$G$3:$G$63)+EERR!$D$2*(SUMIF('BCI '!$I$65:$I$82,I127,'BCI '!$F$65:$F$82)-SUMIF('BCI '!$I$65:$I$82,I127,'BCI '!$G$65:$G$82))+SUMIF($I$88:$I$114,I127,$F$88:$F$114)-SUMIF($I$88:$I$114,I127,$G$88:$G$114)+(SUMIF($I$116:$I$122,I127,$F$116:$F$122)-SUMIF($I$116:$I$122,I127,$G$116:$G$122))</f>
        <v>53321</v>
      </c>
      <c r="I127" s="127" t="s">
        <v>136</v>
      </c>
      <c r="J127" s="4"/>
      <c r="L127" s="90"/>
      <c r="M127" s="34"/>
      <c r="O127" s="41"/>
      <c r="P127" s="4"/>
      <c r="Q127" s="4"/>
      <c r="R127" s="4"/>
      <c r="S127" s="4"/>
      <c r="T127" s="4"/>
      <c r="U127" s="4"/>
      <c r="V127" s="310"/>
      <c r="W127" s="4"/>
      <c r="X127" s="310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'!$G$65:$G$82))+SUMIF($I$88:$I$114,I128,$F$88:$F$114)-SUMIF($I$88:$I$114,I128,$G$88:$G$114)+(SUMIF($I$116:$I$122,I128,$F$116:$F$122)-SUMIF($I$116:$I$122,I128,$G$116:$G$122))</f>
        <v>3025159</v>
      </c>
      <c r="I128" s="127" t="s">
        <v>31</v>
      </c>
      <c r="J128" s="4"/>
      <c r="L128" s="90"/>
      <c r="M128" s="34"/>
      <c r="O128" s="264"/>
      <c r="P128" s="265"/>
      <c r="Q128" s="265"/>
      <c r="R128" s="265"/>
      <c r="S128" s="265"/>
      <c r="T128" s="265"/>
      <c r="U128" s="265"/>
      <c r="V128" s="265"/>
      <c r="W128" s="4"/>
      <c r="X128" s="310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'!$G$65:$G$82))+SUMIF($I$88:$I$114,I129,$F$88:$F$114)-SUMIF($I$88:$I$114,I129,$G$88:$G$114)+(SUMIF($I$116:$I$122,I129,$F$116:$F$122)-SUMIF($I$116:$I$122,I129,$G$116:$G$122))</f>
        <v>280949</v>
      </c>
      <c r="I129" s="127" t="s">
        <v>88</v>
      </c>
      <c r="J129" s="4"/>
      <c r="L129" s="90"/>
      <c r="M129" s="34"/>
      <c r="N129" s="86"/>
      <c r="O129" s="41"/>
      <c r="P129" s="4"/>
      <c r="Q129" s="4"/>
      <c r="R129" s="4"/>
      <c r="S129" s="4"/>
      <c r="T129" s="4"/>
      <c r="U129" s="4"/>
      <c r="V129" s="310"/>
      <c r="W129" s="4"/>
      <c r="X129" s="310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'!$G$65:$G$82))+SUMIF($I$88:$I$114,I130,$F$88:$F$114)-SUMIF($I$88:$I$114,I130,$G$88:$G$114)+(SUMIF($I$116:$I$122,I130,$F$116:$F$122)-SUMIF($I$116:$I$122,I130,$G$116:$G$122))</f>
        <v>122902.18</v>
      </c>
      <c r="I130" s="127" t="s">
        <v>135</v>
      </c>
      <c r="J130" s="4"/>
      <c r="L130" s="90"/>
      <c r="M130" s="34"/>
      <c r="N130" s="86"/>
      <c r="O130" s="41"/>
      <c r="P130" s="4"/>
      <c r="Q130" s="4"/>
      <c r="R130" s="4"/>
      <c r="S130" s="4"/>
      <c r="T130" s="4"/>
      <c r="U130" s="4"/>
      <c r="V130" s="310"/>
      <c r="W130" s="4"/>
      <c r="X130" s="310"/>
    </row>
    <row r="131" spans="2:35" ht="18" customHeight="1" x14ac:dyDescent="0.3"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'!$G$65:$G$82))+SUMIF($I$88:$I$114,I131,$F$88:$F$114)-SUMIF($I$88:$I$114,I131,$G$88:$G$114)+(SUMIF($I$116:$I$122,I131,$F$116:$F$122)-SUMIF($I$116:$I$122,I131,$G$116:$G$122))</f>
        <v>279933</v>
      </c>
      <c r="I131" s="127" t="s">
        <v>8</v>
      </c>
      <c r="J131" s="4"/>
      <c r="L131" s="90"/>
      <c r="M131" s="34"/>
      <c r="N131" s="86"/>
      <c r="O131" s="41"/>
      <c r="P131" s="4"/>
      <c r="Q131" s="4"/>
      <c r="R131" s="4"/>
      <c r="S131" s="4"/>
      <c r="T131" s="310"/>
      <c r="U131" s="4"/>
      <c r="V131" s="4"/>
      <c r="W131" s="4"/>
      <c r="X131" s="310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'!$G$65:$G$82))+SUMIF($I$88:$I$114,I132,$F$88:$F$114)-SUMIF($I$88:$I$114,I132,$G$88:$G$114)+(SUMIF($I$116:$I$122,I132,$F$116:$F$122)-SUMIF($I$116:$I$122,I132,$G$116:$G$122))</f>
        <v>2000000</v>
      </c>
      <c r="I132" s="128" t="s">
        <v>137</v>
      </c>
      <c r="J132" s="4"/>
      <c r="L132" s="90"/>
      <c r="M132" s="34"/>
      <c r="N132" s="86"/>
      <c r="O132" s="41"/>
      <c r="P132" s="4"/>
      <c r="Q132" s="4"/>
      <c r="R132" s="4"/>
      <c r="S132" s="4"/>
      <c r="T132" s="4"/>
      <c r="U132" s="4"/>
      <c r="V132" s="310"/>
      <c r="W132" s="4"/>
      <c r="X132" s="310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'!$G$65:$G$82))+SUMIF($I$88:$I$114,I133,$F$88:$F$114)-SUMIF($I$88:$I$114,I133,$G$88:$G$114)+(SUMIF($I$116:$I$122,I133,$F$116:$F$122)-SUMIF($I$116:$I$122,I133,$G$116:$G$122))</f>
        <v>2245325</v>
      </c>
      <c r="I133" s="127" t="s">
        <v>139</v>
      </c>
      <c r="J133" s="4"/>
      <c r="L133"/>
      <c r="N133" s="85"/>
      <c r="O133" s="41"/>
      <c r="P133" s="4"/>
      <c r="Q133" s="4"/>
      <c r="R133" s="4"/>
      <c r="S133" s="4"/>
      <c r="T133" s="4"/>
      <c r="U133" s="4"/>
      <c r="V133" s="310"/>
      <c r="W133" s="4"/>
      <c r="X133" s="311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'!$G$65:$G$82))+SUMIF($I$88:$I$114,I134,$F$88:$F$114)-SUMIF($I$88:$I$114,I134,$G$88:$G$114)+(SUMIF($I$116:$I$122,I134,$F$116:$F$122)-SUMIF($I$116:$I$122,I134,$G$116:$G$122))</f>
        <v>4379670</v>
      </c>
      <c r="I134" s="127" t="s">
        <v>138</v>
      </c>
      <c r="J134" s="4"/>
      <c r="L134"/>
      <c r="N134" s="85"/>
      <c r="O134" s="41"/>
      <c r="P134" s="4"/>
      <c r="Q134" s="4"/>
      <c r="R134" s="4"/>
      <c r="S134" s="4"/>
      <c r="T134" s="4"/>
      <c r="U134" s="4"/>
      <c r="V134" s="4"/>
      <c r="W134" s="4"/>
      <c r="X134" s="311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'!$G$65:$G$82))+SUMIF($I$88:$I$114,I135,$F$88:$F$114)-SUMIF($I$88:$I$114,I135,$G$88:$G$114)+(SUMIF($I$116:$I$122,I135,$F$116:$F$122)-SUMIF($I$116:$I$122,I135,$G$116:$G$122))</f>
        <v>0</v>
      </c>
      <c r="I135" s="128" t="s">
        <v>24</v>
      </c>
      <c r="J135" s="4"/>
      <c r="L135"/>
      <c r="N135" s="85"/>
      <c r="O135" s="85"/>
      <c r="P135" s="85"/>
      <c r="Q135" s="85"/>
      <c r="R135" s="85"/>
      <c r="S135" s="118"/>
      <c r="T135" s="118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'!$G$65:$G$82))+SUMIF($I$88:$I$114,I136,$F$88:$F$114)-SUMIF($I$88:$I$114,I136,$G$88:$G$114)+(SUMIF($I$116:$I$122,I136,$F$116:$F$122)-SUMIF($I$116:$I$122,I136,$G$116:$G$122))</f>
        <v>0</v>
      </c>
      <c r="I136" s="127" t="s">
        <v>11</v>
      </c>
      <c r="J136" s="4"/>
      <c r="L136"/>
      <c r="N136" s="85"/>
      <c r="O136" s="85"/>
      <c r="P136" s="85"/>
      <c r="Q136" s="85"/>
      <c r="R136" s="85"/>
      <c r="S136" s="118"/>
      <c r="T136" s="118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'!$G$65:$G$82))+SUMIF($I$88:$I$114,I137,$F$88:$F$114)-SUMIF($I$88:$I$114,I137,$G$88:$G$114)+(SUMIF($I$116:$I$122,I137,$F$116:$F$122)-SUMIF($I$116:$I$122,I137,$G$116:$G$122))</f>
        <v>560928</v>
      </c>
      <c r="I137" s="127" t="s">
        <v>19</v>
      </c>
      <c r="J137" s="4"/>
      <c r="L137"/>
      <c r="N137" s="85"/>
      <c r="O137" s="85"/>
      <c r="P137" s="85"/>
      <c r="Q137" s="85"/>
      <c r="R137" s="85"/>
      <c r="S137" s="118"/>
      <c r="T137" s="118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'!$G$65:$G$82))+SUMIF($I$88:$I$114,I138,$F$88:$F$114)-SUMIF($I$88:$I$114,I138,$G$88:$G$114)+(SUMIF($I$116:$I$122,I138,$F$116:$F$122)-SUMIF($I$116:$I$122,I138,$G$116:$G$122))</f>
        <v>2711397</v>
      </c>
      <c r="I138" s="127" t="s">
        <v>140</v>
      </c>
      <c r="J138" s="4"/>
      <c r="L138"/>
      <c r="N138" s="85"/>
      <c r="O138" s="85"/>
      <c r="P138" s="85"/>
      <c r="Q138" s="85"/>
      <c r="R138" s="85"/>
      <c r="S138" s="118"/>
      <c r="T138" s="118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'!$G$65:$G$82))+SUMIF($I$88:$I$114,I139,$F$88:$F$114)-SUMIF($I$88:$I$114,I139,$G$88:$G$114)+(SUMIF($I$116:$I$122,I139,$F$116:$F$122)-SUMIF($I$116:$I$122,I139,$G$116:$G$122))</f>
        <v>8763106</v>
      </c>
      <c r="I139" s="127" t="s">
        <v>30</v>
      </c>
      <c r="J139" s="4"/>
      <c r="L139"/>
      <c r="N139" s="85"/>
      <c r="O139" s="85"/>
      <c r="P139" s="85"/>
      <c r="Q139" s="85"/>
      <c r="R139" s="85"/>
      <c r="S139" s="118"/>
      <c r="T139" s="118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'!$G$65:$G$82))+SUMIF($I$88:$I$114,I140,$F$88:$F$114)-SUMIF($I$88:$I$114,I140,$G$88:$G$114)+(SUMIF($I$116:$I$122,I140,$F$116:$F$122)-SUMIF($I$116:$I$122,I140,$G$116:$G$122))</f>
        <v>46342000</v>
      </c>
      <c r="I140" s="127" t="s">
        <v>106</v>
      </c>
      <c r="J140" s="4"/>
      <c r="L140"/>
      <c r="N140" s="85"/>
      <c r="O140" s="85"/>
      <c r="P140" s="85"/>
      <c r="Q140" s="85"/>
      <c r="R140" s="85"/>
      <c r="S140" s="118"/>
      <c r="T140" s="118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'!$G$65:$G$82))+SUMIF($I$88:$I$114,I141,$F$88:$F$114)-SUMIF($I$88:$I$114,I141,$G$88:$G$114)+(SUMIF($I$116:$I$122,I141,$F$116:$F$122)-SUMIF($I$116:$I$122,I141,$G$116:$G$122))</f>
        <v>-69695270.340000004</v>
      </c>
      <c r="I141" s="127" t="s">
        <v>107</v>
      </c>
      <c r="J141" s="4"/>
      <c r="L141"/>
      <c r="M141" s="84"/>
      <c r="N141" s="85"/>
      <c r="O141" s="85"/>
      <c r="P141" s="85"/>
      <c r="Q141" s="85"/>
      <c r="R141" s="85"/>
      <c r="S141" s="118"/>
      <c r="T141" s="118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'!$G$65:$G$82))+SUMIF($I$88:$I$114,I142,$F$88:$F$114)-SUMIF($I$88:$I$114,I142,$G$88:$G$114)+(SUMIF($I$116:$I$122,I142,$F$116:$F$122)-SUMIF($I$116:$I$122,I142,$G$116:$G$122))</f>
        <v>-330024</v>
      </c>
      <c r="I142" s="127" t="s">
        <v>141</v>
      </c>
      <c r="J142" s="4"/>
      <c r="L142"/>
      <c r="N142" s="85"/>
      <c r="O142" s="85"/>
      <c r="P142" s="85"/>
      <c r="Q142" s="85"/>
      <c r="R142" s="85"/>
      <c r="S142" s="118"/>
      <c r="T142" s="118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'!$G$65:$G$82))+SUMIF($I$88:$I$114,I143,$F$88:$F$114)-SUMIF($I$88:$I$114,I143,$G$88:$G$114)+(SUMIF($I$116:$I$122,I143,$F$116:$F$122)-SUMIF($I$116:$I$122,I143,$G$116:$G$122))</f>
        <v>0</v>
      </c>
      <c r="I143" s="127" t="s">
        <v>142</v>
      </c>
      <c r="J143" s="4"/>
      <c r="L143"/>
      <c r="N143" s="85"/>
      <c r="O143" s="85"/>
      <c r="P143" s="85"/>
      <c r="Q143" s="85"/>
      <c r="R143" s="85"/>
      <c r="S143" s="118"/>
      <c r="T143" s="118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</row>
    <row r="144" spans="2:35" ht="18" customHeight="1" x14ac:dyDescent="0.25">
      <c r="G144" s="36"/>
      <c r="H144" s="49">
        <f>SUM(H127:H142)</f>
        <v>739395.84000000358</v>
      </c>
      <c r="I144" s="47" t="s">
        <v>22</v>
      </c>
      <c r="J144" s="4"/>
      <c r="L144"/>
      <c r="N144" s="85"/>
      <c r="O144" s="85"/>
      <c r="P144" s="85"/>
      <c r="Q144" s="85"/>
      <c r="R144" s="85"/>
      <c r="S144" s="118"/>
      <c r="T144" s="118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</row>
    <row r="145" spans="2:35" ht="18" customHeight="1" x14ac:dyDescent="0.25">
      <c r="B145" s="41"/>
      <c r="F145" s="60"/>
      <c r="G145" s="60"/>
      <c r="H145" s="60"/>
      <c r="J145" s="4"/>
      <c r="L145"/>
      <c r="N145" s="85"/>
      <c r="O145" s="85"/>
      <c r="P145" s="85"/>
      <c r="Q145" s="85"/>
      <c r="R145" s="85"/>
      <c r="S145" s="118"/>
      <c r="T145" s="118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</row>
    <row r="146" spans="2:35" ht="18" customHeight="1" x14ac:dyDescent="0.25">
      <c r="B146" s="41"/>
      <c r="F146" s="60"/>
      <c r="G146" s="60"/>
      <c r="H146" s="60"/>
      <c r="L146"/>
      <c r="N146" s="85"/>
      <c r="O146" s="85"/>
      <c r="P146" s="85"/>
      <c r="Q146" s="85"/>
      <c r="R146" s="85"/>
      <c r="S146" s="118"/>
      <c r="T146" s="118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</row>
    <row r="147" spans="2:35" ht="18" customHeight="1" x14ac:dyDescent="0.25">
      <c r="B147" s="41"/>
      <c r="F147" s="60"/>
      <c r="G147" s="60"/>
      <c r="H147" s="60"/>
      <c r="L147"/>
      <c r="N147" s="85"/>
      <c r="O147" s="85"/>
      <c r="P147" s="85"/>
      <c r="Q147" s="85"/>
      <c r="R147" s="85"/>
      <c r="S147" s="85"/>
      <c r="T147" s="118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</row>
    <row r="148" spans="2:35" ht="18" customHeight="1" x14ac:dyDescent="0.25">
      <c r="B148" s="41"/>
      <c r="F148" s="60"/>
      <c r="G148" s="60"/>
      <c r="H148" s="60"/>
      <c r="L148"/>
      <c r="N148" s="85"/>
      <c r="O148" s="85"/>
      <c r="P148" s="85"/>
      <c r="Q148" s="85"/>
      <c r="R148" s="85"/>
      <c r="S148" s="85"/>
      <c r="T148" s="118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</row>
    <row r="149" spans="2:35" ht="18" customHeight="1" thickBot="1" x14ac:dyDescent="0.3">
      <c r="B149" s="41"/>
      <c r="F149" s="60"/>
      <c r="G149" s="60"/>
      <c r="H149" s="60"/>
      <c r="L149"/>
      <c r="N149" s="85"/>
      <c r="O149" s="85"/>
      <c r="P149" s="85"/>
      <c r="Q149" s="85"/>
      <c r="R149" s="85"/>
      <c r="S149" s="85"/>
      <c r="T149" s="118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</row>
    <row r="150" spans="2:35" ht="18" customHeight="1" thickBot="1" x14ac:dyDescent="0.3">
      <c r="L150"/>
      <c r="N150" s="85"/>
      <c r="O150" s="85"/>
      <c r="P150" s="248"/>
      <c r="Q150" s="249"/>
      <c r="R150" s="250"/>
      <c r="S150" s="250"/>
      <c r="T150" s="250"/>
      <c r="U150" s="251"/>
      <c r="V150" s="261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</row>
    <row r="151" spans="2:35" ht="18" customHeight="1" thickBot="1" x14ac:dyDescent="0.3">
      <c r="I151" s="81"/>
      <c r="J151" s="81"/>
      <c r="K151" s="81"/>
      <c r="L151"/>
      <c r="N151" s="85"/>
      <c r="O151" s="85"/>
      <c r="P151" s="252"/>
      <c r="Q151" s="253"/>
      <c r="R151" s="254"/>
      <c r="S151" s="254"/>
      <c r="T151" s="250"/>
      <c r="U151" s="255"/>
      <c r="V151" s="262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</row>
    <row r="152" spans="2:35" ht="18" customHeight="1" thickBot="1" x14ac:dyDescent="0.3">
      <c r="I152" s="4"/>
      <c r="J152" s="4"/>
      <c r="L152"/>
      <c r="N152" s="85"/>
      <c r="O152" s="85"/>
      <c r="P152" s="252"/>
      <c r="Q152" s="253"/>
      <c r="R152" s="254"/>
      <c r="S152" s="254"/>
      <c r="T152" s="250"/>
      <c r="U152" s="256"/>
      <c r="V152" s="262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</row>
    <row r="153" spans="2:35" ht="18" customHeight="1" thickBot="1" x14ac:dyDescent="0.3">
      <c r="I153" s="4"/>
      <c r="J153" s="4"/>
      <c r="L153"/>
      <c r="N153" s="85"/>
      <c r="O153" s="85"/>
      <c r="P153" s="252"/>
      <c r="Q153" s="253"/>
      <c r="R153" s="254"/>
      <c r="S153" s="254"/>
      <c r="T153" s="250"/>
      <c r="U153" s="255"/>
      <c r="V153" s="262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</row>
    <row r="154" spans="2:35" ht="18" customHeight="1" thickBot="1" x14ac:dyDescent="0.3">
      <c r="I154" s="4"/>
      <c r="J154" s="4"/>
      <c r="L154"/>
      <c r="N154" s="85"/>
      <c r="O154" s="85"/>
      <c r="P154" s="252"/>
      <c r="Q154" s="253"/>
      <c r="R154" s="254"/>
      <c r="S154" s="254"/>
      <c r="T154" s="250"/>
      <c r="U154" s="256"/>
      <c r="V154" s="262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</row>
    <row r="155" spans="2:35" ht="18" customHeight="1" thickBot="1" x14ac:dyDescent="0.3">
      <c r="I155" s="4"/>
      <c r="J155" s="4"/>
      <c r="L155"/>
      <c r="M155" s="85"/>
      <c r="N155" s="85"/>
      <c r="O155" s="85"/>
      <c r="P155" s="257"/>
      <c r="Q155" s="258"/>
      <c r="R155" s="259"/>
      <c r="S155" s="259"/>
      <c r="T155" s="250"/>
      <c r="U155" s="260"/>
      <c r="V155" s="263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</row>
    <row r="156" spans="2:35" x14ac:dyDescent="0.2">
      <c r="I156" s="4"/>
      <c r="J156" s="4"/>
      <c r="M156" s="85"/>
      <c r="N156" s="85"/>
      <c r="O156" s="85"/>
      <c r="P156" s="85"/>
      <c r="Q156" s="85"/>
      <c r="R156" s="85"/>
      <c r="S156" s="4"/>
      <c r="T156" s="118"/>
      <c r="U156" s="4"/>
    </row>
    <row r="157" spans="2:35" ht="15" thickBot="1" x14ac:dyDescent="0.25">
      <c r="I157" s="4"/>
      <c r="J157" s="4"/>
      <c r="L157" s="91"/>
      <c r="M157" s="85"/>
      <c r="N157" s="85"/>
      <c r="O157" s="85"/>
      <c r="P157" s="85"/>
      <c r="Q157" s="85"/>
      <c r="R157" s="85"/>
      <c r="S157" s="4"/>
      <c r="T157" s="118"/>
      <c r="U157" s="4"/>
    </row>
    <row r="158" spans="2:35" ht="15" thickBot="1" x14ac:dyDescent="0.25">
      <c r="I158" s="4"/>
      <c r="J158" s="4"/>
      <c r="L158" s="203"/>
      <c r="M158" s="278"/>
      <c r="N158" s="279"/>
      <c r="O158" s="280"/>
      <c r="P158" s="285"/>
      <c r="Q158" s="280"/>
      <c r="R158" s="281"/>
      <c r="S158" s="283"/>
      <c r="T158" s="118"/>
    </row>
    <row r="159" spans="2:35" ht="15" thickBot="1" x14ac:dyDescent="0.25">
      <c r="I159" s="4"/>
      <c r="J159" s="4"/>
      <c r="L159" s="204"/>
      <c r="M159" s="282"/>
      <c r="N159" s="275"/>
      <c r="O159" s="274"/>
      <c r="P159" s="309"/>
      <c r="Q159" s="274"/>
      <c r="R159" s="276"/>
      <c r="S159" s="284"/>
      <c r="T159" s="118"/>
    </row>
    <row r="160" spans="2:35" ht="15" thickBot="1" x14ac:dyDescent="0.25">
      <c r="I160" s="4"/>
      <c r="J160" s="4"/>
      <c r="L160" s="91"/>
      <c r="M160" s="282"/>
      <c r="N160" s="275"/>
      <c r="O160" s="274"/>
      <c r="P160" s="309"/>
      <c r="Q160" s="274"/>
      <c r="R160" s="277"/>
      <c r="S160" s="284"/>
      <c r="T160" s="118"/>
    </row>
    <row r="161" spans="9:20" ht="15" thickBot="1" x14ac:dyDescent="0.25">
      <c r="I161" s="4"/>
      <c r="J161" s="4"/>
      <c r="L161" s="91"/>
      <c r="M161" s="282"/>
      <c r="N161" s="275"/>
      <c r="O161" s="274"/>
      <c r="P161" s="309"/>
      <c r="Q161" s="274"/>
      <c r="R161" s="277"/>
      <c r="S161" s="284"/>
      <c r="T161" s="118"/>
    </row>
    <row r="162" spans="9:20" ht="15" thickBot="1" x14ac:dyDescent="0.25">
      <c r="I162" s="4"/>
      <c r="J162" s="4"/>
      <c r="L162" s="91"/>
      <c r="M162" s="282"/>
      <c r="N162" s="275"/>
      <c r="O162" s="274"/>
      <c r="P162" s="309"/>
      <c r="Q162" s="274"/>
      <c r="R162" s="277"/>
      <c r="S162" s="284"/>
      <c r="T162" s="118"/>
    </row>
    <row r="163" spans="9:20" ht="15" thickBot="1" x14ac:dyDescent="0.25">
      <c r="I163" s="81"/>
      <c r="J163" s="81"/>
      <c r="K163" s="81"/>
      <c r="L163" s="91"/>
      <c r="M163" s="206"/>
      <c r="N163" s="207"/>
      <c r="O163" s="208"/>
      <c r="P163" s="285"/>
      <c r="Q163" s="208"/>
      <c r="R163" s="209"/>
      <c r="S163" s="228"/>
      <c r="T163" s="118"/>
    </row>
    <row r="164" spans="9:20" x14ac:dyDescent="0.2">
      <c r="N164" s="85"/>
      <c r="O164" s="91"/>
      <c r="P164" s="85"/>
      <c r="Q164" s="85"/>
      <c r="R164" s="86"/>
      <c r="S164" s="86"/>
      <c r="T164" s="118"/>
    </row>
    <row r="165" spans="9:20" x14ac:dyDescent="0.2">
      <c r="N165" s="85"/>
      <c r="O165" s="91"/>
      <c r="P165" s="85"/>
      <c r="Q165" s="85"/>
      <c r="R165" s="86"/>
      <c r="S165" s="86"/>
      <c r="T165" s="118"/>
    </row>
    <row r="166" spans="9:20" x14ac:dyDescent="0.2">
      <c r="N166" s="85"/>
      <c r="O166" s="91"/>
      <c r="P166" s="85"/>
      <c r="Q166" s="85"/>
      <c r="R166" s="86"/>
      <c r="S166" s="86"/>
      <c r="T166" s="118"/>
    </row>
    <row r="167" spans="9:20" x14ac:dyDescent="0.2">
      <c r="L167" s="34"/>
      <c r="M167" s="34"/>
      <c r="N167" s="34"/>
      <c r="O167" s="34"/>
      <c r="P167" s="85"/>
      <c r="Q167" s="85"/>
      <c r="R167" s="86"/>
      <c r="S167" s="86"/>
      <c r="T167" s="118"/>
    </row>
    <row r="168" spans="9:20" x14ac:dyDescent="0.2">
      <c r="L168" s="34"/>
      <c r="M168" s="34"/>
      <c r="N168" s="34"/>
      <c r="O168" s="34"/>
      <c r="P168" s="85"/>
      <c r="Q168" s="85"/>
      <c r="R168" s="86"/>
      <c r="S168" s="86"/>
      <c r="T168" s="118"/>
    </row>
    <row r="169" spans="9:20" x14ac:dyDescent="0.2">
      <c r="L169" s="34"/>
      <c r="M169" s="34"/>
      <c r="N169" s="34"/>
      <c r="O169" s="34"/>
      <c r="P169" s="82"/>
      <c r="T169" s="118"/>
    </row>
    <row r="170" spans="9:20" x14ac:dyDescent="0.2">
      <c r="L170" s="34"/>
      <c r="M170" s="34"/>
      <c r="N170" s="34"/>
      <c r="O170" s="34"/>
      <c r="P170" s="86"/>
      <c r="Q170" s="85"/>
      <c r="R170" s="86"/>
      <c r="S170" s="86"/>
      <c r="T170" s="118"/>
    </row>
    <row r="171" spans="9:20" x14ac:dyDescent="0.2">
      <c r="L171" s="34"/>
      <c r="M171" s="34"/>
      <c r="N171" s="34"/>
      <c r="O171" s="34"/>
      <c r="P171" s="86"/>
      <c r="Q171" s="85"/>
      <c r="R171" s="86"/>
      <c r="S171" s="86"/>
      <c r="T171" s="118"/>
    </row>
    <row r="172" spans="9:20" x14ac:dyDescent="0.2">
      <c r="L172" s="34"/>
      <c r="M172" s="34"/>
      <c r="N172" s="34"/>
      <c r="O172" s="34"/>
      <c r="P172" s="86"/>
      <c r="Q172" s="85"/>
      <c r="R172" s="86"/>
      <c r="S172" s="86"/>
      <c r="T172" s="118"/>
    </row>
    <row r="173" spans="9:20" x14ac:dyDescent="0.2">
      <c r="L173" s="34"/>
      <c r="M173" s="34"/>
      <c r="N173" s="34"/>
      <c r="O173" s="34"/>
      <c r="P173" s="86"/>
      <c r="Q173" s="85"/>
      <c r="R173" s="86"/>
      <c r="S173" s="86"/>
      <c r="T173" s="118"/>
    </row>
    <row r="174" spans="9:20" x14ac:dyDescent="0.2">
      <c r="L174" s="34"/>
      <c r="M174" s="34"/>
      <c r="N174" s="34"/>
      <c r="O174" s="34"/>
      <c r="P174" s="86"/>
      <c r="Q174" s="85"/>
      <c r="R174" s="86"/>
      <c r="S174" s="86"/>
      <c r="T174" s="118"/>
    </row>
    <row r="175" spans="9:20" x14ac:dyDescent="0.2">
      <c r="L175" s="34"/>
      <c r="M175" s="34"/>
      <c r="N175" s="34"/>
      <c r="O175" s="34"/>
      <c r="P175" s="4"/>
      <c r="Q175" s="4"/>
      <c r="R175" s="4"/>
      <c r="S175" s="4"/>
      <c r="T175" s="118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8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8"/>
    </row>
    <row r="178" spans="12:20" x14ac:dyDescent="0.2">
      <c r="L178" s="34"/>
      <c r="M178" s="34"/>
      <c r="N178" s="34"/>
      <c r="O178" s="34"/>
      <c r="P178" s="41"/>
      <c r="Q178" s="4"/>
      <c r="R178" s="4"/>
      <c r="S178" s="4"/>
      <c r="T178" s="118"/>
    </row>
    <row r="179" spans="12:20" x14ac:dyDescent="0.2">
      <c r="L179" s="34"/>
      <c r="M179" s="34"/>
      <c r="N179" s="34"/>
      <c r="O179" s="34"/>
      <c r="P179" s="4"/>
      <c r="Q179" s="4"/>
      <c r="R179" s="4"/>
      <c r="S179" s="4"/>
      <c r="T179" s="118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8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8"/>
    </row>
    <row r="182" spans="12:20" x14ac:dyDescent="0.2">
      <c r="L182" s="34"/>
      <c r="M182" s="34"/>
      <c r="N182" s="34"/>
      <c r="O182" s="34"/>
      <c r="P182" s="41"/>
      <c r="Q182" s="4"/>
      <c r="R182" s="4"/>
      <c r="S182" s="4"/>
      <c r="T182" s="118"/>
    </row>
    <row r="183" spans="12:20" x14ac:dyDescent="0.2">
      <c r="L183" s="34"/>
      <c r="M183" s="34"/>
      <c r="N183" s="34"/>
      <c r="O183" s="34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  <c r="P185" s="81"/>
    </row>
    <row r="186" spans="12:20" x14ac:dyDescent="0.2">
      <c r="L186" s="34"/>
      <c r="M186" s="34"/>
      <c r="N186" s="34"/>
      <c r="O186" s="34"/>
    </row>
    <row r="187" spans="12:20" x14ac:dyDescent="0.2">
      <c r="L187" s="34"/>
      <c r="M187" s="34"/>
      <c r="N187" s="34"/>
      <c r="O187" s="34"/>
    </row>
    <row r="189" spans="12:20" x14ac:dyDescent="0.2">
      <c r="P189" s="81"/>
    </row>
    <row r="191" spans="12:20" x14ac:dyDescent="0.2">
      <c r="O191" s="92"/>
    </row>
    <row r="193" spans="12:16" x14ac:dyDescent="0.2">
      <c r="L193" s="81"/>
      <c r="M193" s="81"/>
      <c r="P193" s="81"/>
    </row>
    <row r="195" spans="12:16" x14ac:dyDescent="0.2">
      <c r="O195" s="92"/>
    </row>
    <row r="197" spans="12:16" x14ac:dyDescent="0.2">
      <c r="P197" s="81"/>
    </row>
    <row r="199" spans="12:16" x14ac:dyDescent="0.2">
      <c r="O199" s="92"/>
    </row>
    <row r="201" spans="12:16" x14ac:dyDescent="0.2">
      <c r="P201" s="81"/>
    </row>
    <row r="203" spans="12:16" x14ac:dyDescent="0.2">
      <c r="O203" s="92"/>
    </row>
    <row r="205" spans="12:16" x14ac:dyDescent="0.2">
      <c r="L205" s="81"/>
      <c r="M205" s="81"/>
      <c r="P205" s="81"/>
    </row>
    <row r="207" spans="12:16" x14ac:dyDescent="0.2">
      <c r="O207" s="92"/>
    </row>
    <row r="209" spans="15:16" x14ac:dyDescent="0.2">
      <c r="P209" s="81"/>
    </row>
    <row r="211" spans="15:16" x14ac:dyDescent="0.2">
      <c r="O211" s="92"/>
    </row>
    <row r="213" spans="15:16" x14ac:dyDescent="0.2">
      <c r="P213" s="81"/>
    </row>
    <row r="215" spans="15:16" x14ac:dyDescent="0.2">
      <c r="O215" s="92"/>
    </row>
    <row r="218" spans="15:16" x14ac:dyDescent="0.2">
      <c r="O218" s="92"/>
    </row>
  </sheetData>
  <autoFilter ref="B2:K122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I52:I63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I3:I51 I116:I122 I65:I86 I139 I88:I114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I22" sqref="I22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62</v>
      </c>
      <c r="B1" s="54" t="s">
        <v>63</v>
      </c>
      <c r="C1" s="54" t="s">
        <v>64</v>
      </c>
      <c r="D1" s="55" t="s">
        <v>65</v>
      </c>
      <c r="E1" s="54" t="s">
        <v>66</v>
      </c>
      <c r="F1" s="54" t="s">
        <v>74</v>
      </c>
      <c r="G1" s="56" t="s">
        <v>37</v>
      </c>
      <c r="H1" s="57">
        <f>F2</f>
        <v>16900464</v>
      </c>
      <c r="J1" t="s">
        <v>38</v>
      </c>
    </row>
    <row r="2" spans="1:17" ht="18.75" x14ac:dyDescent="0.3">
      <c r="A2" s="51">
        <v>45082</v>
      </c>
      <c r="B2" s="50" t="s">
        <v>209</v>
      </c>
      <c r="C2" s="141">
        <v>0</v>
      </c>
      <c r="D2" s="52">
        <v>0</v>
      </c>
      <c r="E2" s="52">
        <v>342410</v>
      </c>
      <c r="F2" s="142">
        <v>16900464</v>
      </c>
      <c r="G2" s="127" t="s">
        <v>107</v>
      </c>
      <c r="J2" s="2" t="s">
        <v>5</v>
      </c>
      <c r="K2" s="2" t="s">
        <v>91</v>
      </c>
      <c r="L2" s="2" t="s">
        <v>92</v>
      </c>
      <c r="M2" s="2" t="s">
        <v>93</v>
      </c>
      <c r="N2" s="2" t="s">
        <v>94</v>
      </c>
      <c r="O2" s="2" t="s">
        <v>95</v>
      </c>
      <c r="P2" s="2" t="s">
        <v>96</v>
      </c>
    </row>
    <row r="3" spans="1:17" ht="18.75" x14ac:dyDescent="0.3">
      <c r="A3" s="51">
        <v>45083</v>
      </c>
      <c r="B3" s="50" t="s">
        <v>121</v>
      </c>
      <c r="C3" s="141">
        <v>394487892</v>
      </c>
      <c r="D3" s="52">
        <v>2188717</v>
      </c>
      <c r="E3" s="52">
        <v>0</v>
      </c>
      <c r="F3" s="142">
        <v>14711747</v>
      </c>
      <c r="G3" s="127" t="s">
        <v>30</v>
      </c>
      <c r="I3" s="5"/>
      <c r="J3" s="99"/>
      <c r="K3" s="13"/>
      <c r="L3" s="13"/>
      <c r="M3" s="13"/>
      <c r="N3" s="13"/>
      <c r="O3" s="13"/>
      <c r="P3" s="98"/>
    </row>
    <row r="4" spans="1:17" ht="18.75" x14ac:dyDescent="0.3">
      <c r="A4" s="51">
        <v>45083</v>
      </c>
      <c r="B4" s="50" t="s">
        <v>209</v>
      </c>
      <c r="C4" s="141">
        <v>0</v>
      </c>
      <c r="D4" s="52">
        <v>0</v>
      </c>
      <c r="E4" s="52">
        <v>333060</v>
      </c>
      <c r="F4" s="142">
        <v>15044807</v>
      </c>
      <c r="G4" s="127" t="s">
        <v>107</v>
      </c>
      <c r="J4" s="99"/>
      <c r="K4" s="13"/>
      <c r="L4" s="13"/>
      <c r="M4" s="13"/>
      <c r="N4" s="13"/>
      <c r="O4" s="13"/>
      <c r="P4" s="98"/>
    </row>
    <row r="5" spans="1:17" ht="18.75" x14ac:dyDescent="0.3">
      <c r="A5" s="51">
        <v>45085</v>
      </c>
      <c r="B5" s="50" t="s">
        <v>209</v>
      </c>
      <c r="C5" s="141">
        <v>0</v>
      </c>
      <c r="D5" s="52">
        <v>0</v>
      </c>
      <c r="E5" s="52">
        <v>191100</v>
      </c>
      <c r="F5" s="142">
        <v>15235907</v>
      </c>
      <c r="G5" s="127" t="s">
        <v>107</v>
      </c>
      <c r="J5" s="99"/>
      <c r="K5" s="13"/>
      <c r="L5" s="13"/>
      <c r="M5" s="13"/>
      <c r="N5" s="13"/>
      <c r="O5" s="13"/>
      <c r="P5" s="98"/>
    </row>
    <row r="6" spans="1:17" ht="18.75" x14ac:dyDescent="0.3">
      <c r="A6" s="51">
        <v>45089</v>
      </c>
      <c r="B6" s="50" t="s">
        <v>209</v>
      </c>
      <c r="C6" s="141">
        <v>0</v>
      </c>
      <c r="D6" s="52">
        <v>0</v>
      </c>
      <c r="E6" s="52">
        <v>172402</v>
      </c>
      <c r="F6" s="142">
        <v>15408309</v>
      </c>
      <c r="G6" s="127" t="s">
        <v>107</v>
      </c>
      <c r="J6" s="99"/>
      <c r="K6" s="13"/>
      <c r="L6" s="13"/>
      <c r="M6" s="13"/>
      <c r="N6" s="13"/>
      <c r="O6" s="13"/>
      <c r="P6" s="98"/>
    </row>
    <row r="7" spans="1:17" ht="18.75" x14ac:dyDescent="0.3">
      <c r="A7" s="51">
        <v>45089</v>
      </c>
      <c r="B7" s="50" t="s">
        <v>159</v>
      </c>
      <c r="C7" s="141">
        <v>397022175</v>
      </c>
      <c r="D7" s="52">
        <v>1688949</v>
      </c>
      <c r="E7" s="52">
        <v>0</v>
      </c>
      <c r="F7" s="142">
        <v>13719360</v>
      </c>
      <c r="G7" s="127" t="s">
        <v>24</v>
      </c>
      <c r="J7" s="99"/>
      <c r="K7" s="13"/>
      <c r="L7" s="13"/>
      <c r="M7" s="13"/>
      <c r="N7" s="13"/>
      <c r="O7" s="13"/>
      <c r="P7" s="98"/>
      <c r="Q7" s="102"/>
    </row>
    <row r="8" spans="1:17" ht="18.75" x14ac:dyDescent="0.3">
      <c r="A8" s="51">
        <v>45091</v>
      </c>
      <c r="B8" s="50" t="s">
        <v>209</v>
      </c>
      <c r="C8" s="141">
        <v>0</v>
      </c>
      <c r="D8" s="52">
        <v>0</v>
      </c>
      <c r="E8" s="52">
        <v>171039</v>
      </c>
      <c r="F8" s="142">
        <v>13890399</v>
      </c>
      <c r="G8" s="127" t="s">
        <v>107</v>
      </c>
      <c r="J8" s="99"/>
      <c r="K8" s="13"/>
      <c r="L8" s="13"/>
      <c r="M8" s="13"/>
      <c r="N8" s="13"/>
      <c r="O8" s="13"/>
      <c r="P8" s="98"/>
    </row>
    <row r="9" spans="1:17" ht="18.75" x14ac:dyDescent="0.3">
      <c r="A9" s="51">
        <v>45092</v>
      </c>
      <c r="B9" s="50" t="s">
        <v>159</v>
      </c>
      <c r="C9" s="141">
        <v>398112144</v>
      </c>
      <c r="D9" s="52">
        <v>665070</v>
      </c>
      <c r="E9" s="52">
        <v>0</v>
      </c>
      <c r="F9" s="142">
        <v>13225329</v>
      </c>
      <c r="G9" s="127" t="s">
        <v>24</v>
      </c>
      <c r="J9" s="99"/>
      <c r="K9" s="13"/>
      <c r="L9" s="13"/>
      <c r="M9" s="13"/>
      <c r="N9" s="13"/>
      <c r="O9" s="13"/>
      <c r="P9" s="98"/>
      <c r="Q9" s="102"/>
    </row>
    <row r="10" spans="1:17" ht="18.75" x14ac:dyDescent="0.3">
      <c r="A10" s="51">
        <v>45093</v>
      </c>
      <c r="B10" s="50" t="s">
        <v>762</v>
      </c>
      <c r="C10" s="141">
        <v>398921571</v>
      </c>
      <c r="D10" s="52">
        <v>5000000</v>
      </c>
      <c r="E10" s="52">
        <v>0</v>
      </c>
      <c r="F10" s="142">
        <v>8225329</v>
      </c>
      <c r="G10" s="127" t="s">
        <v>106</v>
      </c>
      <c r="J10" s="99"/>
      <c r="K10" s="13"/>
      <c r="L10" s="13"/>
      <c r="M10" s="13"/>
      <c r="N10" s="13"/>
      <c r="O10" s="13"/>
      <c r="P10" s="98"/>
    </row>
    <row r="11" spans="1:17" ht="18.75" x14ac:dyDescent="0.3">
      <c r="A11" s="51">
        <v>45097</v>
      </c>
      <c r="B11" s="50" t="s">
        <v>209</v>
      </c>
      <c r="C11" s="141">
        <v>0</v>
      </c>
      <c r="D11" s="52">
        <v>0</v>
      </c>
      <c r="E11" s="52">
        <v>172500</v>
      </c>
      <c r="F11" s="142">
        <v>8397829</v>
      </c>
      <c r="G11" s="127" t="s">
        <v>107</v>
      </c>
      <c r="J11" s="99"/>
      <c r="K11" s="13"/>
      <c r="L11" s="13"/>
      <c r="M11" s="13"/>
      <c r="N11" s="13"/>
      <c r="O11" s="13"/>
      <c r="P11" s="98"/>
    </row>
    <row r="12" spans="1:17" ht="18.75" x14ac:dyDescent="0.3">
      <c r="A12" s="51">
        <v>45099</v>
      </c>
      <c r="B12" s="50" t="s">
        <v>209</v>
      </c>
      <c r="C12" s="141">
        <v>0</v>
      </c>
      <c r="D12" s="52">
        <v>0</v>
      </c>
      <c r="E12" s="52">
        <v>172374</v>
      </c>
      <c r="F12" s="142">
        <v>8570203</v>
      </c>
      <c r="G12" s="127" t="s">
        <v>107</v>
      </c>
      <c r="J12" s="99"/>
      <c r="K12" s="13"/>
      <c r="L12" s="13"/>
      <c r="M12" s="13"/>
      <c r="N12" s="13"/>
      <c r="O12" s="13"/>
      <c r="P12" s="98"/>
    </row>
    <row r="13" spans="1:17" ht="18.75" x14ac:dyDescent="0.3">
      <c r="A13" s="51">
        <v>45099</v>
      </c>
      <c r="B13" s="50" t="s">
        <v>762</v>
      </c>
      <c r="C13" s="141">
        <v>400533384</v>
      </c>
      <c r="D13" s="52">
        <v>5000000</v>
      </c>
      <c r="E13" s="52">
        <v>0</v>
      </c>
      <c r="F13" s="142">
        <v>3570203</v>
      </c>
      <c r="G13" s="127" t="s">
        <v>106</v>
      </c>
      <c r="J13" s="99"/>
      <c r="K13" s="13"/>
      <c r="L13" s="13"/>
      <c r="M13" s="13"/>
      <c r="N13" s="13"/>
      <c r="O13" s="13"/>
      <c r="P13" s="98"/>
    </row>
    <row r="14" spans="1:17" ht="18.75" x14ac:dyDescent="0.3">
      <c r="A14" s="51">
        <v>45100</v>
      </c>
      <c r="B14" s="50" t="s">
        <v>454</v>
      </c>
      <c r="C14" s="141">
        <v>400624281</v>
      </c>
      <c r="D14" s="52">
        <v>674512</v>
      </c>
      <c r="E14" s="52">
        <v>0</v>
      </c>
      <c r="F14" s="142">
        <v>2895691</v>
      </c>
      <c r="G14" s="127" t="s">
        <v>30</v>
      </c>
      <c r="J14" s="99"/>
      <c r="K14" s="13"/>
      <c r="L14" s="13"/>
      <c r="M14" s="13"/>
      <c r="N14" s="13"/>
      <c r="O14" s="13"/>
      <c r="P14" s="98"/>
    </row>
    <row r="15" spans="1:17" ht="18.75" x14ac:dyDescent="0.3">
      <c r="A15" s="51">
        <v>45104</v>
      </c>
      <c r="B15" s="50" t="s">
        <v>209</v>
      </c>
      <c r="C15" s="141">
        <v>0</v>
      </c>
      <c r="D15" s="52">
        <v>0</v>
      </c>
      <c r="E15" s="52">
        <v>1376277</v>
      </c>
      <c r="F15" s="142">
        <v>4271968</v>
      </c>
      <c r="G15" s="127" t="s">
        <v>107</v>
      </c>
      <c r="J15" s="99"/>
      <c r="K15" s="13"/>
      <c r="L15" s="13"/>
      <c r="M15" s="13"/>
      <c r="N15" s="13"/>
      <c r="O15" s="13"/>
      <c r="P15" s="98"/>
    </row>
    <row r="16" spans="1:17" ht="18.75" x14ac:dyDescent="0.3">
      <c r="A16" s="51">
        <v>45105</v>
      </c>
      <c r="B16" s="50" t="s">
        <v>209</v>
      </c>
      <c r="C16" s="141">
        <v>0</v>
      </c>
      <c r="D16" s="52">
        <v>0</v>
      </c>
      <c r="E16" s="52">
        <v>348465</v>
      </c>
      <c r="F16" s="142">
        <v>4620433</v>
      </c>
      <c r="G16" s="127" t="s">
        <v>107</v>
      </c>
      <c r="J16" s="99"/>
      <c r="K16" s="13"/>
      <c r="L16" s="13"/>
      <c r="M16" s="13"/>
      <c r="N16" s="13"/>
      <c r="O16" s="13"/>
      <c r="P16" s="98"/>
    </row>
    <row r="17" spans="1:16" ht="18.75" x14ac:dyDescent="0.3">
      <c r="A17" s="51">
        <v>45106</v>
      </c>
      <c r="B17" s="50" t="s">
        <v>209</v>
      </c>
      <c r="C17" s="141">
        <v>0</v>
      </c>
      <c r="D17" s="52">
        <v>0</v>
      </c>
      <c r="E17" s="52">
        <v>1221689</v>
      </c>
      <c r="F17" s="142">
        <v>5842122</v>
      </c>
      <c r="G17" s="127" t="s">
        <v>107</v>
      </c>
      <c r="J17" s="99"/>
      <c r="K17" s="13"/>
      <c r="L17" s="13"/>
      <c r="M17" s="13"/>
      <c r="N17" s="13"/>
      <c r="O17" s="13"/>
      <c r="P17" s="98"/>
    </row>
    <row r="18" spans="1:16" ht="18.75" x14ac:dyDescent="0.3">
      <c r="A18" s="51"/>
      <c r="B18" s="50"/>
      <c r="C18" s="141"/>
      <c r="D18" s="52"/>
      <c r="E18" s="52"/>
      <c r="F18" s="142"/>
      <c r="G18" s="127"/>
      <c r="J18" s="99"/>
      <c r="K18" s="13"/>
      <c r="L18" s="13"/>
      <c r="M18" s="13"/>
      <c r="N18" s="13"/>
      <c r="O18" s="13"/>
      <c r="P18" s="98"/>
    </row>
    <row r="19" spans="1:16" ht="18.75" x14ac:dyDescent="0.3">
      <c r="A19" s="51"/>
      <c r="B19" s="50"/>
      <c r="C19" s="141"/>
      <c r="D19" s="52"/>
      <c r="E19" s="52"/>
      <c r="F19" s="142"/>
      <c r="G19" s="127"/>
      <c r="J19" s="99"/>
      <c r="K19" s="13"/>
      <c r="L19" s="13"/>
      <c r="M19" s="13"/>
      <c r="N19" s="13"/>
      <c r="O19" s="13"/>
      <c r="P19" s="98"/>
    </row>
    <row r="20" spans="1:16" ht="18.75" x14ac:dyDescent="0.3">
      <c r="A20" s="51"/>
      <c r="B20" s="50"/>
      <c r="C20" s="141"/>
      <c r="D20" s="52"/>
      <c r="E20" s="52"/>
      <c r="F20" s="142"/>
      <c r="G20" s="127"/>
      <c r="J20" s="99"/>
      <c r="K20" s="13"/>
      <c r="L20" s="13"/>
      <c r="M20" s="13"/>
      <c r="N20" s="13"/>
      <c r="O20" s="13"/>
      <c r="P20" s="98"/>
    </row>
    <row r="21" spans="1:16" ht="18.75" x14ac:dyDescent="0.3">
      <c r="A21" s="51"/>
      <c r="B21" s="50"/>
      <c r="C21" s="141"/>
      <c r="D21" s="52"/>
      <c r="E21" s="52"/>
      <c r="F21" s="142"/>
      <c r="G21" s="127"/>
      <c r="J21" s="99"/>
      <c r="K21" s="13"/>
      <c r="L21" s="13"/>
      <c r="M21" s="13"/>
      <c r="N21" s="13"/>
      <c r="O21" s="13"/>
      <c r="P21" s="98"/>
    </row>
    <row r="22" spans="1:16" ht="18.75" x14ac:dyDescent="0.3">
      <c r="A22" s="51"/>
      <c r="B22" s="50"/>
      <c r="C22" s="141"/>
      <c r="D22" s="52"/>
      <c r="E22" s="52"/>
      <c r="F22" s="142"/>
      <c r="G22" s="127"/>
    </row>
    <row r="23" spans="1:16" ht="18.75" x14ac:dyDescent="0.3">
      <c r="A23" s="51"/>
      <c r="B23" s="50"/>
      <c r="C23" s="141"/>
      <c r="D23" s="52"/>
      <c r="E23" s="52"/>
      <c r="F23" s="142"/>
      <c r="G23" s="127"/>
    </row>
    <row r="24" spans="1:16" ht="18.75" x14ac:dyDescent="0.3">
      <c r="A24" s="51"/>
      <c r="B24" s="50"/>
      <c r="C24" s="141"/>
      <c r="D24" s="52"/>
      <c r="E24" s="52"/>
      <c r="F24" s="142"/>
      <c r="G24" s="127"/>
      <c r="J24" s="181"/>
      <c r="K24" s="5"/>
    </row>
    <row r="25" spans="1:16" ht="18.75" x14ac:dyDescent="0.3">
      <c r="A25" s="51"/>
      <c r="B25" s="50"/>
      <c r="C25" s="141"/>
      <c r="D25" s="52"/>
      <c r="E25" s="52"/>
      <c r="F25" s="142"/>
      <c r="G25" s="127"/>
      <c r="K25" s="5"/>
    </row>
    <row r="26" spans="1:16" ht="18.75" x14ac:dyDescent="0.3">
      <c r="A26" s="51"/>
      <c r="B26" s="50"/>
      <c r="C26" s="141"/>
      <c r="D26" s="52"/>
      <c r="E26" s="52"/>
      <c r="F26" s="142"/>
      <c r="G26" s="127"/>
      <c r="K26" s="5"/>
    </row>
    <row r="27" spans="1:16" ht="18.75" x14ac:dyDescent="0.3">
      <c r="A27" s="51"/>
      <c r="B27" s="50"/>
      <c r="C27" s="141"/>
      <c r="D27" s="52"/>
      <c r="E27" s="52"/>
      <c r="F27" s="142"/>
      <c r="G27" s="127"/>
    </row>
    <row r="28" spans="1:16" ht="18.75" x14ac:dyDescent="0.3">
      <c r="A28" s="51"/>
      <c r="B28" s="50"/>
      <c r="C28" s="141"/>
      <c r="D28" s="52"/>
      <c r="E28" s="52"/>
      <c r="F28" s="142"/>
      <c r="G28" s="127"/>
    </row>
    <row r="29" spans="1:16" ht="18.75" x14ac:dyDescent="0.3">
      <c r="A29" s="51"/>
      <c r="B29" s="50"/>
      <c r="C29" s="141"/>
      <c r="D29" s="52"/>
      <c r="E29" s="52"/>
      <c r="F29" s="142"/>
      <c r="G29" s="127"/>
    </row>
    <row r="30" spans="1:16" ht="18.75" x14ac:dyDescent="0.3">
      <c r="A30" s="51"/>
      <c r="B30" s="50"/>
      <c r="C30" s="141"/>
      <c r="D30" s="52"/>
      <c r="E30" s="52"/>
      <c r="F30" s="142"/>
      <c r="G30" s="127"/>
    </row>
    <row r="31" spans="1:16" ht="18.75" x14ac:dyDescent="0.3">
      <c r="A31" s="51"/>
      <c r="B31" s="50"/>
      <c r="C31" s="141"/>
      <c r="D31" s="52"/>
      <c r="E31" s="52"/>
      <c r="F31" s="142"/>
      <c r="G31" s="127"/>
    </row>
    <row r="32" spans="1:16" ht="18.75" x14ac:dyDescent="0.3">
      <c r="A32" s="51"/>
      <c r="B32" s="50"/>
      <c r="C32" s="141"/>
      <c r="D32" s="52"/>
      <c r="E32" s="52"/>
      <c r="F32" s="142"/>
      <c r="G32" s="127"/>
    </row>
    <row r="33" spans="1:7" ht="18.75" x14ac:dyDescent="0.3">
      <c r="A33" s="51"/>
      <c r="B33" s="50"/>
      <c r="C33" s="141"/>
      <c r="D33" s="52"/>
      <c r="E33" s="52"/>
      <c r="F33" s="142"/>
      <c r="G33" s="127"/>
    </row>
    <row r="34" spans="1:7" ht="18.75" x14ac:dyDescent="0.3">
      <c r="A34" s="51"/>
      <c r="B34" s="50"/>
      <c r="C34" s="141"/>
      <c r="D34" s="52"/>
      <c r="E34" s="52"/>
      <c r="F34" s="142"/>
      <c r="G34" s="127"/>
    </row>
    <row r="35" spans="1:7" ht="18.75" x14ac:dyDescent="0.3">
      <c r="A35" s="51"/>
      <c r="B35" s="50"/>
      <c r="C35" s="141"/>
      <c r="D35" s="52"/>
      <c r="E35" s="52"/>
      <c r="F35" s="142"/>
      <c r="G35" s="127"/>
    </row>
    <row r="36" spans="1:7" ht="18.75" x14ac:dyDescent="0.3">
      <c r="A36" s="51"/>
      <c r="B36" s="50"/>
      <c r="C36" s="141"/>
      <c r="D36" s="52"/>
      <c r="E36" s="52"/>
      <c r="F36" s="142"/>
      <c r="G36" s="127"/>
    </row>
    <row r="37" spans="1:7" ht="18.75" x14ac:dyDescent="0.3">
      <c r="A37" s="51"/>
      <c r="B37" s="50"/>
      <c r="C37" s="141"/>
      <c r="D37" s="52"/>
      <c r="E37" s="52"/>
      <c r="F37" s="142"/>
      <c r="G37" s="127"/>
    </row>
    <row r="38" spans="1:7" ht="18.75" x14ac:dyDescent="0.3">
      <c r="A38" s="51"/>
      <c r="B38" s="50"/>
      <c r="C38" s="141"/>
      <c r="D38" s="52"/>
      <c r="E38" s="52"/>
      <c r="F38" s="142"/>
      <c r="G38" s="127"/>
    </row>
    <row r="39" spans="1:7" ht="18.75" x14ac:dyDescent="0.3">
      <c r="A39" s="51"/>
      <c r="B39" s="50"/>
      <c r="C39" s="141"/>
      <c r="D39" s="52"/>
      <c r="E39" s="52"/>
      <c r="F39" s="142"/>
      <c r="G39" s="127"/>
    </row>
    <row r="40" spans="1:7" ht="18.75" x14ac:dyDescent="0.3">
      <c r="A40" s="51"/>
      <c r="B40" s="50"/>
      <c r="C40" s="141"/>
      <c r="D40" s="52"/>
      <c r="E40" s="52"/>
      <c r="F40" s="142"/>
      <c r="G40" s="127"/>
    </row>
    <row r="41" spans="1:7" ht="18.75" x14ac:dyDescent="0.3">
      <c r="A41" s="51"/>
      <c r="B41" s="50"/>
      <c r="C41" s="141"/>
      <c r="D41" s="52"/>
      <c r="E41" s="52"/>
      <c r="F41" s="142"/>
      <c r="G41" s="127"/>
    </row>
    <row r="42" spans="1:7" ht="18.75" x14ac:dyDescent="0.3">
      <c r="A42" s="51"/>
      <c r="B42" s="50"/>
      <c r="C42" s="141"/>
      <c r="D42" s="52"/>
      <c r="E42" s="52"/>
      <c r="F42" s="142"/>
      <c r="G42" s="127"/>
    </row>
    <row r="43" spans="1:7" ht="18.75" x14ac:dyDescent="0.3">
      <c r="A43" s="51"/>
      <c r="B43" s="50"/>
      <c r="C43" s="141"/>
      <c r="D43" s="52"/>
      <c r="E43" s="52"/>
      <c r="F43" s="142"/>
      <c r="G43" s="127"/>
    </row>
    <row r="44" spans="1:7" ht="18.75" x14ac:dyDescent="0.3">
      <c r="A44" s="51"/>
      <c r="B44" s="50"/>
      <c r="C44" s="141"/>
      <c r="D44" s="52"/>
      <c r="E44" s="52"/>
      <c r="F44" s="142"/>
      <c r="G44" s="127"/>
    </row>
    <row r="45" spans="1:7" ht="18.75" x14ac:dyDescent="0.3">
      <c r="A45" s="51"/>
      <c r="B45" s="50"/>
      <c r="C45" s="141"/>
      <c r="D45" s="52"/>
      <c r="E45" s="52"/>
      <c r="F45" s="142"/>
      <c r="G45" s="127"/>
    </row>
    <row r="46" spans="1:7" ht="18.75" x14ac:dyDescent="0.3">
      <c r="A46" s="51"/>
      <c r="B46" s="50"/>
      <c r="C46" s="141"/>
      <c r="D46" s="52"/>
      <c r="E46" s="52"/>
      <c r="F46" s="142"/>
      <c r="G46" s="127"/>
    </row>
    <row r="47" spans="1:7" ht="18.75" x14ac:dyDescent="0.3">
      <c r="A47" s="51"/>
      <c r="B47" s="50"/>
      <c r="C47" s="141"/>
      <c r="D47" s="52"/>
      <c r="E47" s="52"/>
      <c r="F47" s="142"/>
      <c r="G47" s="127"/>
    </row>
    <row r="48" spans="1:7" ht="18.75" x14ac:dyDescent="0.3">
      <c r="A48" s="51"/>
      <c r="B48" s="50"/>
      <c r="C48" s="141"/>
      <c r="D48" s="52"/>
      <c r="E48" s="52"/>
      <c r="F48" s="142"/>
      <c r="G48" s="127"/>
    </row>
    <row r="49" spans="1:7" ht="18.75" x14ac:dyDescent="0.3">
      <c r="A49" s="51"/>
      <c r="B49" s="50"/>
      <c r="C49" s="141"/>
      <c r="D49" s="52"/>
      <c r="E49" s="52"/>
      <c r="F49" s="142"/>
      <c r="G49" s="127"/>
    </row>
    <row r="50" spans="1:7" ht="18.75" x14ac:dyDescent="0.3">
      <c r="A50" s="51"/>
      <c r="B50" s="50"/>
      <c r="C50" s="141"/>
      <c r="D50" s="52"/>
      <c r="E50" s="52"/>
      <c r="F50" s="142"/>
      <c r="G50" s="127"/>
    </row>
    <row r="51" spans="1:7" ht="18.75" x14ac:dyDescent="0.3">
      <c r="A51" s="51"/>
      <c r="B51" s="50"/>
      <c r="C51" s="141"/>
      <c r="D51" s="52"/>
      <c r="E51" s="52"/>
      <c r="F51" s="142"/>
      <c r="G51" s="127"/>
    </row>
    <row r="52" spans="1:7" ht="18.75" x14ac:dyDescent="0.3">
      <c r="A52" s="51"/>
      <c r="B52" s="50"/>
      <c r="C52" s="141"/>
      <c r="D52" s="52"/>
      <c r="E52" s="52"/>
      <c r="F52" s="142"/>
      <c r="G52" s="127"/>
    </row>
    <row r="53" spans="1:7" ht="18.75" x14ac:dyDescent="0.3">
      <c r="A53" s="51"/>
      <c r="B53" s="50"/>
      <c r="C53" s="141"/>
      <c r="D53" s="52"/>
      <c r="E53" s="52"/>
      <c r="F53" s="142"/>
      <c r="G53" s="127"/>
    </row>
    <row r="54" spans="1:7" ht="18.75" x14ac:dyDescent="0.3">
      <c r="A54" s="51"/>
      <c r="B54" s="50"/>
      <c r="C54" s="141"/>
      <c r="D54" s="52"/>
      <c r="E54" s="52"/>
      <c r="F54" s="142"/>
      <c r="G54" s="127"/>
    </row>
    <row r="55" spans="1:7" ht="18.75" x14ac:dyDescent="0.3">
      <c r="A55" s="51"/>
      <c r="B55" s="50"/>
      <c r="C55" s="141"/>
      <c r="D55" s="52"/>
      <c r="E55" s="52"/>
      <c r="F55" s="142"/>
      <c r="G55" s="127"/>
    </row>
    <row r="56" spans="1:7" ht="18.75" x14ac:dyDescent="0.3">
      <c r="A56" s="51"/>
      <c r="B56" s="50"/>
      <c r="C56" s="141"/>
      <c r="D56" s="52"/>
      <c r="E56" s="52"/>
      <c r="F56" s="142"/>
      <c r="G56" s="127"/>
    </row>
    <row r="57" spans="1:7" ht="18.75" x14ac:dyDescent="0.3">
      <c r="A57" s="51"/>
      <c r="B57" s="50"/>
      <c r="C57" s="50"/>
      <c r="D57" s="52"/>
      <c r="E57" s="52"/>
      <c r="F57" s="110"/>
      <c r="G57" s="127"/>
    </row>
    <row r="58" spans="1:7" ht="18.75" x14ac:dyDescent="0.3">
      <c r="A58" s="51"/>
      <c r="B58" s="50"/>
      <c r="C58" s="50"/>
      <c r="D58" s="52"/>
      <c r="E58" s="52"/>
      <c r="F58" s="110"/>
      <c r="G58" s="127"/>
    </row>
    <row r="59" spans="1:7" ht="18.75" x14ac:dyDescent="0.3">
      <c r="A59" s="51"/>
      <c r="B59" s="50"/>
      <c r="C59" s="50"/>
      <c r="D59" s="52"/>
      <c r="E59" s="52"/>
      <c r="F59" s="110"/>
      <c r="G59" s="127"/>
    </row>
    <row r="60" spans="1:7" ht="18.75" x14ac:dyDescent="0.3">
      <c r="A60" s="51"/>
      <c r="B60" s="50"/>
      <c r="C60" s="50"/>
      <c r="D60" s="52"/>
      <c r="E60" s="52"/>
      <c r="F60" s="110"/>
      <c r="G60" s="127"/>
    </row>
    <row r="61" spans="1:7" ht="18.75" x14ac:dyDescent="0.3">
      <c r="A61" s="51"/>
      <c r="B61" s="50"/>
      <c r="C61" s="50"/>
      <c r="D61" s="52"/>
      <c r="E61" s="52"/>
      <c r="F61" s="110"/>
      <c r="G61" s="127"/>
    </row>
    <row r="62" spans="1:7" ht="18.75" x14ac:dyDescent="0.3">
      <c r="A62" s="51"/>
      <c r="B62" s="50"/>
      <c r="C62" s="50"/>
      <c r="D62" s="52"/>
      <c r="E62" s="52"/>
      <c r="F62" s="110"/>
      <c r="G62" s="127"/>
    </row>
    <row r="63" spans="1:7" ht="18.75" x14ac:dyDescent="0.3">
      <c r="A63" s="51"/>
      <c r="B63" s="50"/>
      <c r="C63" s="50"/>
      <c r="D63" s="52"/>
      <c r="E63" s="52"/>
      <c r="F63" s="110"/>
      <c r="G63" s="127"/>
    </row>
    <row r="64" spans="1:7" ht="18.75" x14ac:dyDescent="0.3">
      <c r="A64" s="51"/>
      <c r="B64" s="50"/>
      <c r="C64" s="50"/>
      <c r="D64" s="52"/>
      <c r="E64" s="52"/>
      <c r="F64" s="110"/>
      <c r="G64" s="127"/>
    </row>
    <row r="65" spans="1:7" ht="18.75" x14ac:dyDescent="0.3">
      <c r="A65" s="51"/>
      <c r="B65" s="50"/>
      <c r="C65" s="50"/>
      <c r="D65" s="52"/>
      <c r="E65" s="52"/>
      <c r="F65" s="110"/>
      <c r="G65" s="127"/>
    </row>
    <row r="66" spans="1:7" x14ac:dyDescent="0.25">
      <c r="A66" s="51"/>
      <c r="B66" s="50"/>
      <c r="C66" s="50"/>
      <c r="D66" s="52"/>
      <c r="E66" s="52"/>
      <c r="F66" s="110"/>
      <c r="G66" s="50"/>
    </row>
    <row r="67" spans="1:7" x14ac:dyDescent="0.25">
      <c r="A67" s="51"/>
      <c r="B67" s="50"/>
      <c r="C67" s="50"/>
      <c r="D67" s="52"/>
      <c r="E67" s="52"/>
      <c r="F67" s="110"/>
      <c r="G67" s="50"/>
    </row>
    <row r="68" spans="1:7" x14ac:dyDescent="0.25">
      <c r="A68" s="51"/>
      <c r="B68" s="50"/>
      <c r="C68" s="50"/>
      <c r="D68" s="52"/>
      <c r="E68" s="52"/>
      <c r="F68" s="110"/>
      <c r="G68" s="50"/>
    </row>
    <row r="69" spans="1:7" x14ac:dyDescent="0.25">
      <c r="A69" s="51"/>
      <c r="B69" s="50"/>
      <c r="C69" s="50"/>
      <c r="D69" s="52"/>
      <c r="E69" s="52"/>
      <c r="F69" s="110"/>
      <c r="G69" s="50"/>
    </row>
    <row r="70" spans="1:7" x14ac:dyDescent="0.25">
      <c r="A70" s="51"/>
      <c r="B70" s="50"/>
      <c r="C70" s="50"/>
      <c r="D70" s="52"/>
      <c r="E70" s="52"/>
      <c r="F70" s="110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10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10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62</v>
      </c>
      <c r="B80" s="54" t="s">
        <v>63</v>
      </c>
      <c r="C80" s="54" t="s">
        <v>64</v>
      </c>
      <c r="D80" s="55" t="s">
        <v>65</v>
      </c>
      <c r="E80" s="54" t="s">
        <v>66</v>
      </c>
      <c r="F80" s="54" t="s">
        <v>74</v>
      </c>
      <c r="G80" s="56" t="s">
        <v>37</v>
      </c>
    </row>
    <row r="81" spans="1:10" ht="15" customHeight="1" x14ac:dyDescent="0.3">
      <c r="A81" s="51"/>
      <c r="B81" s="50"/>
      <c r="C81" s="50"/>
      <c r="D81" s="52"/>
      <c r="E81" s="52"/>
      <c r="F81" s="110"/>
      <c r="G81" s="127"/>
    </row>
    <row r="82" spans="1:10" ht="15" customHeight="1" x14ac:dyDescent="0.3">
      <c r="A82" s="51"/>
      <c r="B82" s="50"/>
      <c r="C82" s="50"/>
      <c r="D82" s="52"/>
      <c r="E82" s="52"/>
      <c r="F82" s="110"/>
      <c r="G82" s="127"/>
    </row>
    <row r="83" spans="1:10" ht="15" customHeight="1" x14ac:dyDescent="0.3">
      <c r="A83" s="51"/>
      <c r="B83" s="50"/>
      <c r="C83" s="50"/>
      <c r="D83" s="52"/>
      <c r="E83" s="52"/>
      <c r="F83" s="110"/>
      <c r="G83" s="127"/>
      <c r="H83" s="5"/>
    </row>
    <row r="84" spans="1:10" ht="15" customHeight="1" x14ac:dyDescent="0.3">
      <c r="A84" s="51"/>
      <c r="B84" s="50"/>
      <c r="C84" s="50"/>
      <c r="D84" s="52"/>
      <c r="E84" s="52"/>
      <c r="F84" s="110"/>
      <c r="G84" s="127"/>
    </row>
    <row r="85" spans="1:10" ht="15" customHeight="1" x14ac:dyDescent="0.3">
      <c r="A85" s="51"/>
      <c r="B85" s="50"/>
      <c r="C85" s="50"/>
      <c r="D85" s="52"/>
      <c r="E85" s="52"/>
      <c r="F85" s="110"/>
      <c r="G85" s="127"/>
    </row>
    <row r="86" spans="1:10" ht="15" customHeight="1" x14ac:dyDescent="0.3">
      <c r="A86" s="51"/>
      <c r="B86" s="50"/>
      <c r="C86" s="50"/>
      <c r="D86" s="52"/>
      <c r="E86" s="52"/>
      <c r="F86" s="110"/>
      <c r="G86" s="127"/>
    </row>
    <row r="87" spans="1:10" ht="15" customHeight="1" x14ac:dyDescent="0.3">
      <c r="A87" s="51"/>
      <c r="B87" s="50"/>
      <c r="C87" s="50"/>
      <c r="D87" s="52"/>
      <c r="E87" s="52"/>
      <c r="F87" s="110"/>
      <c r="G87" s="127"/>
    </row>
    <row r="88" spans="1:10" ht="15" customHeight="1" x14ac:dyDescent="0.3">
      <c r="A88" s="51"/>
      <c r="B88" s="50"/>
      <c r="C88" s="50"/>
      <c r="D88" s="52"/>
      <c r="E88" s="52"/>
      <c r="F88" s="48"/>
      <c r="G88" s="127"/>
    </row>
    <row r="89" spans="1:10" ht="15" customHeight="1" x14ac:dyDescent="0.3">
      <c r="A89" s="67"/>
      <c r="B89" s="68"/>
      <c r="C89" s="68"/>
      <c r="D89" s="69"/>
      <c r="E89" s="69"/>
      <c r="F89" s="69"/>
      <c r="G89" s="127"/>
      <c r="J89">
        <v>776226</v>
      </c>
    </row>
    <row r="92" spans="1:10" x14ac:dyDescent="0.25">
      <c r="D92" s="1">
        <f>SUBTOTAL(9,D2:D89)</f>
        <v>15217248</v>
      </c>
      <c r="E92" s="1">
        <f>SUBTOTAL(9,E2:E89)</f>
        <v>4501316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62</v>
      </c>
      <c r="B95" s="54" t="s">
        <v>63</v>
      </c>
      <c r="C95" s="54" t="s">
        <v>64</v>
      </c>
      <c r="D95" s="55" t="s">
        <v>65</v>
      </c>
      <c r="F95" s="48">
        <f>SUMIF($G$2:$G$79,G95,$D$2:$D$79)-SUMIF($G$2:$G$79,G95,$E$2:$E$79)+EERR!$D$2*(SUMIF($G$81:$G$89,G95,$D$81:$D$89)-SUMIF($G$81:$G$89,G95,$E$81:$E$89))</f>
        <v>0</v>
      </c>
      <c r="G95" s="127" t="s">
        <v>136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7" t="s">
        <v>31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7" t="s">
        <v>88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7" t="s">
        <v>135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7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8" t="s">
        <v>137</v>
      </c>
      <c r="H100" s="73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7" t="s">
        <v>139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7" t="s">
        <v>138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2354019</v>
      </c>
      <c r="G103" s="128" t="s">
        <v>24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7" t="s">
        <v>11</v>
      </c>
      <c r="H104" s="74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7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7" t="s">
        <v>140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2863229</v>
      </c>
      <c r="G107" s="127" t="s">
        <v>30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10000000</v>
      </c>
      <c r="G108" s="127" t="s">
        <v>106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-4501316</v>
      </c>
      <c r="G109" s="127" t="s">
        <v>107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0</v>
      </c>
      <c r="G110" s="127" t="s">
        <v>141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7" t="s">
        <v>142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0</v>
      </c>
      <c r="G112" s="127" t="s">
        <v>158</v>
      </c>
    </row>
    <row r="113" spans="6:7" x14ac:dyDescent="0.25">
      <c r="F113" s="49"/>
      <c r="G113" s="47" t="s">
        <v>22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 filterMode="1"/>
  <dimension ref="A1:BA2832"/>
  <sheetViews>
    <sheetView tabSelected="1" zoomScale="85" zoomScaleNormal="85" workbookViewId="0">
      <selection activeCell="J258" sqref="J258:J266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25</v>
      </c>
      <c r="C1" s="37" t="s">
        <v>123</v>
      </c>
      <c r="D1" s="37" t="s">
        <v>124</v>
      </c>
      <c r="E1" s="37" t="s">
        <v>125</v>
      </c>
      <c r="F1" s="37" t="s">
        <v>126</v>
      </c>
      <c r="G1" s="63" t="s">
        <v>76</v>
      </c>
      <c r="H1" s="37" t="s">
        <v>127</v>
      </c>
      <c r="I1" s="37" t="s">
        <v>128</v>
      </c>
      <c r="J1" s="64" t="s">
        <v>267</v>
      </c>
      <c r="K1"/>
      <c r="L1"/>
      <c r="M1"/>
      <c r="N1"/>
      <c r="O1"/>
      <c r="P1"/>
      <c r="Q1"/>
      <c r="R1"/>
      <c r="S1"/>
      <c r="T1"/>
      <c r="U1"/>
      <c r="V1"/>
    </row>
    <row r="2" spans="1:53" hidden="1" x14ac:dyDescent="0.25">
      <c r="A2" s="316" t="s">
        <v>584</v>
      </c>
      <c r="B2" s="317" t="s">
        <v>260</v>
      </c>
      <c r="C2" s="317" t="s">
        <v>803</v>
      </c>
      <c r="D2" s="317" t="s">
        <v>804</v>
      </c>
      <c r="E2" s="318">
        <v>49465</v>
      </c>
      <c r="F2" s="317">
        <v>0</v>
      </c>
      <c r="G2" s="319" t="s">
        <v>805</v>
      </c>
      <c r="H2" s="138">
        <v>251711</v>
      </c>
      <c r="I2" s="138" t="s">
        <v>149</v>
      </c>
      <c r="J2" s="39"/>
      <c r="K2" s="5"/>
      <c r="L2"/>
      <c r="M2"/>
      <c r="N2"/>
      <c r="O2"/>
      <c r="P2"/>
      <c r="Q2"/>
      <c r="R2"/>
      <c r="S2"/>
      <c r="T2"/>
      <c r="U2"/>
      <c r="V2"/>
    </row>
    <row r="3" spans="1:53" hidden="1" x14ac:dyDescent="0.25">
      <c r="A3" s="316" t="s">
        <v>590</v>
      </c>
      <c r="B3" s="317" t="s">
        <v>260</v>
      </c>
      <c r="C3" s="317" t="s">
        <v>806</v>
      </c>
      <c r="D3" s="318" t="s">
        <v>807</v>
      </c>
      <c r="E3" s="318">
        <v>64080</v>
      </c>
      <c r="F3" s="317">
        <v>0</v>
      </c>
      <c r="G3" s="319" t="s">
        <v>808</v>
      </c>
      <c r="H3" s="138">
        <v>341217</v>
      </c>
      <c r="I3" s="138" t="s">
        <v>156</v>
      </c>
      <c r="J3" s="39"/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x14ac:dyDescent="0.25">
      <c r="A4" s="316" t="s">
        <v>638</v>
      </c>
      <c r="B4" s="317" t="s">
        <v>260</v>
      </c>
      <c r="C4" s="317" t="s">
        <v>455</v>
      </c>
      <c r="D4" s="318" t="s">
        <v>809</v>
      </c>
      <c r="E4" s="318">
        <v>105780</v>
      </c>
      <c r="F4" s="317">
        <v>0</v>
      </c>
      <c r="G4" s="138" t="s">
        <v>308</v>
      </c>
      <c r="H4" s="138" t="s">
        <v>810</v>
      </c>
      <c r="I4" s="138" t="s">
        <v>151</v>
      </c>
      <c r="J4" s="39"/>
      <c r="K4" s="5"/>
      <c r="L4" s="43" t="s">
        <v>49</v>
      </c>
      <c r="M4" s="44" t="s">
        <v>50</v>
      </c>
      <c r="N4" s="44" t="s">
        <v>50</v>
      </c>
      <c r="O4" s="44" t="s">
        <v>50</v>
      </c>
      <c r="P4" s="44" t="s">
        <v>50</v>
      </c>
      <c r="Q4" s="44" t="s">
        <v>50</v>
      </c>
      <c r="R4" s="44" t="s">
        <v>50</v>
      </c>
      <c r="S4" s="44" t="s">
        <v>50</v>
      </c>
      <c r="T4" s="44" t="s">
        <v>50</v>
      </c>
      <c r="U4" s="44" t="s">
        <v>50</v>
      </c>
      <c r="V4" s="44" t="s">
        <v>50</v>
      </c>
      <c r="W4" s="44" t="s">
        <v>50</v>
      </c>
      <c r="X4" s="44"/>
      <c r="Y4" s="44" t="s">
        <v>50</v>
      </c>
      <c r="Z4" s="44" t="s">
        <v>50</v>
      </c>
      <c r="AA4" s="44" t="s">
        <v>50</v>
      </c>
      <c r="AB4" s="44" t="s">
        <v>50</v>
      </c>
      <c r="AC4" s="44" t="s">
        <v>50</v>
      </c>
      <c r="AD4" s="44" t="s">
        <v>50</v>
      </c>
      <c r="AE4" s="44" t="s">
        <v>50</v>
      </c>
      <c r="AF4" s="44" t="s">
        <v>50</v>
      </c>
      <c r="AG4" s="44" t="s">
        <v>50</v>
      </c>
      <c r="AH4" s="44" t="s">
        <v>50</v>
      </c>
      <c r="AI4" s="44" t="s">
        <v>50</v>
      </c>
      <c r="AJ4" s="44" t="s">
        <v>50</v>
      </c>
      <c r="AK4" s="44" t="s">
        <v>50</v>
      </c>
      <c r="AL4" s="44" t="s">
        <v>50</v>
      </c>
      <c r="AM4" s="44" t="s">
        <v>50</v>
      </c>
      <c r="AN4" s="44" t="s">
        <v>50</v>
      </c>
      <c r="AO4" s="44" t="s">
        <v>50</v>
      </c>
      <c r="AP4" s="44" t="s">
        <v>160</v>
      </c>
      <c r="AQ4" s="44" t="s">
        <v>160</v>
      </c>
      <c r="AR4" s="44" t="s">
        <v>160</v>
      </c>
      <c r="AS4" s="44" t="s">
        <v>160</v>
      </c>
      <c r="AT4" s="44" t="s">
        <v>160</v>
      </c>
      <c r="AU4" s="44" t="s">
        <v>50</v>
      </c>
      <c r="AV4" s="44" t="s">
        <v>50</v>
      </c>
      <c r="AW4" s="44"/>
      <c r="AX4" s="44" t="s">
        <v>50</v>
      </c>
      <c r="AY4" s="44" t="s">
        <v>50</v>
      </c>
      <c r="AZ4" s="44" t="s">
        <v>50</v>
      </c>
      <c r="BA4" s="44" t="s">
        <v>50</v>
      </c>
    </row>
    <row r="5" spans="1:53" hidden="1" x14ac:dyDescent="0.25">
      <c r="A5" s="316" t="s">
        <v>638</v>
      </c>
      <c r="B5" s="317" t="s">
        <v>260</v>
      </c>
      <c r="C5" s="317" t="s">
        <v>455</v>
      </c>
      <c r="D5" s="318" t="s">
        <v>811</v>
      </c>
      <c r="E5" s="318">
        <v>34970</v>
      </c>
      <c r="F5" s="317">
        <v>0</v>
      </c>
      <c r="G5" s="319" t="s">
        <v>308</v>
      </c>
      <c r="H5" s="138">
        <v>90443</v>
      </c>
      <c r="I5" s="138" t="s">
        <v>152</v>
      </c>
      <c r="J5" s="39"/>
      <c r="K5" s="5"/>
      <c r="L5" s="42" t="s">
        <v>51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hidden="1" x14ac:dyDescent="0.25">
      <c r="A6" s="316" t="s">
        <v>638</v>
      </c>
      <c r="B6" s="317" t="s">
        <v>260</v>
      </c>
      <c r="C6" s="317" t="s">
        <v>455</v>
      </c>
      <c r="D6" s="317" t="s">
        <v>812</v>
      </c>
      <c r="E6" s="318">
        <v>15720</v>
      </c>
      <c r="F6" s="317">
        <v>0</v>
      </c>
      <c r="G6" s="319" t="s">
        <v>308</v>
      </c>
      <c r="H6" s="138">
        <v>90444</v>
      </c>
      <c r="I6" s="138" t="s">
        <v>152</v>
      </c>
      <c r="J6" s="39"/>
      <c r="K6" s="5"/>
      <c r="L6" s="42" t="s">
        <v>52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hidden="1" x14ac:dyDescent="0.25">
      <c r="A7" s="316" t="s">
        <v>638</v>
      </c>
      <c r="B7" s="317" t="s">
        <v>260</v>
      </c>
      <c r="C7" s="317" t="s">
        <v>813</v>
      </c>
      <c r="D7" s="317" t="s">
        <v>814</v>
      </c>
      <c r="E7" s="318">
        <v>11499</v>
      </c>
      <c r="F7" s="317">
        <v>0</v>
      </c>
      <c r="G7" s="138" t="s">
        <v>307</v>
      </c>
      <c r="H7" s="138">
        <v>19122574</v>
      </c>
      <c r="I7" s="138" t="s">
        <v>150</v>
      </c>
      <c r="J7" s="39"/>
      <c r="K7" s="5"/>
      <c r="L7" s="42" t="s">
        <v>53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161</v>
      </c>
      <c r="AQ7" s="19" t="s">
        <v>161</v>
      </c>
      <c r="AR7" s="19" t="s">
        <v>161</v>
      </c>
      <c r="AS7" s="19" t="s">
        <v>161</v>
      </c>
      <c r="AT7" s="19" t="s">
        <v>161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x14ac:dyDescent="0.25">
      <c r="A8" s="316" t="s">
        <v>638</v>
      </c>
      <c r="B8" s="317" t="s">
        <v>260</v>
      </c>
      <c r="C8" s="317" t="s">
        <v>815</v>
      </c>
      <c r="D8" s="318" t="s">
        <v>816</v>
      </c>
      <c r="E8" s="318">
        <v>146685</v>
      </c>
      <c r="F8" s="317">
        <v>0</v>
      </c>
      <c r="G8" s="319" t="s">
        <v>307</v>
      </c>
      <c r="H8" s="138">
        <v>19122575</v>
      </c>
      <c r="I8" s="138" t="s">
        <v>151</v>
      </c>
      <c r="J8" s="39"/>
      <c r="K8" s="5"/>
      <c r="L8" s="42" t="s">
        <v>54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hidden="1" x14ac:dyDescent="0.25">
      <c r="A9" s="316" t="s">
        <v>638</v>
      </c>
      <c r="B9" s="317" t="s">
        <v>260</v>
      </c>
      <c r="C9" s="317" t="s">
        <v>817</v>
      </c>
      <c r="D9" s="318" t="s">
        <v>818</v>
      </c>
      <c r="E9" s="318">
        <v>54000</v>
      </c>
      <c r="F9" s="317">
        <v>0</v>
      </c>
      <c r="G9" s="319" t="s">
        <v>307</v>
      </c>
      <c r="H9" s="138">
        <v>19122576</v>
      </c>
      <c r="I9" s="138" t="s">
        <v>119</v>
      </c>
      <c r="J9" s="39"/>
      <c r="K9" s="5"/>
      <c r="L9" s="42" t="s">
        <v>55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hidden="1" x14ac:dyDescent="0.25">
      <c r="A10" s="320" t="s">
        <v>638</v>
      </c>
      <c r="B10" s="321" t="s">
        <v>260</v>
      </c>
      <c r="C10" s="321" t="s">
        <v>819</v>
      </c>
      <c r="D10" s="322" t="s">
        <v>820</v>
      </c>
      <c r="E10" s="322">
        <v>39910</v>
      </c>
      <c r="F10" s="321">
        <v>0</v>
      </c>
      <c r="G10" s="138" t="s">
        <v>306</v>
      </c>
      <c r="H10" s="138">
        <v>74743211</v>
      </c>
      <c r="I10" s="138" t="s">
        <v>150</v>
      </c>
      <c r="J10" s="39"/>
      <c r="K10" s="5"/>
      <c r="L10" s="42" t="s">
        <v>56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x14ac:dyDescent="0.25">
      <c r="A11" s="320" t="s">
        <v>638</v>
      </c>
      <c r="B11" s="321" t="s">
        <v>260</v>
      </c>
      <c r="C11" s="321" t="s">
        <v>821</v>
      </c>
      <c r="D11" s="322" t="s">
        <v>822</v>
      </c>
      <c r="E11" s="322">
        <v>270996</v>
      </c>
      <c r="F11" s="321">
        <v>0</v>
      </c>
      <c r="G11" s="323" t="s">
        <v>306</v>
      </c>
      <c r="H11" s="138">
        <v>74743212</v>
      </c>
      <c r="I11" s="138" t="s">
        <v>151</v>
      </c>
      <c r="J11" s="39"/>
      <c r="K11" s="5"/>
      <c r="L11" s="42" t="s">
        <v>57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hidden="1" x14ac:dyDescent="0.25">
      <c r="A12" s="320" t="s">
        <v>638</v>
      </c>
      <c r="B12" s="321" t="s">
        <v>260</v>
      </c>
      <c r="C12" s="321" t="s">
        <v>823</v>
      </c>
      <c r="D12" s="322" t="s">
        <v>824</v>
      </c>
      <c r="E12" s="322">
        <v>174832</v>
      </c>
      <c r="F12" s="321">
        <v>0</v>
      </c>
      <c r="G12" s="138" t="s">
        <v>306</v>
      </c>
      <c r="H12" s="138">
        <v>74743213</v>
      </c>
      <c r="I12" s="138" t="s">
        <v>152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x14ac:dyDescent="0.25">
      <c r="A13" s="320" t="s">
        <v>638</v>
      </c>
      <c r="B13" s="321" t="s">
        <v>260</v>
      </c>
      <c r="C13" s="321" t="s">
        <v>825</v>
      </c>
      <c r="D13" s="322" t="s">
        <v>826</v>
      </c>
      <c r="E13" s="322">
        <v>1700</v>
      </c>
      <c r="F13" s="321">
        <v>0</v>
      </c>
      <c r="G13" s="138" t="s">
        <v>304</v>
      </c>
      <c r="H13" s="138">
        <v>77731847</v>
      </c>
      <c r="I13" s="138" t="s">
        <v>151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hidden="1" x14ac:dyDescent="0.25">
      <c r="A14" s="320" t="s">
        <v>827</v>
      </c>
      <c r="B14" s="321" t="s">
        <v>260</v>
      </c>
      <c r="C14" s="321" t="s">
        <v>828</v>
      </c>
      <c r="D14" s="322" t="s">
        <v>829</v>
      </c>
      <c r="E14" s="322">
        <v>213800</v>
      </c>
      <c r="F14" s="321">
        <v>0</v>
      </c>
      <c r="G14" s="323" t="s">
        <v>808</v>
      </c>
      <c r="H14" s="138">
        <v>343193</v>
      </c>
      <c r="I14" s="138" t="s">
        <v>156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hidden="1" x14ac:dyDescent="0.25">
      <c r="A15" s="320" t="s">
        <v>652</v>
      </c>
      <c r="B15" s="321" t="s">
        <v>260</v>
      </c>
      <c r="C15" s="321" t="s">
        <v>830</v>
      </c>
      <c r="D15" s="322" t="s">
        <v>831</v>
      </c>
      <c r="E15" s="322">
        <v>10500</v>
      </c>
      <c r="F15" s="321">
        <v>0</v>
      </c>
      <c r="G15" s="138" t="s">
        <v>832</v>
      </c>
      <c r="H15" s="138">
        <v>5</v>
      </c>
      <c r="I15" s="138" t="s">
        <v>56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hidden="1" x14ac:dyDescent="0.25">
      <c r="A16" s="320" t="s">
        <v>652</v>
      </c>
      <c r="B16" s="321" t="s">
        <v>260</v>
      </c>
      <c r="C16" s="321" t="s">
        <v>833</v>
      </c>
      <c r="D16" s="322" t="s">
        <v>834</v>
      </c>
      <c r="E16" s="322">
        <v>12000</v>
      </c>
      <c r="F16" s="321">
        <v>0</v>
      </c>
      <c r="G16" s="138" t="s">
        <v>835</v>
      </c>
      <c r="H16" s="138">
        <v>3868</v>
      </c>
      <c r="I16" s="138" t="s">
        <v>56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hidden="1" x14ac:dyDescent="0.25">
      <c r="A17" s="320" t="s">
        <v>836</v>
      </c>
      <c r="B17" s="321" t="s">
        <v>260</v>
      </c>
      <c r="C17" s="321" t="s">
        <v>455</v>
      </c>
      <c r="D17" s="322" t="s">
        <v>837</v>
      </c>
      <c r="E17" s="322">
        <v>19968</v>
      </c>
      <c r="F17" s="321">
        <v>0</v>
      </c>
      <c r="G17" s="138" t="s">
        <v>838</v>
      </c>
      <c r="H17" s="138">
        <v>57392</v>
      </c>
      <c r="I17" s="138" t="s">
        <v>119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5">
      <c r="A18" s="320" t="s">
        <v>836</v>
      </c>
      <c r="B18" s="321" t="s">
        <v>260</v>
      </c>
      <c r="C18" s="321" t="s">
        <v>455</v>
      </c>
      <c r="D18" s="322" t="s">
        <v>839</v>
      </c>
      <c r="E18" s="322">
        <v>10314</v>
      </c>
      <c r="F18" s="321">
        <v>0</v>
      </c>
      <c r="G18" s="323" t="s">
        <v>457</v>
      </c>
      <c r="H18" s="138">
        <v>13974</v>
      </c>
      <c r="I18" s="138" t="s">
        <v>151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5">
      <c r="A19" s="320" t="s">
        <v>836</v>
      </c>
      <c r="B19" s="321" t="s">
        <v>260</v>
      </c>
      <c r="C19" s="321" t="s">
        <v>840</v>
      </c>
      <c r="D19" s="322" t="s">
        <v>841</v>
      </c>
      <c r="E19" s="322">
        <v>127300</v>
      </c>
      <c r="F19" s="321">
        <v>0</v>
      </c>
      <c r="G19" s="138" t="s">
        <v>308</v>
      </c>
      <c r="H19" s="138">
        <v>90796</v>
      </c>
      <c r="I19" s="138" t="s">
        <v>151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hidden="1" x14ac:dyDescent="0.25">
      <c r="A20" s="340" t="s">
        <v>836</v>
      </c>
      <c r="B20" s="341" t="s">
        <v>260</v>
      </c>
      <c r="C20" s="341" t="s">
        <v>842</v>
      </c>
      <c r="D20" s="339" t="s">
        <v>843</v>
      </c>
      <c r="E20" s="339">
        <v>25200</v>
      </c>
      <c r="F20" s="341">
        <v>0</v>
      </c>
      <c r="G20" s="342" t="s">
        <v>308</v>
      </c>
      <c r="H20" s="342">
        <v>90797</v>
      </c>
      <c r="I20" s="342" t="s">
        <v>152</v>
      </c>
      <c r="J20" s="39"/>
      <c r="K20" s="5" t="s">
        <v>275</v>
      </c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hidden="1" x14ac:dyDescent="0.25">
      <c r="A21" s="316" t="s">
        <v>836</v>
      </c>
      <c r="B21" s="317" t="s">
        <v>260</v>
      </c>
      <c r="C21" s="317" t="s">
        <v>844</v>
      </c>
      <c r="D21" s="318" t="s">
        <v>845</v>
      </c>
      <c r="E21" s="318">
        <v>22239</v>
      </c>
      <c r="F21" s="317">
        <v>0</v>
      </c>
      <c r="G21" s="319" t="s">
        <v>307</v>
      </c>
      <c r="H21" s="138">
        <v>19186512</v>
      </c>
      <c r="I21" s="138" t="s">
        <v>150</v>
      </c>
      <c r="J21" s="39"/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5">
      <c r="A22" s="316" t="s">
        <v>836</v>
      </c>
      <c r="B22" s="317" t="s">
        <v>260</v>
      </c>
      <c r="C22" s="317" t="s">
        <v>846</v>
      </c>
      <c r="D22" s="318" t="s">
        <v>847</v>
      </c>
      <c r="E22" s="318">
        <v>111322</v>
      </c>
      <c r="F22" s="317">
        <v>0</v>
      </c>
      <c r="G22" s="319" t="s">
        <v>307</v>
      </c>
      <c r="H22" s="138">
        <v>19186513</v>
      </c>
      <c r="I22" s="138" t="s">
        <v>151</v>
      </c>
      <c r="J22" s="39"/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hidden="1" x14ac:dyDescent="0.25">
      <c r="A23" s="316" t="s">
        <v>836</v>
      </c>
      <c r="B23" s="317" t="s">
        <v>260</v>
      </c>
      <c r="C23" s="317" t="s">
        <v>848</v>
      </c>
      <c r="D23" s="318" t="s">
        <v>849</v>
      </c>
      <c r="E23" s="318">
        <v>32400</v>
      </c>
      <c r="F23" s="317">
        <v>0</v>
      </c>
      <c r="G23" s="138" t="s">
        <v>307</v>
      </c>
      <c r="H23" s="138">
        <v>19186514</v>
      </c>
      <c r="I23" s="138" t="s">
        <v>119</v>
      </c>
      <c r="J23" s="39"/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hidden="1" x14ac:dyDescent="0.25">
      <c r="A24" s="316" t="s">
        <v>836</v>
      </c>
      <c r="B24" s="317" t="s">
        <v>260</v>
      </c>
      <c r="C24" s="317" t="s">
        <v>850</v>
      </c>
      <c r="D24" s="318" t="s">
        <v>851</v>
      </c>
      <c r="E24" s="318">
        <v>55500</v>
      </c>
      <c r="F24" s="317">
        <v>0</v>
      </c>
      <c r="G24" s="319" t="s">
        <v>306</v>
      </c>
      <c r="H24" s="138">
        <v>74791993</v>
      </c>
      <c r="I24" s="138" t="s">
        <v>150</v>
      </c>
      <c r="J24" s="39"/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hidden="1" x14ac:dyDescent="0.25">
      <c r="A25" s="316" t="s">
        <v>836</v>
      </c>
      <c r="B25" s="317" t="s">
        <v>260</v>
      </c>
      <c r="C25" s="317" t="s">
        <v>852</v>
      </c>
      <c r="D25" s="318" t="s">
        <v>853</v>
      </c>
      <c r="E25" s="318">
        <v>107159</v>
      </c>
      <c r="F25" s="317">
        <v>0</v>
      </c>
      <c r="G25" s="319" t="s">
        <v>306</v>
      </c>
      <c r="H25" s="138">
        <v>74791994</v>
      </c>
      <c r="I25" s="138" t="s">
        <v>152</v>
      </c>
      <c r="J25" s="39"/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hidden="1" x14ac:dyDescent="0.25">
      <c r="A26" s="316" t="s">
        <v>836</v>
      </c>
      <c r="B26" s="317" t="s">
        <v>260</v>
      </c>
      <c r="C26" s="317" t="s">
        <v>854</v>
      </c>
      <c r="D26" s="318" t="s">
        <v>855</v>
      </c>
      <c r="E26" s="318">
        <v>38900</v>
      </c>
      <c r="F26" s="317">
        <v>0</v>
      </c>
      <c r="G26" s="138" t="s">
        <v>306</v>
      </c>
      <c r="H26" s="138">
        <v>74791995</v>
      </c>
      <c r="I26" s="138" t="s">
        <v>119</v>
      </c>
      <c r="J26" s="39"/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hidden="1" x14ac:dyDescent="0.25">
      <c r="A27" s="316" t="s">
        <v>836</v>
      </c>
      <c r="B27" s="317" t="s">
        <v>260</v>
      </c>
      <c r="C27" s="317" t="s">
        <v>856</v>
      </c>
      <c r="D27" s="318" t="s">
        <v>857</v>
      </c>
      <c r="E27" s="318">
        <v>54520</v>
      </c>
      <c r="F27" s="317">
        <v>0</v>
      </c>
      <c r="G27" s="138" t="s">
        <v>305</v>
      </c>
      <c r="H27" s="138">
        <v>126705879</v>
      </c>
      <c r="I27" s="138" t="s">
        <v>56</v>
      </c>
      <c r="J27" s="39"/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5">
      <c r="A28" s="316" t="s">
        <v>659</v>
      </c>
      <c r="B28" s="317" t="s">
        <v>260</v>
      </c>
      <c r="C28" s="317" t="s">
        <v>858</v>
      </c>
      <c r="D28" s="318" t="s">
        <v>859</v>
      </c>
      <c r="E28" s="318">
        <v>180110</v>
      </c>
      <c r="F28" s="317">
        <v>0</v>
      </c>
      <c r="G28" s="138" t="s">
        <v>306</v>
      </c>
      <c r="H28" s="138">
        <v>74791906</v>
      </c>
      <c r="I28" s="138" t="s">
        <v>151</v>
      </c>
      <c r="J28" s="39"/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5">
      <c r="A29" s="316" t="s">
        <v>659</v>
      </c>
      <c r="B29" s="317" t="s">
        <v>260</v>
      </c>
      <c r="C29" s="317" t="s">
        <v>860</v>
      </c>
      <c r="D29" s="318" t="s">
        <v>861</v>
      </c>
      <c r="E29" s="318">
        <v>3900</v>
      </c>
      <c r="F29" s="317">
        <v>0</v>
      </c>
      <c r="G29" s="138" t="s">
        <v>304</v>
      </c>
      <c r="H29" s="138">
        <v>77732658</v>
      </c>
      <c r="I29" s="138" t="s">
        <v>151</v>
      </c>
      <c r="J29" s="39"/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hidden="1" x14ac:dyDescent="0.25">
      <c r="A30" s="320" t="s">
        <v>744</v>
      </c>
      <c r="B30" s="321" t="s">
        <v>260</v>
      </c>
      <c r="C30" s="321" t="s">
        <v>862</v>
      </c>
      <c r="D30" s="322" t="s">
        <v>863</v>
      </c>
      <c r="E30" s="322">
        <v>59999</v>
      </c>
      <c r="F30" s="321">
        <v>0</v>
      </c>
      <c r="G30" s="323" t="s">
        <v>456</v>
      </c>
      <c r="H30" s="138">
        <v>344549</v>
      </c>
      <c r="I30" s="138" t="s">
        <v>149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hidden="1" x14ac:dyDescent="0.25">
      <c r="A31" s="320" t="s">
        <v>744</v>
      </c>
      <c r="B31" s="321" t="s">
        <v>260</v>
      </c>
      <c r="C31" s="321" t="s">
        <v>864</v>
      </c>
      <c r="D31" s="322" t="s">
        <v>865</v>
      </c>
      <c r="E31" s="322">
        <v>63300</v>
      </c>
      <c r="F31" s="321">
        <v>0</v>
      </c>
      <c r="G31" s="323" t="s">
        <v>456</v>
      </c>
      <c r="H31" s="138">
        <v>344550</v>
      </c>
      <c r="I31" s="138" t="s">
        <v>156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hidden="1" x14ac:dyDescent="0.25">
      <c r="A32" s="320"/>
      <c r="B32" s="321"/>
      <c r="C32" s="321"/>
      <c r="D32" s="322"/>
      <c r="E32" s="322"/>
      <c r="F32" s="321"/>
      <c r="G32" s="323"/>
      <c r="H32" s="138"/>
      <c r="I32" s="138"/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hidden="1" x14ac:dyDescent="0.25">
      <c r="A33" s="320"/>
      <c r="B33" s="321"/>
      <c r="C33" s="321"/>
      <c r="D33" s="322"/>
      <c r="E33" s="322"/>
      <c r="F33" s="321"/>
      <c r="G33" s="323"/>
      <c r="H33" s="138"/>
      <c r="I33" s="138"/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hidden="1" x14ac:dyDescent="0.25">
      <c r="A34" s="320"/>
      <c r="B34" s="321"/>
      <c r="C34" s="321"/>
      <c r="D34" s="322"/>
      <c r="E34" s="322"/>
      <c r="F34" s="321"/>
      <c r="G34" s="323"/>
      <c r="H34" s="138"/>
      <c r="I34" s="138"/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hidden="1" x14ac:dyDescent="0.25">
      <c r="A35" s="320"/>
      <c r="B35" s="321"/>
      <c r="C35" s="321"/>
      <c r="D35" s="322"/>
      <c r="E35" s="322"/>
      <c r="F35" s="321"/>
      <c r="G35" s="138"/>
      <c r="H35" s="138"/>
      <c r="I35" s="138"/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hidden="1" x14ac:dyDescent="0.25">
      <c r="A36" s="320"/>
      <c r="B36" s="321"/>
      <c r="C36" s="321"/>
      <c r="D36" s="322"/>
      <c r="E36" s="322"/>
      <c r="F36" s="321"/>
      <c r="G36" s="138"/>
      <c r="H36" s="138"/>
      <c r="I36" s="138"/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hidden="1" x14ac:dyDescent="0.25">
      <c r="A37" s="320"/>
      <c r="B37" s="321"/>
      <c r="C37" s="321"/>
      <c r="D37" s="322"/>
      <c r="E37" s="322"/>
      <c r="F37" s="321"/>
      <c r="G37" s="138"/>
      <c r="H37" s="138"/>
      <c r="I37" s="138"/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hidden="1" x14ac:dyDescent="0.25">
      <c r="A38" s="320"/>
      <c r="B38" s="321"/>
      <c r="C38" s="321"/>
      <c r="D38" s="322"/>
      <c r="E38" s="322"/>
      <c r="F38" s="321"/>
      <c r="G38" s="323"/>
      <c r="H38" s="138"/>
      <c r="I38" s="138"/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hidden="1" x14ac:dyDescent="0.25">
      <c r="A39" s="320"/>
      <c r="B39" s="321"/>
      <c r="C39" s="321"/>
      <c r="D39" s="322"/>
      <c r="E39" s="322"/>
      <c r="F39" s="321"/>
      <c r="G39" s="138"/>
      <c r="H39" s="138"/>
      <c r="I39" s="138"/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hidden="1" x14ac:dyDescent="0.25">
      <c r="A40" s="320"/>
      <c r="B40" s="321"/>
      <c r="C40" s="321"/>
      <c r="D40" s="322"/>
      <c r="E40" s="322"/>
      <c r="F40" s="321"/>
      <c r="G40" s="138"/>
      <c r="H40" s="138"/>
      <c r="I40" s="138"/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hidden="1" x14ac:dyDescent="0.25">
      <c r="A41" s="320"/>
      <c r="B41" s="321"/>
      <c r="C41" s="321"/>
      <c r="D41" s="322"/>
      <c r="E41" s="322"/>
      <c r="F41" s="321"/>
      <c r="G41" s="138"/>
      <c r="H41" s="138"/>
      <c r="I41" s="138"/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hidden="1" x14ac:dyDescent="0.25">
      <c r="A42" s="320"/>
      <c r="B42" s="321"/>
      <c r="C42" s="321"/>
      <c r="D42" s="322"/>
      <c r="E42" s="322"/>
      <c r="F42" s="321"/>
      <c r="G42" s="138"/>
      <c r="H42" s="138"/>
      <c r="I42" s="138"/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hidden="1" x14ac:dyDescent="0.25">
      <c r="A43" s="316"/>
      <c r="B43" s="317"/>
      <c r="C43" s="317"/>
      <c r="D43" s="318"/>
      <c r="E43" s="318"/>
      <c r="F43" s="317"/>
      <c r="G43" s="319"/>
      <c r="H43" s="138"/>
      <c r="I43" s="138"/>
      <c r="J43" s="39"/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hidden="1" x14ac:dyDescent="0.25">
      <c r="A44" s="316"/>
      <c r="B44" s="317"/>
      <c r="C44" s="317"/>
      <c r="D44" s="318"/>
      <c r="E44" s="318"/>
      <c r="F44" s="317"/>
      <c r="G44" s="319"/>
      <c r="H44" s="138"/>
      <c r="I44" s="138"/>
      <c r="J44" s="39"/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hidden="1" x14ac:dyDescent="0.25">
      <c r="A45" s="316"/>
      <c r="B45" s="317"/>
      <c r="C45" s="317"/>
      <c r="D45" s="318"/>
      <c r="E45" s="318"/>
      <c r="F45" s="317"/>
      <c r="G45" s="319"/>
      <c r="H45" s="138"/>
      <c r="I45" s="138"/>
      <c r="J45" s="39"/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hidden="1" x14ac:dyDescent="0.25">
      <c r="A46" s="316"/>
      <c r="B46" s="317"/>
      <c r="C46" s="317"/>
      <c r="D46" s="318"/>
      <c r="E46" s="318"/>
      <c r="F46" s="317"/>
      <c r="G46" s="319"/>
      <c r="H46" s="138"/>
      <c r="I46" s="138"/>
      <c r="J46" s="39"/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hidden="1" x14ac:dyDescent="0.25">
      <c r="A47" s="316"/>
      <c r="B47" s="317"/>
      <c r="C47" s="317"/>
      <c r="D47" s="318"/>
      <c r="E47" s="318"/>
      <c r="F47" s="317"/>
      <c r="G47" s="319"/>
      <c r="H47" s="138"/>
      <c r="I47" s="138"/>
      <c r="J47" s="39"/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hidden="1" x14ac:dyDescent="0.25">
      <c r="A48" s="316"/>
      <c r="B48" s="317"/>
      <c r="C48" s="317"/>
      <c r="D48" s="318"/>
      <c r="E48" s="318"/>
      <c r="F48" s="317"/>
      <c r="G48" s="138"/>
      <c r="H48" s="138"/>
      <c r="I48" s="138"/>
      <c r="J48" s="39"/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hidden="1" x14ac:dyDescent="0.25">
      <c r="A49" s="316"/>
      <c r="B49" s="317"/>
      <c r="C49" s="317"/>
      <c r="D49" s="318"/>
      <c r="E49" s="318"/>
      <c r="F49" s="317"/>
      <c r="G49" s="138"/>
      <c r="H49" s="138"/>
      <c r="I49" s="138"/>
      <c r="J49" s="39"/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hidden="1" x14ac:dyDescent="0.25">
      <c r="A50" s="320"/>
      <c r="B50" s="321"/>
      <c r="C50" s="321"/>
      <c r="D50" s="322"/>
      <c r="E50" s="322"/>
      <c r="F50" s="321"/>
      <c r="G50" s="319"/>
      <c r="H50" s="138"/>
      <c r="I50" s="138"/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hidden="1" x14ac:dyDescent="0.25">
      <c r="A51" s="320"/>
      <c r="B51" s="321"/>
      <c r="C51" s="321"/>
      <c r="D51" s="322"/>
      <c r="E51" s="322"/>
      <c r="F51" s="321"/>
      <c r="G51" s="319"/>
      <c r="H51" s="138"/>
      <c r="I51" s="138"/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hidden="1" x14ac:dyDescent="0.25">
      <c r="A52" s="320"/>
      <c r="B52" s="321"/>
      <c r="C52" s="321"/>
      <c r="D52" s="322"/>
      <c r="E52" s="322"/>
      <c r="F52" s="321"/>
      <c r="G52" s="319"/>
      <c r="H52" s="138"/>
      <c r="I52" s="138"/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hidden="1" x14ac:dyDescent="0.25">
      <c r="A53" s="320"/>
      <c r="B53" s="321"/>
      <c r="C53" s="321"/>
      <c r="D53" s="322"/>
      <c r="E53" s="322"/>
      <c r="F53" s="321"/>
      <c r="G53" s="319"/>
      <c r="H53" s="138"/>
      <c r="I53" s="138"/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hidden="1" x14ac:dyDescent="0.25">
      <c r="A54" s="320"/>
      <c r="B54" s="321"/>
      <c r="C54" s="321"/>
      <c r="D54" s="322"/>
      <c r="E54" s="322"/>
      <c r="F54" s="321"/>
      <c r="G54" s="138"/>
      <c r="H54" s="138"/>
      <c r="I54" s="138"/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hidden="1" x14ac:dyDescent="0.25">
      <c r="A55" s="320"/>
      <c r="B55" s="321"/>
      <c r="C55" s="321"/>
      <c r="D55" s="322"/>
      <c r="E55" s="322"/>
      <c r="F55" s="321"/>
      <c r="G55" s="138"/>
      <c r="H55" s="138"/>
      <c r="I55" s="138"/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hidden="1" x14ac:dyDescent="0.25">
      <c r="A56" s="320"/>
      <c r="B56" s="321"/>
      <c r="C56" s="321"/>
      <c r="D56" s="322"/>
      <c r="E56" s="322"/>
      <c r="F56" s="321"/>
      <c r="G56" s="138"/>
      <c r="H56" s="138"/>
      <c r="I56" s="138"/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hidden="1" x14ac:dyDescent="0.25">
      <c r="A57" s="320"/>
      <c r="B57" s="321"/>
      <c r="C57" s="321"/>
      <c r="D57" s="322"/>
      <c r="E57" s="322"/>
      <c r="F57" s="321"/>
      <c r="G57" s="323"/>
      <c r="H57" s="138"/>
      <c r="I57" s="138"/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hidden="1" x14ac:dyDescent="0.25">
      <c r="A58" s="320"/>
      <c r="B58" s="321"/>
      <c r="C58" s="321"/>
      <c r="D58" s="322"/>
      <c r="E58" s="322"/>
      <c r="F58" s="321"/>
      <c r="G58" s="138"/>
      <c r="H58" s="138"/>
      <c r="I58" s="138"/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hidden="1" x14ac:dyDescent="0.25">
      <c r="A59" s="320"/>
      <c r="B59" s="321"/>
      <c r="C59" s="321"/>
      <c r="D59" s="322"/>
      <c r="E59" s="322"/>
      <c r="F59" s="321"/>
      <c r="G59" s="138"/>
      <c r="H59" s="138"/>
      <c r="I59" s="138"/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hidden="1" x14ac:dyDescent="0.25">
      <c r="A60" s="320"/>
      <c r="B60" s="321"/>
      <c r="C60" s="321"/>
      <c r="D60" s="322"/>
      <c r="E60" s="322"/>
      <c r="F60" s="321"/>
      <c r="G60" s="323"/>
      <c r="H60" s="138"/>
      <c r="I60" s="138"/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hidden="1" x14ac:dyDescent="0.25">
      <c r="A61" s="316"/>
      <c r="B61" s="317"/>
      <c r="C61" s="317"/>
      <c r="D61" s="318"/>
      <c r="E61" s="318"/>
      <c r="F61" s="317"/>
      <c r="G61" s="138"/>
      <c r="H61" s="138"/>
      <c r="I61" s="138"/>
      <c r="J61" s="39"/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hidden="1" x14ac:dyDescent="0.25">
      <c r="A62" s="316"/>
      <c r="B62" s="317"/>
      <c r="C62" s="317"/>
      <c r="D62" s="318"/>
      <c r="E62" s="318"/>
      <c r="F62" s="317"/>
      <c r="G62" s="138"/>
      <c r="H62" s="138"/>
      <c r="I62" s="138"/>
      <c r="J62" s="39"/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hidden="1" x14ac:dyDescent="0.25">
      <c r="A63" s="320"/>
      <c r="B63" s="321"/>
      <c r="C63" s="321"/>
      <c r="D63" s="322"/>
      <c r="E63" s="322"/>
      <c r="F63" s="321"/>
      <c r="G63" s="323"/>
      <c r="H63" s="138"/>
      <c r="I63" s="138"/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hidden="1" x14ac:dyDescent="0.25">
      <c r="A64" s="320"/>
      <c r="B64" s="321"/>
      <c r="C64" s="321"/>
      <c r="D64" s="322"/>
      <c r="E64" s="322"/>
      <c r="F64" s="321"/>
      <c r="G64" s="323"/>
      <c r="H64" s="138"/>
      <c r="I64" s="138"/>
      <c r="J64" s="39"/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hidden="1" x14ac:dyDescent="0.25">
      <c r="A65" s="320"/>
      <c r="B65" s="321"/>
      <c r="C65" s="321"/>
      <c r="D65" s="322"/>
      <c r="E65" s="322"/>
      <c r="F65" s="321"/>
      <c r="G65" s="138"/>
      <c r="H65" s="138"/>
      <c r="I65" s="138"/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hidden="1" x14ac:dyDescent="0.25">
      <c r="A66" s="320"/>
      <c r="B66" s="321"/>
      <c r="C66" s="321"/>
      <c r="D66" s="322"/>
      <c r="E66" s="322"/>
      <c r="F66" s="321"/>
      <c r="G66" s="138"/>
      <c r="H66" s="138"/>
      <c r="I66" s="138"/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hidden="1" x14ac:dyDescent="0.25">
      <c r="A67" s="320"/>
      <c r="B67" s="321"/>
      <c r="C67" s="321"/>
      <c r="D67" s="322"/>
      <c r="E67" s="322"/>
      <c r="F67" s="321"/>
      <c r="G67" s="138"/>
      <c r="H67" s="138"/>
      <c r="I67" s="138"/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hidden="1" x14ac:dyDescent="0.25">
      <c r="A68" s="320"/>
      <c r="B68" s="321"/>
      <c r="C68" s="321"/>
      <c r="D68" s="322"/>
      <c r="E68" s="322"/>
      <c r="F68" s="321"/>
      <c r="G68" s="323"/>
      <c r="H68" s="138"/>
      <c r="I68" s="138"/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hidden="1" x14ac:dyDescent="0.25">
      <c r="A69" s="320"/>
      <c r="B69" s="321"/>
      <c r="C69" s="321"/>
      <c r="D69" s="322"/>
      <c r="E69" s="322"/>
      <c r="F69" s="321"/>
      <c r="G69" s="323"/>
      <c r="H69" s="138"/>
      <c r="I69" s="138"/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hidden="1" x14ac:dyDescent="0.25">
      <c r="A70" s="320"/>
      <c r="B70" s="321"/>
      <c r="C70" s="321"/>
      <c r="D70" s="322"/>
      <c r="E70" s="322"/>
      <c r="F70" s="321"/>
      <c r="G70" s="138"/>
      <c r="H70" s="138"/>
      <c r="I70" s="138"/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hidden="1" x14ac:dyDescent="0.25">
      <c r="A71" s="316"/>
      <c r="B71" s="317"/>
      <c r="C71" s="317"/>
      <c r="D71" s="318"/>
      <c r="E71" s="318"/>
      <c r="F71" s="317"/>
      <c r="G71" s="138"/>
      <c r="H71" s="138"/>
      <c r="I71" s="138"/>
      <c r="J71" s="39"/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hidden="1" x14ac:dyDescent="0.25">
      <c r="A72" s="316"/>
      <c r="B72" s="317"/>
      <c r="C72" s="317"/>
      <c r="D72" s="318"/>
      <c r="E72" s="318"/>
      <c r="F72" s="317"/>
      <c r="G72" s="138"/>
      <c r="H72" s="138"/>
      <c r="I72" s="138"/>
      <c r="J72" s="39"/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hidden="1" x14ac:dyDescent="0.25">
      <c r="A73" s="137"/>
      <c r="B73" s="122"/>
      <c r="C73" s="122"/>
      <c r="D73" s="123"/>
      <c r="E73" s="123"/>
      <c r="F73" s="122"/>
      <c r="G73" s="138"/>
      <c r="H73" s="138"/>
      <c r="I73" s="138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hidden="1" x14ac:dyDescent="0.25">
      <c r="A74" s="137"/>
      <c r="B74" s="122"/>
      <c r="C74" s="122"/>
      <c r="D74" s="123"/>
      <c r="E74" s="123"/>
      <c r="F74" s="122"/>
      <c r="G74" s="138"/>
      <c r="H74" s="138"/>
      <c r="I74" s="138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hidden="1" x14ac:dyDescent="0.25">
      <c r="A75" s="137"/>
      <c r="B75" s="122"/>
      <c r="C75" s="122"/>
      <c r="D75" s="123"/>
      <c r="E75" s="123"/>
      <c r="F75" s="122"/>
      <c r="G75" s="138"/>
      <c r="H75" s="138"/>
      <c r="I75" s="138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hidden="1" x14ac:dyDescent="0.25">
      <c r="A76" s="137"/>
      <c r="B76" s="122"/>
      <c r="C76" s="122"/>
      <c r="D76" s="123"/>
      <c r="E76" s="123"/>
      <c r="F76" s="122"/>
      <c r="G76" s="138"/>
      <c r="H76" s="138"/>
      <c r="I76" s="138"/>
      <c r="J76" s="39"/>
      <c r="K76" s="5"/>
      <c r="L76" s="42" t="s">
        <v>68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161</v>
      </c>
      <c r="AQ76" s="19">
        <v>30000</v>
      </c>
      <c r="AR76" s="19">
        <v>90000</v>
      </c>
      <c r="AS76" s="19">
        <v>90000</v>
      </c>
      <c r="AT76" s="19" t="s">
        <v>161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hidden="1" x14ac:dyDescent="0.25">
      <c r="A77" s="137"/>
      <c r="B77" s="122"/>
      <c r="C77" s="122"/>
      <c r="D77" s="123"/>
      <c r="E77" s="123"/>
      <c r="F77" s="122"/>
      <c r="G77" s="138"/>
      <c r="H77" s="138"/>
      <c r="I77" s="138"/>
      <c r="J77" s="39"/>
      <c r="K77" s="5"/>
      <c r="L77" s="42" t="s">
        <v>119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hidden="1" x14ac:dyDescent="0.25">
      <c r="A78" s="137"/>
      <c r="B78" s="122"/>
      <c r="C78" s="122"/>
      <c r="D78" s="123"/>
      <c r="E78" s="123"/>
      <c r="F78" s="122"/>
      <c r="G78" s="138"/>
      <c r="H78" s="138"/>
      <c r="I78" s="138"/>
      <c r="J78" s="39"/>
      <c r="K78" s="5"/>
      <c r="L78" s="58" t="s">
        <v>58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hidden="1" x14ac:dyDescent="0.25">
      <c r="A79" s="137"/>
      <c r="B79" s="122"/>
      <c r="C79" s="122"/>
      <c r="D79" s="123"/>
      <c r="E79" s="123"/>
      <c r="F79" s="122"/>
      <c r="G79" s="138"/>
      <c r="H79" s="138"/>
      <c r="I79" s="138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hidden="1" x14ac:dyDescent="0.25">
      <c r="A80" s="137"/>
      <c r="B80" s="122"/>
      <c r="C80" s="122"/>
      <c r="D80" s="123"/>
      <c r="E80" s="123"/>
      <c r="F80" s="122"/>
      <c r="G80" s="138"/>
      <c r="H80" s="138"/>
      <c r="I80" s="138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idden="1" x14ac:dyDescent="0.25">
      <c r="A81" s="137"/>
      <c r="B81" s="122"/>
      <c r="C81" s="122"/>
      <c r="D81" s="123"/>
      <c r="E81" s="123"/>
      <c r="F81" s="122"/>
      <c r="G81" s="138"/>
      <c r="H81" s="138"/>
      <c r="I81" s="138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idden="1" x14ac:dyDescent="0.25">
      <c r="A82" s="137"/>
      <c r="B82" s="122"/>
      <c r="C82" s="122"/>
      <c r="D82" s="122"/>
      <c r="E82" s="123"/>
      <c r="F82" s="122"/>
      <c r="G82" s="138"/>
      <c r="H82" s="138"/>
      <c r="I82" s="138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idden="1" x14ac:dyDescent="0.25">
      <c r="A83" s="137"/>
      <c r="B83" s="122"/>
      <c r="C83" s="122"/>
      <c r="D83" s="122"/>
      <c r="E83" s="123"/>
      <c r="F83" s="122"/>
      <c r="G83" s="138"/>
      <c r="H83" s="138"/>
      <c r="I83" s="138"/>
      <c r="J83" s="39"/>
      <c r="K83" s="42" t="s">
        <v>152</v>
      </c>
      <c r="L83" s="3"/>
      <c r="M83" s="5"/>
      <c r="N83"/>
      <c r="O83"/>
      <c r="P83"/>
      <c r="Q83"/>
      <c r="R83"/>
      <c r="S83"/>
      <c r="T83"/>
      <c r="U83"/>
      <c r="V83"/>
    </row>
    <row r="84" spans="1:22" hidden="1" x14ac:dyDescent="0.25">
      <c r="A84" s="137"/>
      <c r="B84" s="122"/>
      <c r="C84" s="122"/>
      <c r="D84" s="122"/>
      <c r="E84" s="123"/>
      <c r="F84" s="122"/>
      <c r="G84" s="138"/>
      <c r="H84" s="138"/>
      <c r="I84" s="138"/>
      <c r="J84" s="39"/>
      <c r="K84" s="42" t="s">
        <v>150</v>
      </c>
      <c r="L84" s="3"/>
      <c r="M84" s="5"/>
      <c r="N84"/>
      <c r="O84"/>
      <c r="P84"/>
      <c r="Q84"/>
      <c r="R84"/>
      <c r="S84"/>
      <c r="T84"/>
      <c r="U84"/>
      <c r="V84"/>
    </row>
    <row r="85" spans="1:22" hidden="1" x14ac:dyDescent="0.25">
      <c r="A85" s="137"/>
      <c r="B85" s="122"/>
      <c r="C85" s="122"/>
      <c r="D85" s="123"/>
      <c r="E85" s="123"/>
      <c r="F85" s="122"/>
      <c r="G85" s="138"/>
      <c r="H85" s="138"/>
      <c r="I85" s="138"/>
      <c r="J85" s="39"/>
      <c r="K85" s="42" t="s">
        <v>156</v>
      </c>
      <c r="L85" s="3"/>
      <c r="M85" s="5"/>
      <c r="N85"/>
      <c r="O85"/>
      <c r="P85"/>
      <c r="Q85"/>
      <c r="R85"/>
      <c r="S85"/>
      <c r="T85"/>
      <c r="U85"/>
      <c r="V85"/>
    </row>
    <row r="86" spans="1:22" hidden="1" x14ac:dyDescent="0.25">
      <c r="A86" s="137"/>
      <c r="B86" s="122"/>
      <c r="C86" s="122"/>
      <c r="D86" s="123"/>
      <c r="E86" s="123"/>
      <c r="F86" s="122"/>
      <c r="G86" s="138"/>
      <c r="H86" s="138"/>
      <c r="I86" s="138"/>
      <c r="J86" s="39"/>
      <c r="K86" s="42" t="s">
        <v>149</v>
      </c>
      <c r="L86" s="3"/>
      <c r="M86" s="5"/>
      <c r="N86"/>
      <c r="O86"/>
      <c r="P86"/>
      <c r="Q86"/>
      <c r="R86"/>
      <c r="S86"/>
      <c r="T86"/>
      <c r="U86"/>
      <c r="V86"/>
    </row>
    <row r="87" spans="1:22" hidden="1" x14ac:dyDescent="0.25">
      <c r="A87" s="137"/>
      <c r="B87" s="122"/>
      <c r="C87" s="122"/>
      <c r="D87" s="123"/>
      <c r="E87" s="123"/>
      <c r="F87" s="122"/>
      <c r="G87" s="138"/>
      <c r="H87" s="138"/>
      <c r="I87" s="138"/>
      <c r="J87" s="39"/>
      <c r="K87" s="42" t="s">
        <v>151</v>
      </c>
      <c r="L87" s="3"/>
      <c r="M87" s="5"/>
      <c r="N87"/>
      <c r="O87"/>
      <c r="P87"/>
      <c r="Q87"/>
      <c r="R87"/>
      <c r="S87"/>
      <c r="T87"/>
      <c r="U87"/>
      <c r="V87"/>
    </row>
    <row r="88" spans="1:22" hidden="1" x14ac:dyDescent="0.25">
      <c r="A88" s="137"/>
      <c r="B88" s="122"/>
      <c r="C88" s="122"/>
      <c r="D88" s="123"/>
      <c r="E88" s="123"/>
      <c r="F88" s="122"/>
      <c r="G88" s="138"/>
      <c r="H88" s="138"/>
      <c r="I88" s="138"/>
      <c r="J88" s="39"/>
      <c r="K88" s="42" t="s">
        <v>56</v>
      </c>
      <c r="L88"/>
      <c r="M88" s="5"/>
      <c r="N88"/>
      <c r="O88"/>
      <c r="P88"/>
      <c r="Q88"/>
      <c r="R88"/>
      <c r="S88"/>
      <c r="T88"/>
      <c r="U88"/>
      <c r="V88"/>
    </row>
    <row r="89" spans="1:22" hidden="1" x14ac:dyDescent="0.25">
      <c r="A89" s="137"/>
      <c r="B89" s="122"/>
      <c r="C89" s="122"/>
      <c r="D89" s="123"/>
      <c r="E89" s="123"/>
      <c r="F89" s="122"/>
      <c r="G89" s="138"/>
      <c r="H89" s="138"/>
      <c r="I89" s="138"/>
      <c r="J89" s="39"/>
      <c r="K89" s="42" t="s">
        <v>153</v>
      </c>
      <c r="L89"/>
      <c r="M89" s="5"/>
      <c r="N89"/>
      <c r="O89"/>
      <c r="P89"/>
      <c r="Q89"/>
      <c r="R89"/>
      <c r="S89"/>
      <c r="T89"/>
      <c r="U89"/>
      <c r="V89"/>
    </row>
    <row r="90" spans="1:22" hidden="1" x14ac:dyDescent="0.25">
      <c r="A90" s="137"/>
      <c r="B90" s="122"/>
      <c r="C90" s="122"/>
      <c r="D90" s="123"/>
      <c r="E90" s="123"/>
      <c r="F90" s="122"/>
      <c r="G90" s="138"/>
      <c r="H90" s="138"/>
      <c r="I90" s="138"/>
      <c r="J90" s="39"/>
      <c r="K90" s="42" t="s">
        <v>68</v>
      </c>
      <c r="L90"/>
      <c r="M90" s="5"/>
      <c r="N90"/>
      <c r="O90"/>
      <c r="P90"/>
      <c r="Q90"/>
      <c r="R90"/>
      <c r="S90"/>
      <c r="T90"/>
      <c r="U90"/>
      <c r="V90"/>
    </row>
    <row r="91" spans="1:22" hidden="1" x14ac:dyDescent="0.25">
      <c r="A91" s="137"/>
      <c r="B91" s="122"/>
      <c r="C91" s="122"/>
      <c r="D91" s="123"/>
      <c r="E91" s="123"/>
      <c r="F91" s="122"/>
      <c r="G91" s="138"/>
      <c r="H91" s="138"/>
      <c r="I91" s="138"/>
      <c r="J91" s="39"/>
      <c r="K91" s="42" t="s">
        <v>119</v>
      </c>
      <c r="L91"/>
      <c r="M91" s="5"/>
      <c r="N91"/>
      <c r="O91"/>
      <c r="P91"/>
      <c r="Q91"/>
      <c r="R91"/>
      <c r="S91"/>
      <c r="T91"/>
      <c r="U91"/>
      <c r="V91"/>
    </row>
    <row r="92" spans="1:22" hidden="1" x14ac:dyDescent="0.25">
      <c r="A92" s="137"/>
      <c r="B92" s="122"/>
      <c r="C92" s="122"/>
      <c r="D92" s="123"/>
      <c r="E92" s="123"/>
      <c r="F92" s="122"/>
      <c r="G92" s="138"/>
      <c r="H92" s="138"/>
      <c r="I92" s="138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idden="1" x14ac:dyDescent="0.25">
      <c r="A93" s="137"/>
      <c r="B93" s="122"/>
      <c r="C93" s="122"/>
      <c r="D93" s="123"/>
      <c r="E93" s="123"/>
      <c r="F93" s="122"/>
      <c r="G93" s="138"/>
      <c r="H93" s="138"/>
      <c r="I93" s="138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idden="1" x14ac:dyDescent="0.25">
      <c r="A94" s="137"/>
      <c r="B94" s="122"/>
      <c r="C94" s="122"/>
      <c r="D94" s="122"/>
      <c r="E94" s="123"/>
      <c r="F94" s="122"/>
      <c r="G94" s="138"/>
      <c r="H94" s="138"/>
      <c r="I94" s="138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idden="1" x14ac:dyDescent="0.25">
      <c r="A95" s="137"/>
      <c r="B95" s="122"/>
      <c r="C95" s="122"/>
      <c r="D95" s="122"/>
      <c r="E95" s="123"/>
      <c r="F95" s="122"/>
      <c r="G95" s="138"/>
      <c r="H95" s="138"/>
      <c r="I95" s="138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idden="1" x14ac:dyDescent="0.25">
      <c r="A96" s="137"/>
      <c r="B96" s="122"/>
      <c r="C96" s="122"/>
      <c r="D96" s="122"/>
      <c r="E96" s="123"/>
      <c r="F96" s="122"/>
      <c r="G96" s="138"/>
      <c r="H96" s="138"/>
      <c r="I96" s="138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idden="1" x14ac:dyDescent="0.25">
      <c r="A97" s="137"/>
      <c r="B97" s="111"/>
      <c r="C97" s="125"/>
      <c r="D97" s="126"/>
      <c r="E97" s="123"/>
      <c r="F97" s="122"/>
      <c r="G97" s="138"/>
      <c r="H97" s="138"/>
      <c r="I97" s="138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idden="1" x14ac:dyDescent="0.25">
      <c r="A98" s="137"/>
      <c r="B98" s="111"/>
      <c r="C98" s="125"/>
      <c r="D98" s="126"/>
      <c r="E98" s="123"/>
      <c r="F98" s="122"/>
      <c r="G98" s="138"/>
      <c r="H98" s="138"/>
      <c r="I98" s="138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idden="1" x14ac:dyDescent="0.25">
      <c r="A99" s="137"/>
      <c r="B99" s="111"/>
      <c r="C99" s="125"/>
      <c r="D99" s="117"/>
      <c r="E99" s="123"/>
      <c r="F99" s="122"/>
      <c r="G99" s="138"/>
      <c r="H99" s="138"/>
      <c r="I99" s="138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idden="1" x14ac:dyDescent="0.25">
      <c r="A100" s="137"/>
      <c r="B100" s="111"/>
      <c r="C100" s="125"/>
      <c r="D100" s="117"/>
      <c r="E100" s="123"/>
      <c r="F100" s="122"/>
      <c r="G100" s="138"/>
      <c r="H100" s="138"/>
      <c r="I100" s="138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idden="1" x14ac:dyDescent="0.25">
      <c r="A101" s="137"/>
      <c r="B101" s="111"/>
      <c r="C101" s="125"/>
      <c r="D101" s="117"/>
      <c r="E101" s="123"/>
      <c r="F101" s="122"/>
      <c r="G101" s="138"/>
      <c r="H101" s="138"/>
      <c r="I101" s="138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idden="1" x14ac:dyDescent="0.25">
      <c r="A102" s="137"/>
      <c r="B102" s="111"/>
      <c r="C102" s="125"/>
      <c r="D102" s="117"/>
      <c r="E102" s="123"/>
      <c r="F102" s="122"/>
      <c r="G102" s="138"/>
      <c r="H102" s="138"/>
      <c r="I102" s="138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idden="1" x14ac:dyDescent="0.25">
      <c r="A103" s="137"/>
      <c r="B103" s="111"/>
      <c r="C103" s="125"/>
      <c r="D103" s="117"/>
      <c r="E103" s="123"/>
      <c r="F103" s="122"/>
      <c r="G103" s="138"/>
      <c r="H103" s="138"/>
      <c r="I103" s="138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idden="1" x14ac:dyDescent="0.25">
      <c r="A104" s="137"/>
      <c r="B104" s="111"/>
      <c r="C104" s="125"/>
      <c r="D104" s="117"/>
      <c r="E104" s="123"/>
      <c r="F104" s="122"/>
      <c r="G104" s="138"/>
      <c r="H104" s="138"/>
      <c r="I104" s="138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idden="1" x14ac:dyDescent="0.25">
      <c r="A105" s="137"/>
      <c r="B105" s="111"/>
      <c r="C105" s="125"/>
      <c r="D105" s="117"/>
      <c r="E105" s="123"/>
      <c r="F105" s="122"/>
      <c r="G105" s="138"/>
      <c r="H105" s="138"/>
      <c r="I105" s="138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idden="1" x14ac:dyDescent="0.25">
      <c r="A106" s="137"/>
      <c r="B106" s="111"/>
      <c r="C106" s="125"/>
      <c r="D106" s="117"/>
      <c r="E106" s="123"/>
      <c r="F106" s="111"/>
      <c r="G106" s="138"/>
      <c r="H106" s="138"/>
      <c r="I106" s="138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idden="1" x14ac:dyDescent="0.25">
      <c r="A107" s="137"/>
      <c r="B107" s="111"/>
      <c r="C107" s="125"/>
      <c r="D107" s="117"/>
      <c r="E107" s="123"/>
      <c r="F107" s="111"/>
      <c r="G107" s="138"/>
      <c r="H107" s="138"/>
      <c r="I107" s="138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idden="1" x14ac:dyDescent="0.25">
      <c r="A108" s="137"/>
      <c r="B108" s="111"/>
      <c r="C108" s="125"/>
      <c r="D108" s="117"/>
      <c r="E108" s="126"/>
      <c r="F108" s="111"/>
      <c r="G108" s="138"/>
      <c r="H108" s="138"/>
      <c r="I108" s="138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idden="1" x14ac:dyDescent="0.25">
      <c r="A109" s="137"/>
      <c r="B109" s="111"/>
      <c r="C109" s="125"/>
      <c r="D109" s="117"/>
      <c r="E109" s="126"/>
      <c r="F109" s="111"/>
      <c r="G109" s="138"/>
      <c r="H109" s="138"/>
      <c r="I109" s="138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idden="1" x14ac:dyDescent="0.25">
      <c r="A110" s="137"/>
      <c r="B110" s="111"/>
      <c r="C110" s="125"/>
      <c r="D110" s="117"/>
      <c r="E110" s="126"/>
      <c r="F110" s="111"/>
      <c r="G110" s="138"/>
      <c r="H110" s="138"/>
      <c r="I110" s="138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idden="1" x14ac:dyDescent="0.25">
      <c r="A111" s="137"/>
      <c r="B111" s="122"/>
      <c r="C111" s="122"/>
      <c r="D111" s="123"/>
      <c r="E111" s="123"/>
      <c r="F111" s="122"/>
      <c r="G111" s="138"/>
      <c r="H111" s="138"/>
      <c r="I111" s="138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idden="1" x14ac:dyDescent="0.25">
      <c r="A112" s="137"/>
      <c r="B112" s="122"/>
      <c r="C112" s="122"/>
      <c r="D112" s="123"/>
      <c r="E112" s="123"/>
      <c r="F112" s="122"/>
      <c r="G112" s="138"/>
      <c r="H112" s="138"/>
      <c r="I112" s="138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idden="1" x14ac:dyDescent="0.25">
      <c r="A113" s="137"/>
      <c r="B113" s="122"/>
      <c r="C113" s="122"/>
      <c r="D113" s="123"/>
      <c r="E113" s="123"/>
      <c r="F113" s="122"/>
      <c r="G113" s="138"/>
      <c r="H113" s="138"/>
      <c r="I113" s="138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idden="1" x14ac:dyDescent="0.25">
      <c r="A114" s="137"/>
      <c r="B114" s="122"/>
      <c r="C114" s="122"/>
      <c r="D114" s="123"/>
      <c r="E114" s="123"/>
      <c r="F114" s="122"/>
      <c r="G114" s="138"/>
      <c r="H114" s="138"/>
      <c r="I114" s="138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idden="1" x14ac:dyDescent="0.25">
      <c r="A115" s="137"/>
      <c r="B115" s="111"/>
      <c r="C115" s="125"/>
      <c r="D115" s="126"/>
      <c r="E115" s="126"/>
      <c r="F115" s="111"/>
      <c r="G115" s="138"/>
      <c r="H115" s="138"/>
      <c r="I115" s="138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idden="1" x14ac:dyDescent="0.25">
      <c r="A116" s="137"/>
      <c r="B116" s="111"/>
      <c r="C116" s="125"/>
      <c r="D116" s="126"/>
      <c r="E116" s="126"/>
      <c r="F116" s="111"/>
      <c r="G116" s="138"/>
      <c r="H116" s="138"/>
      <c r="I116" s="138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idden="1" x14ac:dyDescent="0.25">
      <c r="A117" s="137"/>
      <c r="B117" s="111"/>
      <c r="C117" s="125"/>
      <c r="D117" s="52"/>
      <c r="E117" s="126"/>
      <c r="F117" s="111"/>
      <c r="G117" s="138"/>
      <c r="H117" s="138"/>
      <c r="I117" s="138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idden="1" x14ac:dyDescent="0.25">
      <c r="A118" s="137"/>
      <c r="B118" s="111"/>
      <c r="C118" s="125"/>
      <c r="D118" s="52"/>
      <c r="E118" s="126"/>
      <c r="F118" s="111"/>
      <c r="G118" s="138"/>
      <c r="H118" s="138"/>
      <c r="I118" s="138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idden="1" x14ac:dyDescent="0.25">
      <c r="A119" s="137"/>
      <c r="B119" s="111"/>
      <c r="C119" s="125"/>
      <c r="D119" s="52"/>
      <c r="E119" s="126"/>
      <c r="F119" s="111"/>
      <c r="G119" s="138"/>
      <c r="H119" s="138"/>
      <c r="I119" s="138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idden="1" x14ac:dyDescent="0.25">
      <c r="A120" s="137"/>
      <c r="B120" s="111"/>
      <c r="C120" s="125"/>
      <c r="D120" s="52"/>
      <c r="E120" s="126"/>
      <c r="F120" s="111"/>
      <c r="G120" s="138"/>
      <c r="H120" s="138"/>
      <c r="I120" s="138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idden="1" x14ac:dyDescent="0.25">
      <c r="A121" s="137"/>
      <c r="B121" s="111"/>
      <c r="C121" s="125"/>
      <c r="D121" s="52"/>
      <c r="E121" s="126"/>
      <c r="F121" s="111"/>
      <c r="G121" s="138"/>
      <c r="H121" s="138"/>
      <c r="I121" s="138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idden="1" x14ac:dyDescent="0.25">
      <c r="A122" s="137"/>
      <c r="B122" s="111"/>
      <c r="C122" s="125"/>
      <c r="D122" s="52"/>
      <c r="E122" s="126"/>
      <c r="F122" s="111"/>
      <c r="G122" s="138"/>
      <c r="H122" s="138"/>
      <c r="I122" s="138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idden="1" x14ac:dyDescent="0.25">
      <c r="A123" s="137"/>
      <c r="B123" s="111"/>
      <c r="C123" s="125"/>
      <c r="D123" s="52"/>
      <c r="E123" s="126"/>
      <c r="F123" s="111"/>
      <c r="G123" s="138"/>
      <c r="H123" s="138"/>
      <c r="I123" s="138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idden="1" x14ac:dyDescent="0.25">
      <c r="A124" s="200" t="s">
        <v>638</v>
      </c>
      <c r="B124" s="138" t="s">
        <v>259</v>
      </c>
      <c r="C124" s="138" t="s">
        <v>458</v>
      </c>
      <c r="D124" s="138" t="s">
        <v>459</v>
      </c>
      <c r="E124" s="201">
        <v>0</v>
      </c>
      <c r="F124" s="202">
        <v>2000000</v>
      </c>
      <c r="G124" s="138"/>
      <c r="H124" s="138"/>
      <c r="I124" s="138"/>
      <c r="J124" s="39"/>
      <c r="K124">
        <f>VALUE(F124)</f>
        <v>2000000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idden="1" x14ac:dyDescent="0.25">
      <c r="A125" s="200"/>
      <c r="B125" s="138"/>
      <c r="C125" s="138"/>
      <c r="D125" s="138"/>
      <c r="E125" s="201"/>
      <c r="F125" s="202"/>
      <c r="G125" s="138"/>
      <c r="H125" s="138"/>
      <c r="I125" s="138"/>
      <c r="J125" s="39"/>
      <c r="K125">
        <f t="shared" ref="K125:K127" si="2">VALUE(F125)</f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idden="1" x14ac:dyDescent="0.25">
      <c r="A126" s="200"/>
      <c r="B126" s="138"/>
      <c r="C126" s="138"/>
      <c r="D126" s="138"/>
      <c r="E126" s="201"/>
      <c r="F126" s="202"/>
      <c r="G126" s="138"/>
      <c r="H126" s="138"/>
      <c r="I126" s="138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idden="1" x14ac:dyDescent="0.25">
      <c r="A127" s="200"/>
      <c r="B127" s="138"/>
      <c r="C127" s="138"/>
      <c r="D127" s="138"/>
      <c r="E127" s="201"/>
      <c r="F127" s="202"/>
      <c r="G127" s="138"/>
      <c r="H127" s="138"/>
      <c r="I127" s="138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idden="1" x14ac:dyDescent="0.25">
      <c r="A128" s="200"/>
      <c r="B128" s="138"/>
      <c r="C128" s="138"/>
      <c r="D128" s="138"/>
      <c r="E128" s="201"/>
      <c r="F128" s="202"/>
      <c r="G128" s="138"/>
      <c r="H128" s="138"/>
      <c r="I128" s="138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idden="1" x14ac:dyDescent="0.25">
      <c r="A129" s="200"/>
      <c r="B129" s="138"/>
      <c r="C129" s="138"/>
      <c r="D129" s="138"/>
      <c r="E129" s="201"/>
      <c r="F129" s="202"/>
      <c r="G129" s="138"/>
      <c r="H129" s="138"/>
      <c r="I129" s="138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idden="1" x14ac:dyDescent="0.25">
      <c r="A130" s="200"/>
      <c r="B130" s="138"/>
      <c r="C130" s="138"/>
      <c r="D130" s="138"/>
      <c r="E130" s="201"/>
      <c r="F130" s="202"/>
      <c r="G130" s="138"/>
      <c r="H130" s="138"/>
      <c r="I130" s="138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idden="1" x14ac:dyDescent="0.25">
      <c r="A131" s="200"/>
      <c r="B131" s="138"/>
      <c r="C131" s="138"/>
      <c r="D131" s="138"/>
      <c r="E131" s="201"/>
      <c r="F131" s="202"/>
      <c r="G131" s="138"/>
      <c r="H131" s="138"/>
      <c r="I131" s="138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idden="1" x14ac:dyDescent="0.25">
      <c r="A132" s="200"/>
      <c r="B132" s="138"/>
      <c r="C132" s="138"/>
      <c r="D132" s="138"/>
      <c r="E132" s="201"/>
      <c r="F132" s="202"/>
      <c r="G132" s="138"/>
      <c r="H132" s="138"/>
      <c r="I132" s="138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idden="1" x14ac:dyDescent="0.25">
      <c r="A133" s="200"/>
      <c r="B133" s="138"/>
      <c r="C133" s="229"/>
      <c r="D133" s="138"/>
      <c r="E133" s="201"/>
      <c r="F133" s="202"/>
      <c r="G133" s="138"/>
      <c r="H133" s="138"/>
      <c r="I133" s="138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idden="1" x14ac:dyDescent="0.25">
      <c r="A134" s="200"/>
      <c r="B134" s="138"/>
      <c r="C134" s="138"/>
      <c r="D134" s="138"/>
      <c r="E134" s="201"/>
      <c r="F134" s="202"/>
      <c r="G134" s="138"/>
      <c r="H134" s="138"/>
      <c r="I134" s="138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idden="1" x14ac:dyDescent="0.25">
      <c r="A135" s="230" t="s">
        <v>204</v>
      </c>
      <c r="B135" s="231"/>
      <c r="C135" s="232"/>
      <c r="D135" s="69"/>
      <c r="E135" s="233"/>
      <c r="F135" s="231"/>
      <c r="G135" s="138"/>
      <c r="H135" s="138"/>
      <c r="I135" s="138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idden="1" x14ac:dyDescent="0.25">
      <c r="A136" s="111"/>
      <c r="B136" s="111"/>
      <c r="C136" s="125"/>
      <c r="D136" s="52"/>
      <c r="E136" s="126"/>
      <c r="F136" s="111"/>
      <c r="G136" s="138"/>
      <c r="H136" s="138"/>
      <c r="I136" s="138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idden="1" x14ac:dyDescent="0.25">
      <c r="A137" s="234" t="s">
        <v>584</v>
      </c>
      <c r="B137" s="139" t="s">
        <v>260</v>
      </c>
      <c r="C137" s="139" t="s">
        <v>866</v>
      </c>
      <c r="D137" s="139"/>
      <c r="E137" s="235">
        <v>20000</v>
      </c>
      <c r="F137" s="236">
        <v>0</v>
      </c>
      <c r="G137" s="138"/>
      <c r="H137" s="138"/>
      <c r="I137" s="138"/>
      <c r="J137" s="39"/>
      <c r="K137">
        <f>VALUE(E137)</f>
        <v>20000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idden="1" x14ac:dyDescent="0.25">
      <c r="A138" s="234" t="s">
        <v>590</v>
      </c>
      <c r="B138" s="139" t="s">
        <v>260</v>
      </c>
      <c r="C138" s="139" t="s">
        <v>867</v>
      </c>
      <c r="D138" s="139"/>
      <c r="E138" s="235">
        <v>100000</v>
      </c>
      <c r="F138" s="236">
        <v>0</v>
      </c>
      <c r="G138" s="138"/>
      <c r="H138" s="138"/>
      <c r="I138" s="138"/>
      <c r="J138" s="39"/>
      <c r="K138">
        <f t="shared" ref="K138:K148" si="3">VALUE(E138)</f>
        <v>100000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idden="1" x14ac:dyDescent="0.25">
      <c r="A139" s="234" t="s">
        <v>590</v>
      </c>
      <c r="B139" s="139" t="s">
        <v>260</v>
      </c>
      <c r="C139" s="139" t="s">
        <v>868</v>
      </c>
      <c r="D139" s="139"/>
      <c r="E139" s="235">
        <v>50000</v>
      </c>
      <c r="F139" s="236">
        <v>0</v>
      </c>
      <c r="G139" s="138"/>
      <c r="H139" s="138"/>
      <c r="I139" s="138"/>
      <c r="J139" s="39"/>
      <c r="K139">
        <f t="shared" si="3"/>
        <v>50000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idden="1" x14ac:dyDescent="0.25">
      <c r="A140" s="234"/>
      <c r="B140" s="139"/>
      <c r="C140" s="139"/>
      <c r="D140" s="139"/>
      <c r="E140" s="235"/>
      <c r="F140" s="236"/>
      <c r="G140" s="138"/>
      <c r="H140" s="138"/>
      <c r="I140" s="138"/>
      <c r="J140" s="39"/>
      <c r="K140">
        <f t="shared" si="3"/>
        <v>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idden="1" x14ac:dyDescent="0.25">
      <c r="A141" s="234"/>
      <c r="B141" s="139"/>
      <c r="C141" s="139"/>
      <c r="D141" s="139"/>
      <c r="E141" s="235"/>
      <c r="F141" s="236"/>
      <c r="G141" s="138"/>
      <c r="H141" s="138"/>
      <c r="I141" s="138"/>
      <c r="J141" s="39"/>
      <c r="K141">
        <f t="shared" si="3"/>
        <v>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hidden="1" x14ac:dyDescent="0.25">
      <c r="A142" s="234"/>
      <c r="B142" s="139"/>
      <c r="C142" s="139"/>
      <c r="D142" s="139"/>
      <c r="E142" s="235"/>
      <c r="F142" s="236"/>
      <c r="G142" s="138"/>
      <c r="H142" s="138"/>
      <c r="I142" s="138"/>
      <c r="J142" s="39"/>
      <c r="K142">
        <f t="shared" si="3"/>
        <v>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hidden="1" x14ac:dyDescent="0.25">
      <c r="A143" s="234"/>
      <c r="B143" s="139"/>
      <c r="C143" s="139"/>
      <c r="D143" s="139"/>
      <c r="E143" s="235"/>
      <c r="F143" s="236"/>
      <c r="G143" s="138"/>
      <c r="H143" s="138"/>
      <c r="I143" s="138"/>
      <c r="J143" s="39"/>
      <c r="K143">
        <f t="shared" si="3"/>
        <v>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hidden="1" x14ac:dyDescent="0.25">
      <c r="A144" s="234"/>
      <c r="B144" s="139"/>
      <c r="C144" s="139"/>
      <c r="D144" s="139"/>
      <c r="E144" s="235"/>
      <c r="F144" s="236"/>
      <c r="G144" s="138"/>
      <c r="H144" s="138"/>
      <c r="I144" s="138"/>
      <c r="J144" s="39"/>
      <c r="K144">
        <f t="shared" si="3"/>
        <v>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hidden="1" x14ac:dyDescent="0.25">
      <c r="A145" s="234"/>
      <c r="B145" s="139"/>
      <c r="C145" s="139"/>
      <c r="D145" s="139"/>
      <c r="E145" s="235"/>
      <c r="F145" s="236"/>
      <c r="G145" s="138"/>
      <c r="H145" s="138"/>
      <c r="I145" s="138"/>
      <c r="J145" s="39"/>
      <c r="K145">
        <f t="shared" si="3"/>
        <v>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hidden="1" x14ac:dyDescent="0.25">
      <c r="A146" s="234"/>
      <c r="B146" s="139"/>
      <c r="C146" s="139"/>
      <c r="D146" s="139"/>
      <c r="E146" s="235"/>
      <c r="F146" s="236"/>
      <c r="G146" s="138"/>
      <c r="H146" s="138"/>
      <c r="I146" s="138"/>
      <c r="J146" s="39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hidden="1" x14ac:dyDescent="0.25">
      <c r="A147" s="234"/>
      <c r="B147" s="139"/>
      <c r="C147" s="139"/>
      <c r="D147" s="139"/>
      <c r="E147" s="235"/>
      <c r="F147" s="236"/>
      <c r="G147" s="138"/>
      <c r="H147" s="138"/>
      <c r="I147" s="138"/>
      <c r="J147" s="39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hidden="1" x14ac:dyDescent="0.25">
      <c r="A148" s="234"/>
      <c r="B148" s="139"/>
      <c r="C148" s="139"/>
      <c r="D148" s="139"/>
      <c r="E148" s="235"/>
      <c r="F148" s="236"/>
      <c r="G148" s="138"/>
      <c r="H148" s="138"/>
      <c r="I148" s="138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hidden="1" x14ac:dyDescent="0.25">
      <c r="A149" s="234"/>
      <c r="B149" s="139"/>
      <c r="C149" s="139"/>
      <c r="D149" s="139"/>
      <c r="E149" s="235"/>
      <c r="F149" s="236"/>
      <c r="G149" s="138"/>
      <c r="H149" s="138"/>
      <c r="I149" s="138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idden="1" x14ac:dyDescent="0.25">
      <c r="A150" s="234"/>
      <c r="B150" s="139"/>
      <c r="C150" s="139"/>
      <c r="D150" s="139"/>
      <c r="E150" s="235"/>
      <c r="F150" s="236"/>
      <c r="G150" s="138"/>
      <c r="H150" s="138"/>
      <c r="I150" s="138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idden="1" x14ac:dyDescent="0.25">
      <c r="A151" s="185"/>
      <c r="B151" s="185"/>
      <c r="C151" s="186"/>
      <c r="D151" s="187">
        <f>SUM(D137:D150)</f>
        <v>0</v>
      </c>
      <c r="E151" s="188">
        <f>SUM(E2:E150)</f>
        <v>2288068</v>
      </c>
      <c r="F151" s="188">
        <f>SUM(F2:F150)</f>
        <v>2000000</v>
      </c>
      <c r="G151" s="189"/>
      <c r="H151" s="189"/>
      <c r="I151" s="189"/>
      <c r="J151" s="205">
        <f>+E151-F151</f>
        <v>288068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idden="1" x14ac:dyDescent="0.25">
      <c r="A152" s="111"/>
      <c r="B152" s="111"/>
      <c r="C152" s="125"/>
      <c r="D152" s="117"/>
      <c r="E152" s="126"/>
      <c r="F152" s="111"/>
      <c r="G152" s="138"/>
      <c r="H152" s="138"/>
      <c r="I152" s="138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idden="1" x14ac:dyDescent="0.25">
      <c r="A153" s="111"/>
      <c r="B153" s="111"/>
      <c r="C153" s="125"/>
      <c r="D153" s="117"/>
      <c r="E153" s="126"/>
      <c r="F153" s="111"/>
      <c r="G153" s="138"/>
      <c r="H153" s="138"/>
      <c r="I153" s="138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idden="1" x14ac:dyDescent="0.25">
      <c r="A154" s="125"/>
      <c r="B154" s="111"/>
      <c r="C154" s="125"/>
      <c r="D154" s="117"/>
      <c r="E154" s="126"/>
      <c r="F154" s="111"/>
      <c r="G154" s="138"/>
      <c r="H154" s="138"/>
      <c r="I154" s="138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idden="1" x14ac:dyDescent="0.25">
      <c r="A155" s="125"/>
      <c r="B155" s="111"/>
      <c r="C155" s="125"/>
      <c r="D155" s="117"/>
      <c r="E155" s="126"/>
      <c r="F155" s="111"/>
      <c r="G155" s="138"/>
      <c r="H155" s="138"/>
      <c r="I155" s="138"/>
      <c r="J155" s="140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idden="1" x14ac:dyDescent="0.25">
      <c r="A156" s="329">
        <v>45079</v>
      </c>
      <c r="B156" s="330"/>
      <c r="C156" s="330" t="s">
        <v>869</v>
      </c>
      <c r="D156" s="330"/>
      <c r="E156" s="331">
        <v>1800</v>
      </c>
      <c r="F156" s="327"/>
      <c r="G156" s="328" t="s">
        <v>456</v>
      </c>
      <c r="H156" s="328">
        <v>3405628</v>
      </c>
      <c r="I156" s="138" t="s">
        <v>56</v>
      </c>
      <c r="J156" s="140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idden="1" x14ac:dyDescent="0.25">
      <c r="A157" s="329">
        <v>45080</v>
      </c>
      <c r="B157" s="330"/>
      <c r="C157" s="330" t="s">
        <v>870</v>
      </c>
      <c r="D157" s="330"/>
      <c r="E157" s="331">
        <v>2000</v>
      </c>
      <c r="F157" s="327"/>
      <c r="G157" s="328" t="s">
        <v>871</v>
      </c>
      <c r="H157" s="328">
        <v>428</v>
      </c>
      <c r="I157" s="138" t="s">
        <v>56</v>
      </c>
      <c r="J157" s="140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idden="1" x14ac:dyDescent="0.25">
      <c r="A158" s="329">
        <v>45080</v>
      </c>
      <c r="B158" s="330"/>
      <c r="C158" s="330" t="s">
        <v>872</v>
      </c>
      <c r="D158" s="330"/>
      <c r="E158" s="331">
        <v>2000</v>
      </c>
      <c r="F158" s="327"/>
      <c r="G158" s="328" t="s">
        <v>460</v>
      </c>
      <c r="H158" s="328">
        <v>37990</v>
      </c>
      <c r="I158" s="138" t="s">
        <v>56</v>
      </c>
      <c r="J158" s="140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hidden="1" x14ac:dyDescent="0.25">
      <c r="A159" s="329">
        <v>45082</v>
      </c>
      <c r="B159" s="330"/>
      <c r="C159" s="330" t="s">
        <v>873</v>
      </c>
      <c r="D159" s="330"/>
      <c r="E159" s="331">
        <v>25000</v>
      </c>
      <c r="F159" s="327"/>
      <c r="G159" s="328" t="s">
        <v>874</v>
      </c>
      <c r="H159" s="328">
        <v>469</v>
      </c>
      <c r="I159" s="138" t="s">
        <v>68</v>
      </c>
      <c r="J159" s="139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idden="1" x14ac:dyDescent="0.25">
      <c r="A160" s="329">
        <v>45084</v>
      </c>
      <c r="B160" s="330"/>
      <c r="C160" s="330" t="s">
        <v>875</v>
      </c>
      <c r="D160" s="330"/>
      <c r="E160" s="331">
        <v>119000</v>
      </c>
      <c r="F160" s="327"/>
      <c r="G160" s="328" t="s">
        <v>876</v>
      </c>
      <c r="H160" s="328">
        <v>110</v>
      </c>
      <c r="I160" s="138" t="s">
        <v>56</v>
      </c>
      <c r="J160" s="139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idden="1" x14ac:dyDescent="0.25">
      <c r="A161" s="329">
        <v>45087</v>
      </c>
      <c r="B161" s="330"/>
      <c r="C161" s="330" t="s">
        <v>877</v>
      </c>
      <c r="D161" s="330"/>
      <c r="E161" s="331">
        <v>6000</v>
      </c>
      <c r="F161" s="327"/>
      <c r="G161" s="328" t="s">
        <v>878</v>
      </c>
      <c r="H161" s="328">
        <v>225</v>
      </c>
      <c r="I161" s="138" t="s">
        <v>56</v>
      </c>
      <c r="J161" s="139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idden="1" x14ac:dyDescent="0.25">
      <c r="A162" s="329">
        <v>45092</v>
      </c>
      <c r="B162" s="330"/>
      <c r="C162" s="330" t="s">
        <v>879</v>
      </c>
      <c r="D162" s="330"/>
      <c r="E162" s="331">
        <v>19000</v>
      </c>
      <c r="F162" s="327"/>
      <c r="G162" s="328" t="s">
        <v>309</v>
      </c>
      <c r="H162" s="328">
        <v>9500</v>
      </c>
      <c r="I162" s="138" t="s">
        <v>56</v>
      </c>
      <c r="J162" s="139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329">
        <v>45095</v>
      </c>
      <c r="B163" s="330"/>
      <c r="C163" s="330" t="s">
        <v>310</v>
      </c>
      <c r="D163" s="330"/>
      <c r="E163" s="331">
        <v>1500</v>
      </c>
      <c r="F163" s="327"/>
      <c r="G163" s="328" t="s">
        <v>880</v>
      </c>
      <c r="H163" s="328">
        <v>1616221</v>
      </c>
      <c r="I163" s="138" t="s">
        <v>151</v>
      </c>
      <c r="J163" s="139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idden="1" x14ac:dyDescent="0.25">
      <c r="A164" s="329">
        <v>45097</v>
      </c>
      <c r="B164" s="330"/>
      <c r="C164" s="330" t="s">
        <v>881</v>
      </c>
      <c r="D164" s="330"/>
      <c r="E164" s="331">
        <v>15000</v>
      </c>
      <c r="F164" s="327"/>
      <c r="G164" s="328" t="s">
        <v>882</v>
      </c>
      <c r="H164" s="328">
        <v>473</v>
      </c>
      <c r="I164" s="138" t="s">
        <v>68</v>
      </c>
      <c r="J164" s="139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idden="1" x14ac:dyDescent="0.25">
      <c r="A165" s="329">
        <v>45101</v>
      </c>
      <c r="B165" s="330"/>
      <c r="C165" s="330" t="s">
        <v>883</v>
      </c>
      <c r="D165" s="330"/>
      <c r="E165" s="331">
        <v>4400</v>
      </c>
      <c r="F165" s="327"/>
      <c r="G165" s="328" t="s">
        <v>884</v>
      </c>
      <c r="H165" s="328">
        <v>9132</v>
      </c>
      <c r="I165" s="138" t="s">
        <v>56</v>
      </c>
      <c r="J165" s="139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329">
        <v>45104</v>
      </c>
      <c r="B166" s="330"/>
      <c r="C166" s="330" t="s">
        <v>310</v>
      </c>
      <c r="D166" s="330"/>
      <c r="E166" s="331">
        <v>1500</v>
      </c>
      <c r="F166" s="327"/>
      <c r="G166" s="328" t="s">
        <v>880</v>
      </c>
      <c r="H166" s="328">
        <v>1621989</v>
      </c>
      <c r="I166" s="138" t="s">
        <v>151</v>
      </c>
      <c r="J166" s="139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idden="1" x14ac:dyDescent="0.25">
      <c r="A167" s="332"/>
      <c r="B167" s="330"/>
      <c r="C167" s="330"/>
      <c r="D167" s="330"/>
      <c r="E167" s="331"/>
      <c r="F167" s="327"/>
      <c r="G167" s="328"/>
      <c r="H167" s="328"/>
      <c r="I167" s="138"/>
      <c r="J167" s="139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idden="1" x14ac:dyDescent="0.25">
      <c r="A168" s="200"/>
      <c r="B168" s="138"/>
      <c r="C168" s="138"/>
      <c r="D168" s="138"/>
      <c r="E168" s="201"/>
      <c r="F168" s="236"/>
      <c r="G168" s="2"/>
      <c r="H168" s="2"/>
      <c r="I168" s="138"/>
      <c r="J168" s="139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idden="1" x14ac:dyDescent="0.25">
      <c r="A169" s="200"/>
      <c r="B169" s="138"/>
      <c r="C169" s="138"/>
      <c r="D169" s="138"/>
      <c r="E169" s="201"/>
      <c r="F169" s="236"/>
      <c r="G169" s="2"/>
      <c r="H169" s="2"/>
      <c r="I169" s="138"/>
      <c r="J169" s="139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idden="1" x14ac:dyDescent="0.25">
      <c r="A170" s="200"/>
      <c r="B170" s="138"/>
      <c r="C170" s="138"/>
      <c r="D170" s="138"/>
      <c r="E170" s="201"/>
      <c r="F170" s="236"/>
      <c r="G170" s="2"/>
      <c r="H170" s="2"/>
      <c r="I170" s="138"/>
      <c r="J170" s="139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idden="1" x14ac:dyDescent="0.25">
      <c r="A171" s="200"/>
      <c r="B171" s="138"/>
      <c r="C171" s="138"/>
      <c r="D171" s="138"/>
      <c r="E171" s="201"/>
      <c r="F171" s="236"/>
      <c r="G171" s="2"/>
      <c r="H171" s="2"/>
      <c r="I171" s="138"/>
      <c r="J171" s="139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hidden="1" x14ac:dyDescent="0.25">
      <c r="A172" s="200"/>
      <c r="B172" s="138"/>
      <c r="C172" s="138"/>
      <c r="D172" s="138"/>
      <c r="E172" s="201"/>
      <c r="F172" s="236"/>
      <c r="G172" s="2"/>
      <c r="H172" s="2"/>
      <c r="I172" s="138"/>
      <c r="J172" s="139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idden="1" x14ac:dyDescent="0.25">
      <c r="A173" s="200"/>
      <c r="B173" s="138"/>
      <c r="C173" s="138"/>
      <c r="D173" s="138"/>
      <c r="E173" s="201"/>
      <c r="F173" s="236"/>
      <c r="G173" s="2"/>
      <c r="H173" s="2"/>
      <c r="I173" s="138"/>
      <c r="J173" s="139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idden="1" x14ac:dyDescent="0.25">
      <c r="A174" s="200"/>
      <c r="B174" s="138"/>
      <c r="C174" s="138"/>
      <c r="D174" s="138"/>
      <c r="E174" s="201"/>
      <c r="F174" s="236"/>
      <c r="G174" s="2"/>
      <c r="H174" s="2"/>
      <c r="I174" s="138"/>
      <c r="J174" s="139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idden="1" x14ac:dyDescent="0.25">
      <c r="A175" s="200"/>
      <c r="B175" s="138"/>
      <c r="C175" s="138"/>
      <c r="D175" s="138"/>
      <c r="E175" s="201"/>
      <c r="F175" s="236"/>
      <c r="G175" s="2"/>
      <c r="H175" s="2"/>
      <c r="I175" s="138"/>
      <c r="J175" s="139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idden="1" x14ac:dyDescent="0.25">
      <c r="A176" s="200"/>
      <c r="B176" s="138"/>
      <c r="C176" s="138"/>
      <c r="D176" s="138"/>
      <c r="E176" s="201"/>
      <c r="F176" s="236"/>
      <c r="G176" s="2"/>
      <c r="H176" s="2"/>
      <c r="I176" s="138"/>
      <c r="J176" s="139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idden="1" x14ac:dyDescent="0.25">
      <c r="A177" s="200"/>
      <c r="B177" s="138"/>
      <c r="C177" s="138"/>
      <c r="D177" s="138"/>
      <c r="E177" s="201"/>
      <c r="F177" s="236"/>
      <c r="G177" s="2"/>
      <c r="H177" s="2"/>
      <c r="I177" s="138"/>
      <c r="J177" s="139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idden="1" x14ac:dyDescent="0.25">
      <c r="A178" s="200"/>
      <c r="B178" s="138"/>
      <c r="C178" s="138"/>
      <c r="D178" s="138"/>
      <c r="E178" s="201"/>
      <c r="F178" s="236"/>
      <c r="G178" s="2"/>
      <c r="H178" s="2"/>
      <c r="I178" s="2"/>
      <c r="J178" s="139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idden="1" x14ac:dyDescent="0.25">
      <c r="A179" s="186"/>
      <c r="B179" s="185"/>
      <c r="C179" s="186"/>
      <c r="D179" s="188"/>
      <c r="E179" s="188"/>
      <c r="F179" s="185"/>
      <c r="G179" s="338"/>
      <c r="H179" s="189"/>
      <c r="I179" s="189"/>
      <c r="J179" s="139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hidden="1" x14ac:dyDescent="0.25">
      <c r="A180" s="125"/>
      <c r="B180" s="111"/>
      <c r="C180" s="125"/>
      <c r="D180" s="126"/>
      <c r="E180" s="126"/>
      <c r="F180" s="111"/>
      <c r="G180" s="220"/>
      <c r="H180" s="138"/>
      <c r="I180" s="138"/>
      <c r="J180" s="139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idden="1" x14ac:dyDescent="0.25">
      <c r="A181" s="125"/>
      <c r="B181" s="111"/>
      <c r="C181" s="125"/>
      <c r="D181" s="126"/>
      <c r="E181" s="126"/>
      <c r="F181" s="111"/>
      <c r="G181" s="220"/>
      <c r="H181" s="138"/>
      <c r="I181" s="138"/>
      <c r="J181" s="139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idden="1" x14ac:dyDescent="0.25">
      <c r="A182" s="125"/>
      <c r="B182" s="111"/>
      <c r="C182" s="125"/>
      <c r="D182" s="126"/>
      <c r="E182" s="126"/>
      <c r="F182" s="111"/>
      <c r="G182" s="220"/>
      <c r="H182" s="138"/>
      <c r="I182" s="138"/>
      <c r="J182" s="139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idden="1" x14ac:dyDescent="0.25">
      <c r="A183" s="125"/>
      <c r="B183" s="111"/>
      <c r="C183" s="125"/>
      <c r="D183" s="126"/>
      <c r="E183" s="126"/>
      <c r="F183" s="111"/>
      <c r="G183" s="220"/>
      <c r="H183" s="138"/>
      <c r="I183" s="138"/>
      <c r="J183" s="139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idden="1" x14ac:dyDescent="0.25">
      <c r="A184" s="125"/>
      <c r="B184" s="111"/>
      <c r="C184" s="125"/>
      <c r="D184" s="126"/>
      <c r="E184" s="126"/>
      <c r="F184" s="111"/>
      <c r="G184" s="220"/>
      <c r="H184" s="138"/>
      <c r="I184" s="138"/>
      <c r="J184" s="139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idden="1" x14ac:dyDescent="0.25">
      <c r="A185" s="125"/>
      <c r="B185" s="111"/>
      <c r="C185" s="125"/>
      <c r="D185" s="126"/>
      <c r="E185" s="126"/>
      <c r="F185" s="111"/>
      <c r="G185" s="220"/>
      <c r="H185" s="138"/>
      <c r="I185" s="138"/>
      <c r="J185" s="139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idden="1" x14ac:dyDescent="0.25">
      <c r="A186" s="125"/>
      <c r="B186" s="111"/>
      <c r="C186" s="125"/>
      <c r="D186" s="126"/>
      <c r="E186" s="126"/>
      <c r="F186" s="111"/>
      <c r="G186" s="220"/>
      <c r="H186" s="138"/>
      <c r="I186" s="138"/>
      <c r="J186" s="139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idden="1" x14ac:dyDescent="0.25">
      <c r="A187" s="125"/>
      <c r="B187" s="111"/>
      <c r="C187" s="125"/>
      <c r="D187" s="126"/>
      <c r="E187" s="126"/>
      <c r="F187" s="111"/>
      <c r="G187" s="220"/>
      <c r="H187" s="138"/>
      <c r="I187" s="138"/>
      <c r="J187" s="139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idden="1" x14ac:dyDescent="0.25">
      <c r="A188" s="125"/>
      <c r="B188" s="111"/>
      <c r="C188" s="125"/>
      <c r="D188" s="126"/>
      <c r="E188" s="126"/>
      <c r="F188" s="111"/>
      <c r="G188" s="220"/>
      <c r="H188" s="138"/>
      <c r="I188" s="138"/>
      <c r="J188" s="139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idden="1" x14ac:dyDescent="0.25">
      <c r="A189" s="125"/>
      <c r="B189" s="111"/>
      <c r="C189" s="125"/>
      <c r="D189" s="126"/>
      <c r="E189" s="126"/>
      <c r="F189" s="111"/>
      <c r="G189" s="220"/>
      <c r="H189" s="138"/>
      <c r="I189" s="138"/>
      <c r="J189" s="139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idden="1" x14ac:dyDescent="0.25">
      <c r="A190" s="125"/>
      <c r="B190" s="111"/>
      <c r="C190" s="125"/>
      <c r="D190" s="126"/>
      <c r="E190" s="126"/>
      <c r="F190" s="111"/>
      <c r="G190" s="220"/>
      <c r="H190" s="138"/>
      <c r="I190" s="138"/>
      <c r="J190" s="139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idden="1" x14ac:dyDescent="0.25">
      <c r="A191" s="125"/>
      <c r="B191" s="111"/>
      <c r="C191" s="125"/>
      <c r="D191" s="126"/>
      <c r="E191" s="126"/>
      <c r="F191" s="111"/>
      <c r="G191" s="220"/>
      <c r="H191" s="138"/>
      <c r="I191" s="138"/>
      <c r="J191" s="139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idden="1" x14ac:dyDescent="0.25">
      <c r="A192" s="125"/>
      <c r="B192" s="111"/>
      <c r="C192" s="125"/>
      <c r="D192" s="126"/>
      <c r="E192" s="126"/>
      <c r="F192" s="111"/>
      <c r="G192" s="220"/>
      <c r="H192" s="138"/>
      <c r="I192" s="138"/>
      <c r="J192" s="139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hidden="1" x14ac:dyDescent="0.25">
      <c r="A193" s="125"/>
      <c r="B193" s="111"/>
      <c r="C193" s="125"/>
      <c r="D193" s="126"/>
      <c r="E193" s="126"/>
      <c r="F193" s="111"/>
      <c r="G193" s="220"/>
      <c r="H193" s="138"/>
      <c r="I193" s="138"/>
      <c r="J193" s="139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hidden="1" x14ac:dyDescent="0.25">
      <c r="A194" s="125"/>
      <c r="B194" s="111"/>
      <c r="C194" s="125"/>
      <c r="D194" s="126"/>
      <c r="E194" s="126"/>
      <c r="F194" s="111"/>
      <c r="G194" s="220"/>
      <c r="H194" s="138"/>
      <c r="I194" s="138"/>
      <c r="J194" s="139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hidden="1" x14ac:dyDescent="0.25">
      <c r="A195" s="125"/>
      <c r="B195" s="111"/>
      <c r="C195" s="125"/>
      <c r="D195" s="126"/>
      <c r="E195" s="126"/>
      <c r="F195" s="111"/>
      <c r="G195" s="220"/>
      <c r="H195" s="138"/>
      <c r="I195" s="138"/>
      <c r="J195" s="139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hidden="1" x14ac:dyDescent="0.25">
      <c r="A196" s="125"/>
      <c r="B196" s="111"/>
      <c r="C196" s="125"/>
      <c r="D196" s="126"/>
      <c r="E196" s="126"/>
      <c r="F196" s="111"/>
      <c r="G196" s="220"/>
      <c r="H196" s="138"/>
      <c r="I196" s="138"/>
      <c r="J196" s="139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hidden="1" x14ac:dyDescent="0.25">
      <c r="A197" s="125"/>
      <c r="B197" s="111"/>
      <c r="C197" s="125"/>
      <c r="D197" s="126"/>
      <c r="E197" s="126"/>
      <c r="F197" s="111"/>
      <c r="G197" s="220"/>
      <c r="H197" s="138"/>
      <c r="I197" s="138"/>
      <c r="J197" s="139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hidden="1" x14ac:dyDescent="0.25">
      <c r="A198" s="125"/>
      <c r="B198" s="111"/>
      <c r="C198" s="125"/>
      <c r="D198" s="126"/>
      <c r="E198" s="126"/>
      <c r="F198" s="111"/>
      <c r="G198" s="220"/>
      <c r="H198" s="138"/>
      <c r="I198" s="138"/>
      <c r="J198" s="139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hidden="1" x14ac:dyDescent="0.25">
      <c r="A199" s="125"/>
      <c r="B199" s="111"/>
      <c r="C199" s="125"/>
      <c r="D199" s="126"/>
      <c r="E199" s="126"/>
      <c r="F199" s="111"/>
      <c r="G199" s="220"/>
      <c r="H199" s="138"/>
      <c r="I199" s="138"/>
      <c r="J199" s="139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hidden="1" x14ac:dyDescent="0.25">
      <c r="A200" s="125"/>
      <c r="B200" s="111"/>
      <c r="C200" s="125"/>
      <c r="D200" s="126"/>
      <c r="E200" s="126"/>
      <c r="F200" s="111"/>
      <c r="G200" s="220"/>
      <c r="H200" s="138"/>
      <c r="I200" s="138"/>
      <c r="J200" s="139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hidden="1" x14ac:dyDescent="0.25">
      <c r="A201" s="125"/>
      <c r="B201" s="111"/>
      <c r="C201" s="125"/>
      <c r="D201" s="126"/>
      <c r="E201" s="126"/>
      <c r="F201" s="111"/>
      <c r="G201" s="220"/>
      <c r="H201" s="138"/>
      <c r="I201" s="138"/>
      <c r="J201" s="139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hidden="1" x14ac:dyDescent="0.25">
      <c r="A202" s="125"/>
      <c r="B202" s="111"/>
      <c r="C202" s="125"/>
      <c r="D202" s="126"/>
      <c r="E202" s="126"/>
      <c r="F202" s="111"/>
      <c r="G202" s="220"/>
      <c r="H202" s="138"/>
      <c r="I202" s="138"/>
      <c r="J202" s="139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hidden="1" x14ac:dyDescent="0.25">
      <c r="A203" s="125"/>
      <c r="B203" s="111"/>
      <c r="C203" s="125"/>
      <c r="D203" s="126"/>
      <c r="E203" s="126"/>
      <c r="F203" s="111"/>
      <c r="G203" s="220"/>
      <c r="H203" s="138"/>
      <c r="I203" s="138"/>
      <c r="J203" s="139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hidden="1" x14ac:dyDescent="0.25">
      <c r="A204" s="125"/>
      <c r="B204" s="111"/>
      <c r="C204" s="125"/>
      <c r="D204" s="126"/>
      <c r="E204" s="126"/>
      <c r="F204" s="111"/>
      <c r="G204" s="220"/>
      <c r="H204" s="138"/>
      <c r="I204" s="138"/>
      <c r="J204" s="139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hidden="1" x14ac:dyDescent="0.25">
      <c r="A205" s="125"/>
      <c r="B205" s="111"/>
      <c r="C205" s="125"/>
      <c r="D205" s="126"/>
      <c r="E205" s="126"/>
      <c r="F205" s="111"/>
      <c r="G205" s="220"/>
      <c r="H205" s="138"/>
      <c r="I205" s="138"/>
      <c r="J205" s="139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hidden="1" x14ac:dyDescent="0.25">
      <c r="A206" s="125"/>
      <c r="B206" s="111"/>
      <c r="C206" s="125"/>
      <c r="D206" s="126"/>
      <c r="E206" s="126"/>
      <c r="F206" s="111"/>
      <c r="G206" s="220"/>
      <c r="H206" s="138"/>
      <c r="I206" s="138"/>
      <c r="J206" s="139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hidden="1" x14ac:dyDescent="0.25">
      <c r="A207" s="125"/>
      <c r="B207" s="111"/>
      <c r="C207" s="125"/>
      <c r="D207" s="126"/>
      <c r="E207" s="126"/>
      <c r="F207" s="111"/>
      <c r="G207" s="220"/>
      <c r="H207" s="138"/>
      <c r="I207" s="138"/>
      <c r="J207" s="139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hidden="1" x14ac:dyDescent="0.25">
      <c r="A208" s="125"/>
      <c r="B208" s="111"/>
      <c r="C208" s="125"/>
      <c r="D208" s="126"/>
      <c r="E208" s="126"/>
      <c r="F208" s="111"/>
      <c r="G208" s="220"/>
      <c r="H208" s="138"/>
      <c r="I208" s="138"/>
      <c r="J208" s="139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hidden="1" x14ac:dyDescent="0.25">
      <c r="A209" s="125"/>
      <c r="B209" s="111"/>
      <c r="C209" s="125"/>
      <c r="D209" s="126"/>
      <c r="E209" s="126"/>
      <c r="F209" s="111"/>
      <c r="G209" s="220"/>
      <c r="H209" s="138"/>
      <c r="I209" s="138"/>
      <c r="J209" s="139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hidden="1" x14ac:dyDescent="0.25">
      <c r="A210" s="125"/>
      <c r="B210" s="111"/>
      <c r="C210" s="125"/>
      <c r="D210" s="126"/>
      <c r="E210" s="126"/>
      <c r="F210" s="111"/>
      <c r="G210" s="220"/>
      <c r="H210" s="138"/>
      <c r="I210" s="138"/>
      <c r="J210" s="139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hidden="1" x14ac:dyDescent="0.25">
      <c r="A211" s="125"/>
      <c r="B211" s="111"/>
      <c r="C211" s="125"/>
      <c r="D211" s="126"/>
      <c r="E211" s="126"/>
      <c r="F211" s="111"/>
      <c r="G211" s="220"/>
      <c r="H211" s="138"/>
      <c r="I211" s="138"/>
      <c r="J211" s="139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hidden="1" x14ac:dyDescent="0.25">
      <c r="A212" s="125"/>
      <c r="B212" s="111"/>
      <c r="C212" s="125"/>
      <c r="D212" s="126"/>
      <c r="E212" s="126"/>
      <c r="F212" s="111"/>
      <c r="G212" s="220"/>
      <c r="H212" s="138"/>
      <c r="I212" s="138"/>
      <c r="J212" s="139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hidden="1" x14ac:dyDescent="0.25">
      <c r="A213" s="125"/>
      <c r="B213" s="111"/>
      <c r="C213" s="125"/>
      <c r="D213" s="126"/>
      <c r="E213" s="126"/>
      <c r="F213" s="111"/>
      <c r="G213" s="220"/>
      <c r="H213" s="138"/>
      <c r="I213" s="138"/>
      <c r="J213" s="139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hidden="1" x14ac:dyDescent="0.25">
      <c r="A214" s="125"/>
      <c r="B214" s="111"/>
      <c r="C214" s="125"/>
      <c r="D214" s="126"/>
      <c r="E214" s="126"/>
      <c r="F214" s="111"/>
      <c r="G214" s="220"/>
      <c r="H214" s="138"/>
      <c r="I214" s="138"/>
      <c r="J214" s="139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hidden="1" x14ac:dyDescent="0.25">
      <c r="A215" s="125"/>
      <c r="B215" s="111"/>
      <c r="C215" s="125"/>
      <c r="D215" s="126"/>
      <c r="E215" s="126"/>
      <c r="F215" s="111"/>
      <c r="G215" s="220"/>
      <c r="H215" s="138"/>
      <c r="I215" s="138"/>
      <c r="J215" s="139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hidden="1" x14ac:dyDescent="0.25">
      <c r="A216" s="125"/>
      <c r="B216" s="111"/>
      <c r="C216" s="125"/>
      <c r="D216" s="126"/>
      <c r="E216" s="126"/>
      <c r="F216" s="111"/>
      <c r="G216" s="220"/>
      <c r="H216" s="138"/>
      <c r="I216" s="138"/>
      <c r="J216" s="139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hidden="1" x14ac:dyDescent="0.25">
      <c r="A217" s="125"/>
      <c r="B217" s="111"/>
      <c r="C217" s="125"/>
      <c r="D217" s="126"/>
      <c r="E217" s="126"/>
      <c r="F217" s="111"/>
      <c r="G217" s="220"/>
      <c r="H217" s="138"/>
      <c r="I217" s="138"/>
      <c r="J217" s="139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hidden="1" x14ac:dyDescent="0.25">
      <c r="A218" s="125"/>
      <c r="B218" s="111"/>
      <c r="C218" s="125"/>
      <c r="D218" s="126"/>
      <c r="E218" s="126"/>
      <c r="F218" s="111"/>
      <c r="G218" s="220"/>
      <c r="H218" s="138"/>
      <c r="I218" s="138"/>
      <c r="J218" s="139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hidden="1" x14ac:dyDescent="0.25">
      <c r="A219" s="125"/>
      <c r="B219" s="111"/>
      <c r="C219" s="125"/>
      <c r="D219" s="126"/>
      <c r="E219" s="126"/>
      <c r="F219" s="111"/>
      <c r="G219" s="220"/>
      <c r="H219" s="138"/>
      <c r="I219" s="138"/>
      <c r="J219" s="139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hidden="1" x14ac:dyDescent="0.25">
      <c r="A220" s="125"/>
      <c r="B220" s="111"/>
      <c r="C220" s="125"/>
      <c r="D220" s="126"/>
      <c r="E220" s="126"/>
      <c r="F220" s="111"/>
      <c r="G220" s="220"/>
      <c r="H220" s="138"/>
      <c r="I220" s="138"/>
      <c r="J220" s="139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hidden="1" x14ac:dyDescent="0.25">
      <c r="A221" s="125"/>
      <c r="B221" s="111"/>
      <c r="C221" s="125"/>
      <c r="D221" s="126"/>
      <c r="E221" s="126"/>
      <c r="F221" s="111"/>
      <c r="G221" s="220"/>
      <c r="H221" s="138"/>
      <c r="I221" s="138"/>
      <c r="J221" s="139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hidden="1" x14ac:dyDescent="0.25">
      <c r="A222" s="125"/>
      <c r="B222" s="111"/>
      <c r="C222" s="125"/>
      <c r="D222" s="126"/>
      <c r="E222" s="126"/>
      <c r="F222" s="111"/>
      <c r="G222" s="220"/>
      <c r="H222" s="138"/>
      <c r="I222" s="138"/>
      <c r="J222" s="139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 hidden="1" x14ac:dyDescent="0.25">
      <c r="A223" s="125"/>
      <c r="B223" s="111"/>
      <c r="C223" s="125"/>
      <c r="D223" s="126"/>
      <c r="E223" s="126"/>
      <c r="F223" s="111"/>
      <c r="G223" s="220"/>
      <c r="H223" s="138"/>
      <c r="I223" s="138"/>
      <c r="J223" s="139"/>
      <c r="K223" s="5"/>
      <c r="L223"/>
      <c r="M223" s="5"/>
      <c r="N223"/>
      <c r="O223"/>
      <c r="P223"/>
      <c r="Q223"/>
      <c r="R223"/>
      <c r="S223"/>
      <c r="T223"/>
      <c r="U223"/>
      <c r="V223"/>
    </row>
    <row r="224" spans="1:22" hidden="1" x14ac:dyDescent="0.25">
      <c r="A224" s="125"/>
      <c r="B224" s="111"/>
      <c r="C224" s="125"/>
      <c r="D224" s="126"/>
      <c r="E224" s="126"/>
      <c r="F224" s="111"/>
      <c r="G224" s="220"/>
      <c r="H224" s="138"/>
      <c r="I224" s="138"/>
      <c r="J224" s="139"/>
      <c r="K224" s="5"/>
      <c r="L224"/>
      <c r="M224" s="5"/>
      <c r="N224"/>
      <c r="O224"/>
      <c r="P224"/>
      <c r="Q224"/>
      <c r="R224"/>
      <c r="S224"/>
      <c r="T224"/>
      <c r="U224"/>
      <c r="V224"/>
    </row>
    <row r="225" spans="1:22" hidden="1" x14ac:dyDescent="0.25">
      <c r="A225" s="125"/>
      <c r="B225" s="111"/>
      <c r="C225" s="125"/>
      <c r="D225" s="126"/>
      <c r="E225" s="126"/>
      <c r="F225" s="111"/>
      <c r="G225" s="220"/>
      <c r="H225" s="138"/>
      <c r="I225" s="138"/>
      <c r="J225" s="139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 hidden="1" x14ac:dyDescent="0.25">
      <c r="A226" s="125"/>
      <c r="B226" s="111"/>
      <c r="C226" s="125"/>
      <c r="D226" s="126"/>
      <c r="E226" s="126"/>
      <c r="F226" s="111"/>
      <c r="G226" s="220"/>
      <c r="H226" s="138"/>
      <c r="I226" s="138"/>
      <c r="J226" s="139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 hidden="1" x14ac:dyDescent="0.25">
      <c r="A227" s="125"/>
      <c r="B227" s="111"/>
      <c r="C227" s="125"/>
      <c r="D227" s="126"/>
      <c r="E227" s="126"/>
      <c r="F227" s="111"/>
      <c r="G227" s="220"/>
      <c r="H227" s="138"/>
      <c r="I227" s="138"/>
      <c r="J227" s="139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idden="1" x14ac:dyDescent="0.25">
      <c r="A228" s="125"/>
      <c r="B228" s="111"/>
      <c r="C228" s="125"/>
      <c r="D228" s="126"/>
      <c r="E228" s="126"/>
      <c r="F228" s="111"/>
      <c r="G228" s="220"/>
      <c r="H228" s="138"/>
      <c r="I228" s="138"/>
      <c r="J228" s="139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idden="1" x14ac:dyDescent="0.25">
      <c r="A229" s="125"/>
      <c r="B229" s="111"/>
      <c r="C229" s="125"/>
      <c r="D229" s="126"/>
      <c r="E229" s="126"/>
      <c r="F229" s="111"/>
      <c r="G229" s="220"/>
      <c r="H229" s="138"/>
      <c r="I229" s="138"/>
      <c r="J229" s="13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idden="1" x14ac:dyDescent="0.25">
      <c r="A230" s="125"/>
      <c r="B230" s="111"/>
      <c r="C230" s="125"/>
      <c r="D230" s="126"/>
      <c r="E230" s="126"/>
      <c r="F230" s="111"/>
      <c r="G230" s="138"/>
      <c r="H230" s="138"/>
      <c r="I230" s="138"/>
      <c r="J230" s="139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idden="1" x14ac:dyDescent="0.25">
      <c r="A231" s="125"/>
      <c r="B231" s="111"/>
      <c r="C231" s="125"/>
      <c r="D231" s="126"/>
      <c r="E231" s="126"/>
      <c r="F231" s="111"/>
      <c r="G231" s="138"/>
      <c r="H231" s="138"/>
      <c r="I231" s="138"/>
      <c r="J231" s="139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idden="1" x14ac:dyDescent="0.25">
      <c r="A232" s="125"/>
      <c r="B232" s="111"/>
      <c r="C232" s="125"/>
      <c r="D232" s="126"/>
      <c r="E232" s="126"/>
      <c r="F232" s="111"/>
      <c r="G232" s="138"/>
      <c r="H232" s="138"/>
      <c r="I232" s="138"/>
      <c r="J232" s="124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idden="1" x14ac:dyDescent="0.25">
      <c r="A233" s="125"/>
      <c r="B233" s="111"/>
      <c r="C233" s="125"/>
      <c r="D233" s="126"/>
      <c r="E233" s="126"/>
      <c r="F233" s="111"/>
      <c r="G233" s="138"/>
      <c r="H233" s="138"/>
      <c r="I233" s="138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idden="1" x14ac:dyDescent="0.25">
      <c r="A234" s="125"/>
      <c r="B234" s="111"/>
      <c r="C234" s="125"/>
      <c r="D234" s="126"/>
      <c r="E234" s="126"/>
      <c r="F234" s="111"/>
      <c r="G234" s="138"/>
      <c r="H234" s="138"/>
      <c r="I234" s="138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idden="1" x14ac:dyDescent="0.25">
      <c r="A235" s="125"/>
      <c r="B235" s="111"/>
      <c r="C235" s="125"/>
      <c r="D235" s="126"/>
      <c r="E235" s="126"/>
      <c r="F235" s="111"/>
      <c r="G235" s="138"/>
      <c r="H235" s="138"/>
      <c r="I235" s="138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idden="1" x14ac:dyDescent="0.25">
      <c r="A236" s="125"/>
      <c r="B236" s="111"/>
      <c r="C236" s="125"/>
      <c r="D236" s="126"/>
      <c r="E236" s="126"/>
      <c r="F236" s="111"/>
      <c r="G236" s="138"/>
      <c r="H236" s="138"/>
      <c r="I236" s="138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idden="1" x14ac:dyDescent="0.25">
      <c r="A237" s="125"/>
      <c r="B237" s="111"/>
      <c r="C237" s="125"/>
      <c r="D237" s="126"/>
      <c r="E237" s="126"/>
      <c r="F237" s="111"/>
      <c r="G237" s="138"/>
      <c r="H237" s="138"/>
      <c r="I237" s="138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idden="1" x14ac:dyDescent="0.25">
      <c r="A238" s="125"/>
      <c r="B238" s="111"/>
      <c r="C238" s="125"/>
      <c r="D238" s="126"/>
      <c r="E238" s="126"/>
      <c r="F238" s="111"/>
      <c r="G238" s="138"/>
      <c r="H238" s="138"/>
      <c r="I238" s="138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idden="1" x14ac:dyDescent="0.25">
      <c r="A239" s="125"/>
      <c r="B239" s="111"/>
      <c r="C239" s="125"/>
      <c r="D239" s="126"/>
      <c r="E239" s="126"/>
      <c r="F239" s="111"/>
      <c r="G239" s="19"/>
      <c r="H239" s="40"/>
      <c r="I239" s="40"/>
      <c r="J239" s="42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idden="1" x14ac:dyDescent="0.25">
      <c r="A240" s="40"/>
      <c r="B240" s="40"/>
      <c r="C240" s="72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idden="1" x14ac:dyDescent="0.25">
      <c r="A241" s="40"/>
      <c r="B241" s="40"/>
      <c r="C241" s="72"/>
      <c r="D241" s="38"/>
      <c r="E241" s="38"/>
      <c r="F241" s="40"/>
      <c r="G241" s="19"/>
      <c r="H241" s="40"/>
      <c r="I241" s="40"/>
      <c r="J241" s="42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hidden="1" x14ac:dyDescent="0.25">
      <c r="A242" s="190"/>
      <c r="B242" s="190"/>
      <c r="C242" s="191"/>
      <c r="D242" s="192"/>
      <c r="E242" s="192">
        <f>SUM(E156:E241)</f>
        <v>197200</v>
      </c>
      <c r="F242" s="190"/>
      <c r="G242" s="193"/>
      <c r="H242" s="190"/>
      <c r="I242" s="190"/>
      <c r="J242" s="194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hidden="1" x14ac:dyDescent="0.25">
      <c r="A243" s="40"/>
      <c r="B243" s="40"/>
      <c r="C243" s="72"/>
      <c r="D243" s="38"/>
      <c r="E243" s="38"/>
      <c r="F243" s="40"/>
      <c r="G243" s="19"/>
      <c r="H243" s="40"/>
      <c r="I243" s="40"/>
      <c r="J243" s="42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 hidden="1" x14ac:dyDescent="0.25">
      <c r="A244" s="21"/>
      <c r="B244" s="21"/>
      <c r="C244" s="21"/>
      <c r="D244" s="76"/>
      <c r="E244" s="76"/>
      <c r="F244" s="21"/>
      <c r="G244" s="77"/>
      <c r="H244" s="21"/>
      <c r="I244" s="21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 x14ac:dyDescent="0.25">
      <c r="R245"/>
      <c r="S245"/>
      <c r="T245"/>
      <c r="U245"/>
      <c r="V245"/>
    </row>
    <row r="246" spans="1:24" x14ac:dyDescent="0.25">
      <c r="H246" s="18">
        <f>SUBTOTAL(9,D2:D243)</f>
        <v>0</v>
      </c>
      <c r="I246" s="18">
        <f>SUBTOTAL(9,E2:E241)</f>
        <v>961107</v>
      </c>
      <c r="J246" s="18">
        <f>I246/1450*13/250</f>
        <v>34.467285517241379</v>
      </c>
      <c r="R246"/>
      <c r="S246"/>
      <c r="T246"/>
      <c r="U246"/>
      <c r="V246"/>
    </row>
    <row r="247" spans="1:24" x14ac:dyDescent="0.25">
      <c r="K247" s="18">
        <v>20000</v>
      </c>
      <c r="Q247" s="18"/>
      <c r="R247" s="18"/>
      <c r="S247" s="18"/>
      <c r="T247" s="18"/>
      <c r="U247" s="18"/>
      <c r="V247" s="18"/>
      <c r="W247" s="18"/>
      <c r="X247" s="18"/>
    </row>
    <row r="248" spans="1:24" x14ac:dyDescent="0.25">
      <c r="N248"/>
      <c r="O248"/>
      <c r="P248"/>
      <c r="Q248"/>
      <c r="R248"/>
      <c r="S248"/>
      <c r="T248" s="18"/>
      <c r="U248" s="18"/>
      <c r="V248" s="18"/>
      <c r="W248" s="18"/>
      <c r="X248" s="18"/>
    </row>
    <row r="249" spans="1:24" x14ac:dyDescent="0.25">
      <c r="C249" s="17" t="s">
        <v>133</v>
      </c>
      <c r="D249" s="17">
        <v>150000</v>
      </c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25" t="s">
        <v>4</v>
      </c>
      <c r="C251" s="25" t="s">
        <v>67</v>
      </c>
      <c r="D251" s="26" t="s">
        <v>99</v>
      </c>
      <c r="E251" s="25" t="s">
        <v>100</v>
      </c>
      <c r="F251" s="25" t="s">
        <v>101</v>
      </c>
      <c r="G251" s="26" t="s">
        <v>84</v>
      </c>
      <c r="H251" s="26"/>
      <c r="N251"/>
      <c r="O251"/>
      <c r="P251"/>
      <c r="Q251"/>
      <c r="R251"/>
      <c r="S251"/>
      <c r="T251"/>
      <c r="U251"/>
      <c r="V251" s="18"/>
      <c r="W251" s="18"/>
      <c r="X251" s="18"/>
    </row>
    <row r="252" spans="1:24" x14ac:dyDescent="0.25">
      <c r="B252" s="38" t="s">
        <v>136</v>
      </c>
      <c r="C252" s="38">
        <f>'BCI '!H127</f>
        <v>53321</v>
      </c>
      <c r="D252" s="40">
        <f>Security!F95</f>
        <v>0</v>
      </c>
      <c r="E252" s="38"/>
      <c r="F252" s="38">
        <f>C252+D252</f>
        <v>53321</v>
      </c>
      <c r="G252" s="40"/>
      <c r="H252" s="40"/>
      <c r="J252" s="19"/>
      <c r="K252" s="13"/>
      <c r="N252"/>
      <c r="O252"/>
      <c r="P252"/>
      <c r="Q252"/>
      <c r="R252"/>
      <c r="S252"/>
      <c r="T252"/>
      <c r="U252"/>
      <c r="V252" s="18"/>
      <c r="W252" s="18"/>
      <c r="X252" s="18"/>
    </row>
    <row r="253" spans="1:24" x14ac:dyDescent="0.25">
      <c r="B253" s="38" t="s">
        <v>31</v>
      </c>
      <c r="C253" s="38">
        <f>'BCI '!H128</f>
        <v>3025159</v>
      </c>
      <c r="D253" s="40">
        <f>Security!F96</f>
        <v>0</v>
      </c>
      <c r="E253" s="38"/>
      <c r="F253" s="38">
        <f t="shared" ref="F253:F268" si="4">C253+D253</f>
        <v>3025159</v>
      </c>
      <c r="G253" s="40"/>
      <c r="H253" s="40"/>
      <c r="J253" s="19">
        <v>1988036</v>
      </c>
      <c r="K253" s="13" t="s">
        <v>69</v>
      </c>
      <c r="N253"/>
      <c r="O253"/>
      <c r="P253"/>
      <c r="Q253"/>
      <c r="R253"/>
      <c r="S253"/>
      <c r="T253"/>
      <c r="U253"/>
      <c r="V253" s="18"/>
      <c r="W253" s="18"/>
      <c r="X253" s="18"/>
    </row>
    <row r="254" spans="1:24" x14ac:dyDescent="0.25">
      <c r="B254" s="38" t="s">
        <v>88</v>
      </c>
      <c r="C254" s="38">
        <f>'BCI '!H129</f>
        <v>280949</v>
      </c>
      <c r="D254" s="40">
        <f>Security!F97</f>
        <v>0</v>
      </c>
      <c r="E254" s="38"/>
      <c r="F254" s="38">
        <f t="shared" si="4"/>
        <v>280949</v>
      </c>
      <c r="G254" s="40"/>
      <c r="H254" s="40"/>
      <c r="J254" s="19">
        <f>F151</f>
        <v>2000000</v>
      </c>
      <c r="K254" s="13" t="s">
        <v>71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135</v>
      </c>
      <c r="C255" s="38">
        <f>'BCI '!H130</f>
        <v>122902.18</v>
      </c>
      <c r="D255" s="40">
        <f>Security!F98</f>
        <v>0</v>
      </c>
      <c r="E255" s="38"/>
      <c r="F255" s="38">
        <f t="shared" si="4"/>
        <v>122902.18</v>
      </c>
      <c r="G255" s="40"/>
      <c r="H255" s="40"/>
      <c r="J255" s="19">
        <f>J254+J253-J267</f>
        <v>1672768</v>
      </c>
      <c r="K255" s="13" t="s">
        <v>70</v>
      </c>
      <c r="L255"/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8</v>
      </c>
      <c r="C256" s="38">
        <f>'BCI '!H131+J267</f>
        <v>2595201</v>
      </c>
      <c r="D256" s="40">
        <f>Security!F99</f>
        <v>0</v>
      </c>
      <c r="E256" s="38"/>
      <c r="F256" s="38">
        <f t="shared" si="4"/>
        <v>2595201</v>
      </c>
      <c r="G256" s="40">
        <f t="shared" ref="G256:G261" si="5">F256*0.19</f>
        <v>493088.19</v>
      </c>
      <c r="H256" s="40"/>
      <c r="J256" s="19"/>
      <c r="K256" s="13"/>
      <c r="L256"/>
      <c r="N256"/>
      <c r="O256"/>
      <c r="P256"/>
      <c r="Q256"/>
      <c r="R256"/>
      <c r="S256"/>
      <c r="T256"/>
      <c r="U256"/>
      <c r="V256" s="18"/>
    </row>
    <row r="257" spans="1:24" x14ac:dyDescent="0.25">
      <c r="B257" s="38"/>
      <c r="C257" s="38"/>
      <c r="D257" s="40"/>
      <c r="E257" s="38"/>
      <c r="F257" s="38"/>
      <c r="G257" s="40"/>
      <c r="H257" s="40"/>
      <c r="J257" s="44" t="s">
        <v>50</v>
      </c>
      <c r="K257" s="43" t="s">
        <v>49</v>
      </c>
      <c r="L257"/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139</v>
      </c>
      <c r="C258" s="38">
        <f>'BCI '!H133</f>
        <v>2245325</v>
      </c>
      <c r="D258" s="40">
        <f>Security!F101</f>
        <v>0</v>
      </c>
      <c r="E258" s="38"/>
      <c r="F258" s="38">
        <f t="shared" si="4"/>
        <v>2245325</v>
      </c>
      <c r="G258" s="40"/>
      <c r="H258" s="40"/>
      <c r="J258" s="152">
        <f>SUMIF($I$2:$I$243,K258,$E$2:$E$243)</f>
        <v>357881</v>
      </c>
      <c r="K258" s="42" t="s">
        <v>152</v>
      </c>
      <c r="L258" s="5">
        <f>-J258</f>
        <v>-357881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138</v>
      </c>
      <c r="C259" s="38">
        <f>'BCI '!H134</f>
        <v>4379670</v>
      </c>
      <c r="D259" s="40">
        <f>Security!F102</f>
        <v>0</v>
      </c>
      <c r="E259" s="38"/>
      <c r="F259" s="38">
        <f t="shared" si="4"/>
        <v>4379670</v>
      </c>
      <c r="G259" s="40">
        <f t="shared" si="5"/>
        <v>832137.3</v>
      </c>
      <c r="H259" s="40"/>
      <c r="J259" s="152">
        <f t="shared" ref="J259:J266" si="6">SUMIF($I$2:$I$243,K259,$E$2:$E$243)</f>
        <v>129148</v>
      </c>
      <c r="K259" s="42" t="s">
        <v>150</v>
      </c>
      <c r="L259" s="5">
        <f t="shared" ref="L259:L266" si="7">-J259</f>
        <v>-129148</v>
      </c>
      <c r="N259"/>
      <c r="O259"/>
      <c r="P259"/>
      <c r="Q259"/>
      <c r="R259"/>
      <c r="S259"/>
      <c r="T259"/>
      <c r="U259"/>
      <c r="V259" s="18"/>
    </row>
    <row r="260" spans="1:24" x14ac:dyDescent="0.25">
      <c r="B260" s="38" t="s">
        <v>24</v>
      </c>
      <c r="C260" s="38">
        <f>'BCI '!H135</f>
        <v>0</v>
      </c>
      <c r="D260" s="40">
        <f>Security!F103</f>
        <v>2354019</v>
      </c>
      <c r="E260" s="38"/>
      <c r="F260" s="38">
        <f t="shared" si="4"/>
        <v>2354019</v>
      </c>
      <c r="G260" s="40"/>
      <c r="H260" s="40"/>
      <c r="J260" s="152">
        <f t="shared" si="6"/>
        <v>341180</v>
      </c>
      <c r="K260" s="42" t="s">
        <v>156</v>
      </c>
      <c r="L260" s="5">
        <f t="shared" si="7"/>
        <v>-341180</v>
      </c>
      <c r="N260"/>
      <c r="O260"/>
      <c r="P260"/>
      <c r="Q260"/>
      <c r="R260"/>
      <c r="S260"/>
      <c r="T260"/>
      <c r="U260"/>
      <c r="V260" s="18"/>
    </row>
    <row r="261" spans="1:24" x14ac:dyDescent="0.25">
      <c r="B261" s="38" t="s">
        <v>11</v>
      </c>
      <c r="C261" s="38">
        <f>'BCI '!H136</f>
        <v>0</v>
      </c>
      <c r="D261" s="40">
        <f>Security!F104</f>
        <v>0</v>
      </c>
      <c r="E261" s="38"/>
      <c r="F261" s="38">
        <f t="shared" si="4"/>
        <v>0</v>
      </c>
      <c r="G261" s="40">
        <f t="shared" si="5"/>
        <v>0</v>
      </c>
      <c r="H261" s="40"/>
      <c r="J261" s="152">
        <f t="shared" si="6"/>
        <v>109464</v>
      </c>
      <c r="K261" s="42" t="s">
        <v>149</v>
      </c>
      <c r="L261" s="5">
        <f t="shared" si="7"/>
        <v>-109464</v>
      </c>
      <c r="N261"/>
      <c r="O261"/>
      <c r="P261"/>
      <c r="Q261"/>
      <c r="R261"/>
      <c r="S261"/>
      <c r="T261"/>
      <c r="U261"/>
      <c r="V261" s="18"/>
    </row>
    <row r="262" spans="1:24" x14ac:dyDescent="0.25">
      <c r="B262" s="38" t="s">
        <v>19</v>
      </c>
      <c r="C262" s="38">
        <f>'BCI '!H137</f>
        <v>560928</v>
      </c>
      <c r="D262" s="40">
        <f>Security!F105</f>
        <v>0</v>
      </c>
      <c r="E262" s="38"/>
      <c r="F262" s="38">
        <f t="shared" si="4"/>
        <v>560928</v>
      </c>
      <c r="G262" s="40"/>
      <c r="H262" s="40"/>
      <c r="J262" s="152">
        <f t="shared" si="6"/>
        <v>961107</v>
      </c>
      <c r="K262" s="42" t="s">
        <v>151</v>
      </c>
      <c r="L262" s="5">
        <f t="shared" si="7"/>
        <v>-961107</v>
      </c>
      <c r="N262"/>
      <c r="O262"/>
      <c r="P262"/>
      <c r="Q262"/>
      <c r="R262"/>
      <c r="S262"/>
      <c r="T262"/>
      <c r="U262"/>
      <c r="V262" s="18"/>
      <c r="W262" s="18"/>
      <c r="X262" s="18"/>
    </row>
    <row r="263" spans="1:24" x14ac:dyDescent="0.25">
      <c r="B263" s="38" t="s">
        <v>140</v>
      </c>
      <c r="C263" s="38">
        <f>'BCI '!H138</f>
        <v>2711397</v>
      </c>
      <c r="D263" s="40">
        <f>Security!F106</f>
        <v>0</v>
      </c>
      <c r="E263" s="38"/>
      <c r="F263" s="38">
        <f t="shared" si="4"/>
        <v>2711397</v>
      </c>
      <c r="G263" s="40">
        <f>F263*0.19</f>
        <v>515165.43</v>
      </c>
      <c r="H263" s="40"/>
      <c r="J263" s="152">
        <f t="shared" si="6"/>
        <v>231220</v>
      </c>
      <c r="K263" s="42" t="s">
        <v>56</v>
      </c>
      <c r="L263" s="5">
        <f t="shared" si="7"/>
        <v>-231220</v>
      </c>
      <c r="M263" s="62"/>
      <c r="N263"/>
      <c r="O263"/>
      <c r="P263"/>
      <c r="Q263"/>
      <c r="R263"/>
      <c r="S263"/>
      <c r="T263"/>
      <c r="U263"/>
      <c r="V263" s="18"/>
      <c r="W263" s="18"/>
      <c r="X263" s="18"/>
    </row>
    <row r="264" spans="1:24" x14ac:dyDescent="0.25">
      <c r="B264" s="38" t="s">
        <v>30</v>
      </c>
      <c r="C264" s="38">
        <f>'BCI '!H139</f>
        <v>8763106</v>
      </c>
      <c r="D264" s="40">
        <f>Security!F107</f>
        <v>2863229</v>
      </c>
      <c r="E264" s="38"/>
      <c r="F264" s="38">
        <f t="shared" si="4"/>
        <v>11626335</v>
      </c>
      <c r="G264" s="40"/>
      <c r="H264" s="40"/>
      <c r="J264" s="152">
        <f t="shared" si="6"/>
        <v>0</v>
      </c>
      <c r="K264" s="42" t="s">
        <v>153</v>
      </c>
      <c r="L264" s="5">
        <f t="shared" si="7"/>
        <v>0</v>
      </c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106</v>
      </c>
      <c r="C265" s="38">
        <f>'BCI '!H140</f>
        <v>46342000</v>
      </c>
      <c r="D265" s="40">
        <f>Security!F108</f>
        <v>10000000</v>
      </c>
      <c r="E265" s="38"/>
      <c r="F265" s="38">
        <f t="shared" si="4"/>
        <v>56342000</v>
      </c>
      <c r="G265" s="40"/>
      <c r="H265" s="40"/>
      <c r="J265" s="152">
        <f t="shared" si="6"/>
        <v>40000</v>
      </c>
      <c r="K265" s="42" t="s">
        <v>68</v>
      </c>
      <c r="L265" s="5">
        <f t="shared" si="7"/>
        <v>-40000</v>
      </c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38" t="s">
        <v>107</v>
      </c>
      <c r="C266" s="38">
        <f>'BCI '!H141</f>
        <v>-69695270.340000004</v>
      </c>
      <c r="D266" s="40">
        <f>Security!F109</f>
        <v>-4501316</v>
      </c>
      <c r="E266" s="38"/>
      <c r="F266" s="38">
        <f t="shared" si="4"/>
        <v>-74196586.340000004</v>
      </c>
      <c r="G266" s="40"/>
      <c r="H266" s="40"/>
      <c r="J266" s="152">
        <f t="shared" si="6"/>
        <v>145268</v>
      </c>
      <c r="K266" s="42" t="s">
        <v>119</v>
      </c>
      <c r="L266" s="5">
        <f t="shared" si="7"/>
        <v>-145268</v>
      </c>
      <c r="N266"/>
      <c r="O266" s="18"/>
      <c r="Q266"/>
      <c r="R266"/>
      <c r="S266"/>
      <c r="T266"/>
      <c r="U266" s="18"/>
      <c r="V266" s="18"/>
      <c r="W266" s="18"/>
      <c r="X266" s="18"/>
    </row>
    <row r="267" spans="1:24" x14ac:dyDescent="0.25">
      <c r="B267" s="38" t="s">
        <v>141</v>
      </c>
      <c r="C267" s="38">
        <f>'BCI '!H142</f>
        <v>-330024</v>
      </c>
      <c r="D267" s="40">
        <f>Security!F110</f>
        <v>0</v>
      </c>
      <c r="E267" s="38"/>
      <c r="F267" s="38">
        <f t="shared" si="4"/>
        <v>-330024</v>
      </c>
      <c r="G267" s="40"/>
      <c r="H267" s="40"/>
      <c r="J267" s="59">
        <f>SUM(J258:J266)</f>
        <v>2315268</v>
      </c>
      <c r="K267" s="58"/>
      <c r="L267"/>
      <c r="N267"/>
      <c r="O267" s="18"/>
      <c r="Q267"/>
      <c r="R267"/>
      <c r="S267"/>
      <c r="T267"/>
      <c r="U267" s="18"/>
      <c r="V267" s="18"/>
      <c r="W267" s="18"/>
      <c r="X267" s="18"/>
    </row>
    <row r="268" spans="1:24" x14ac:dyDescent="0.25">
      <c r="B268" s="38" t="s">
        <v>142</v>
      </c>
      <c r="C268" s="38">
        <f>'BCI '!H143</f>
        <v>0</v>
      </c>
      <c r="D268" s="40">
        <f>Security!F111</f>
        <v>0</v>
      </c>
      <c r="E268" s="38"/>
      <c r="F268" s="38">
        <f t="shared" si="4"/>
        <v>0</v>
      </c>
      <c r="G268" s="40"/>
      <c r="H268" s="40"/>
      <c r="J268"/>
      <c r="K268"/>
      <c r="L268"/>
      <c r="N268"/>
      <c r="O268" s="18"/>
      <c r="Q268"/>
      <c r="R268"/>
      <c r="S268"/>
      <c r="T268"/>
      <c r="U268" s="18"/>
      <c r="V268" s="18"/>
      <c r="W268" s="18"/>
      <c r="X268" s="18"/>
    </row>
    <row r="269" spans="1:24" x14ac:dyDescent="0.25">
      <c r="B269" s="100" t="s">
        <v>22</v>
      </c>
      <c r="C269" s="100">
        <f>SUM(C252:C268)</f>
        <v>1054663.8400000036</v>
      </c>
      <c r="D269" s="101">
        <f>SUM(D252:D268)</f>
        <v>10715932</v>
      </c>
      <c r="E269" s="100"/>
      <c r="F269" s="100">
        <f>SUM(F252:F268)</f>
        <v>11770595.840000004</v>
      </c>
      <c r="G269" s="101">
        <f>SUM(G252:G268)</f>
        <v>1840390.92</v>
      </c>
      <c r="H269" s="101"/>
      <c r="J269"/>
      <c r="K269"/>
      <c r="L269"/>
      <c r="N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x14ac:dyDescent="0.25">
      <c r="B270" s="38"/>
      <c r="C270" s="38"/>
      <c r="D270" s="40"/>
      <c r="E270" s="38"/>
      <c r="F270" s="38"/>
      <c r="K270"/>
      <c r="L270"/>
      <c r="N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ht="18.75" x14ac:dyDescent="0.3">
      <c r="B271" s="38"/>
      <c r="C271" s="38"/>
      <c r="D271" s="40"/>
      <c r="E271" s="38"/>
      <c r="F271" s="103"/>
      <c r="G271" s="103"/>
      <c r="H271" s="104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ht="18.75" x14ac:dyDescent="0.3">
      <c r="A272" s="18"/>
      <c r="B272" s="38"/>
      <c r="C272" s="38"/>
      <c r="D272" s="40"/>
      <c r="E272" s="40"/>
      <c r="F272" s="103"/>
      <c r="G272" s="103"/>
      <c r="H272" s="104"/>
      <c r="K272"/>
      <c r="L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:24" ht="18.75" x14ac:dyDescent="0.3">
      <c r="A273" s="18"/>
      <c r="B273" s="100" t="s">
        <v>22</v>
      </c>
      <c r="C273" s="100"/>
      <c r="D273" s="101"/>
      <c r="E273" s="25"/>
      <c r="F273" s="25"/>
      <c r="G273" s="25"/>
      <c r="H273" s="105">
        <f>SUM(H271:H272)</f>
        <v>0</v>
      </c>
      <c r="K273"/>
      <c r="L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:24" x14ac:dyDescent="0.25">
      <c r="A274" s="18"/>
      <c r="D274" s="18"/>
      <c r="K274"/>
      <c r="L274"/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:24" x14ac:dyDescent="0.25">
      <c r="D275" s="18"/>
      <c r="K275"/>
      <c r="L275"/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:24" x14ac:dyDescent="0.25">
      <c r="N281"/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:24" x14ac:dyDescent="0.25">
      <c r="N282"/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:24" x14ac:dyDescent="0.25">
      <c r="N283"/>
      <c r="O283" s="18"/>
      <c r="Q283" s="18"/>
      <c r="R283" s="18"/>
      <c r="S283" s="18"/>
      <c r="T283" s="18"/>
      <c r="U283" s="18"/>
      <c r="V283" s="18"/>
      <c r="W283" s="18"/>
      <c r="X283" s="18"/>
    </row>
    <row r="284" spans="1:24" x14ac:dyDescent="0.25">
      <c r="O284" s="18"/>
      <c r="Q284" s="18"/>
      <c r="R284" s="18"/>
      <c r="S284" s="18"/>
      <c r="T284" s="18"/>
      <c r="U284" s="18"/>
      <c r="V284" s="18"/>
      <c r="W284" s="18"/>
      <c r="X284" s="18"/>
    </row>
    <row r="285" spans="1:24" x14ac:dyDescent="0.25">
      <c r="O285" s="18"/>
      <c r="Q285" s="18"/>
      <c r="R285" s="18"/>
      <c r="S285" s="18"/>
      <c r="T285" s="18"/>
      <c r="U285" s="18"/>
      <c r="V285" s="18"/>
      <c r="W285" s="18"/>
      <c r="X285" s="18"/>
    </row>
    <row r="286" spans="1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  <row r="2830" spans="17:24" x14ac:dyDescent="0.25">
      <c r="Q2830" s="18"/>
      <c r="R2830" s="18"/>
      <c r="S2830" s="18"/>
      <c r="T2830" s="18"/>
      <c r="U2830" s="18"/>
      <c r="V2830" s="18"/>
      <c r="W2830" s="18"/>
      <c r="X2830" s="18"/>
    </row>
    <row r="2831" spans="17:24" x14ac:dyDescent="0.25">
      <c r="Q2831" s="18"/>
      <c r="R2831" s="18"/>
      <c r="S2831" s="18"/>
      <c r="T2831" s="18"/>
      <c r="U2831" s="18"/>
      <c r="V2831" s="18"/>
      <c r="W2831" s="18"/>
      <c r="X2831" s="18"/>
    </row>
    <row r="2832" spans="17:24" x14ac:dyDescent="0.25">
      <c r="Q2832" s="18"/>
      <c r="R2832" s="18"/>
      <c r="S2832" s="18"/>
      <c r="T2832" s="18"/>
      <c r="U2832" s="18"/>
      <c r="V2832" s="18"/>
      <c r="W2832" s="18"/>
      <c r="X2832" s="18"/>
    </row>
  </sheetData>
  <autoFilter ref="A1:J244" xr:uid="{00000000-0009-0000-0000-000007000000}">
    <filterColumn colId="8">
      <filters>
        <filter val="Desayuno Pasajeros"/>
      </filters>
    </filterColumn>
  </autoFilter>
  <sortState xmlns:xlrd2="http://schemas.microsoft.com/office/spreadsheetml/2017/richdata2" ref="A2:J54">
    <sortCondition ref="A2:A54"/>
  </sortState>
  <dataValidations disablePrompts="1"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K260 I2:I146 I176:I177 I155:I174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70"/>
  <sheetViews>
    <sheetView topLeftCell="A34" workbookViewId="0">
      <selection activeCell="A44" sqref="A44"/>
    </sheetView>
  </sheetViews>
  <sheetFormatPr baseColWidth="10" defaultRowHeight="15" x14ac:dyDescent="0.25"/>
  <sheetData>
    <row r="1" spans="1:2" x14ac:dyDescent="0.25">
      <c r="A1" s="197">
        <v>369</v>
      </c>
    </row>
    <row r="2" spans="1:2" x14ac:dyDescent="0.25">
      <c r="A2" s="197">
        <v>370</v>
      </c>
      <c r="B2" s="5">
        <f>+A2-A1</f>
        <v>1</v>
      </c>
    </row>
    <row r="3" spans="1:2" x14ac:dyDescent="0.25">
      <c r="A3" s="197">
        <v>371</v>
      </c>
      <c r="B3" s="5">
        <f t="shared" ref="B3:B66" si="0">+A3-A2</f>
        <v>1</v>
      </c>
    </row>
    <row r="4" spans="1:2" x14ac:dyDescent="0.25">
      <c r="A4" s="197">
        <v>379</v>
      </c>
      <c r="B4" s="5">
        <f t="shared" si="0"/>
        <v>8</v>
      </c>
    </row>
    <row r="5" spans="1:2" x14ac:dyDescent="0.25">
      <c r="A5" s="333">
        <v>380</v>
      </c>
      <c r="B5" s="5">
        <f t="shared" si="0"/>
        <v>1</v>
      </c>
    </row>
    <row r="6" spans="1:2" x14ac:dyDescent="0.25">
      <c r="A6" s="197">
        <v>383</v>
      </c>
      <c r="B6" s="5">
        <f t="shared" si="0"/>
        <v>3</v>
      </c>
    </row>
    <row r="7" spans="1:2" x14ac:dyDescent="0.25">
      <c r="A7" s="197">
        <v>384</v>
      </c>
      <c r="B7" s="5">
        <f t="shared" si="0"/>
        <v>1</v>
      </c>
    </row>
    <row r="8" spans="1:2" x14ac:dyDescent="0.25">
      <c r="A8" s="197">
        <v>387</v>
      </c>
      <c r="B8" s="5">
        <f t="shared" si="0"/>
        <v>3</v>
      </c>
    </row>
    <row r="9" spans="1:2" x14ac:dyDescent="0.25">
      <c r="A9" s="197">
        <v>391</v>
      </c>
      <c r="B9" s="5">
        <f t="shared" si="0"/>
        <v>4</v>
      </c>
    </row>
    <row r="10" spans="1:2" x14ac:dyDescent="0.25">
      <c r="A10" s="197">
        <v>392</v>
      </c>
      <c r="B10" s="5">
        <f t="shared" si="0"/>
        <v>1</v>
      </c>
    </row>
    <row r="11" spans="1:2" x14ac:dyDescent="0.25">
      <c r="A11" s="197">
        <v>393</v>
      </c>
      <c r="B11" s="5">
        <f t="shared" si="0"/>
        <v>1</v>
      </c>
    </row>
    <row r="12" spans="1:2" x14ac:dyDescent="0.25">
      <c r="A12" s="197">
        <v>394</v>
      </c>
      <c r="B12" s="5">
        <f t="shared" si="0"/>
        <v>1</v>
      </c>
    </row>
    <row r="13" spans="1:2" x14ac:dyDescent="0.25">
      <c r="A13" s="197">
        <v>395</v>
      </c>
      <c r="B13" s="5">
        <f t="shared" si="0"/>
        <v>1</v>
      </c>
    </row>
    <row r="14" spans="1:2" x14ac:dyDescent="0.25">
      <c r="A14" s="197">
        <v>396</v>
      </c>
      <c r="B14" s="5">
        <f t="shared" si="0"/>
        <v>1</v>
      </c>
    </row>
    <row r="15" spans="1:2" x14ac:dyDescent="0.25">
      <c r="A15" s="197">
        <v>397</v>
      </c>
      <c r="B15" s="5">
        <f t="shared" si="0"/>
        <v>1</v>
      </c>
    </row>
    <row r="16" spans="1:2" x14ac:dyDescent="0.25">
      <c r="A16" s="197">
        <v>398</v>
      </c>
      <c r="B16" s="5">
        <f t="shared" si="0"/>
        <v>1</v>
      </c>
    </row>
    <row r="17" spans="1:2" x14ac:dyDescent="0.25">
      <c r="A17" s="197">
        <v>399</v>
      </c>
      <c r="B17" s="5">
        <f t="shared" si="0"/>
        <v>1</v>
      </c>
    </row>
    <row r="18" spans="1:2" x14ac:dyDescent="0.25">
      <c r="A18" s="197">
        <v>400</v>
      </c>
      <c r="B18" s="5">
        <f t="shared" si="0"/>
        <v>1</v>
      </c>
    </row>
    <row r="19" spans="1:2" x14ac:dyDescent="0.25">
      <c r="A19" s="197">
        <v>401</v>
      </c>
      <c r="B19" s="5">
        <f t="shared" si="0"/>
        <v>1</v>
      </c>
    </row>
    <row r="20" spans="1:2" x14ac:dyDescent="0.25">
      <c r="A20" s="197">
        <v>402</v>
      </c>
      <c r="B20" s="5">
        <f t="shared" si="0"/>
        <v>1</v>
      </c>
    </row>
    <row r="21" spans="1:2" x14ac:dyDescent="0.25">
      <c r="A21" s="197">
        <v>403</v>
      </c>
      <c r="B21" s="5">
        <f t="shared" si="0"/>
        <v>1</v>
      </c>
    </row>
    <row r="22" spans="1:2" x14ac:dyDescent="0.25">
      <c r="A22" s="197">
        <v>404</v>
      </c>
      <c r="B22" s="5">
        <f t="shared" si="0"/>
        <v>1</v>
      </c>
    </row>
    <row r="23" spans="1:2" x14ac:dyDescent="0.25">
      <c r="A23" s="197">
        <v>405</v>
      </c>
      <c r="B23" s="5">
        <f t="shared" si="0"/>
        <v>1</v>
      </c>
    </row>
    <row r="24" spans="1:2" x14ac:dyDescent="0.25">
      <c r="A24" s="197">
        <v>406</v>
      </c>
      <c r="B24" s="5">
        <f t="shared" si="0"/>
        <v>1</v>
      </c>
    </row>
    <row r="25" spans="1:2" x14ac:dyDescent="0.25">
      <c r="A25" s="197">
        <v>407</v>
      </c>
      <c r="B25" s="5">
        <f t="shared" si="0"/>
        <v>1</v>
      </c>
    </row>
    <row r="26" spans="1:2" x14ac:dyDescent="0.25">
      <c r="A26" s="197">
        <v>408</v>
      </c>
      <c r="B26" s="5">
        <f t="shared" si="0"/>
        <v>1</v>
      </c>
    </row>
    <row r="27" spans="1:2" x14ac:dyDescent="0.25">
      <c r="A27" s="197">
        <v>409</v>
      </c>
      <c r="B27" s="5">
        <f t="shared" si="0"/>
        <v>1</v>
      </c>
    </row>
    <row r="28" spans="1:2" x14ac:dyDescent="0.25">
      <c r="A28" s="197">
        <v>410</v>
      </c>
      <c r="B28" s="5">
        <f t="shared" si="0"/>
        <v>1</v>
      </c>
    </row>
    <row r="29" spans="1:2" x14ac:dyDescent="0.25">
      <c r="A29" s="197">
        <v>411</v>
      </c>
      <c r="B29" s="5">
        <f t="shared" si="0"/>
        <v>1</v>
      </c>
    </row>
    <row r="30" spans="1:2" x14ac:dyDescent="0.25">
      <c r="A30" s="197">
        <v>412</v>
      </c>
      <c r="B30" s="5">
        <f t="shared" si="0"/>
        <v>1</v>
      </c>
    </row>
    <row r="31" spans="1:2" x14ac:dyDescent="0.25">
      <c r="A31" s="197">
        <v>413</v>
      </c>
      <c r="B31" s="5">
        <f t="shared" si="0"/>
        <v>1</v>
      </c>
    </row>
    <row r="32" spans="1:2" x14ac:dyDescent="0.25">
      <c r="A32" s="197">
        <v>414</v>
      </c>
      <c r="B32" s="5">
        <f t="shared" si="0"/>
        <v>1</v>
      </c>
    </row>
    <row r="33" spans="1:2" x14ac:dyDescent="0.25">
      <c r="A33" s="197">
        <v>415</v>
      </c>
      <c r="B33" s="5">
        <f t="shared" si="0"/>
        <v>1</v>
      </c>
    </row>
    <row r="34" spans="1:2" x14ac:dyDescent="0.25">
      <c r="A34" s="197">
        <v>419</v>
      </c>
      <c r="B34" s="5">
        <f t="shared" si="0"/>
        <v>4</v>
      </c>
    </row>
    <row r="35" spans="1:2" x14ac:dyDescent="0.25">
      <c r="A35" s="197">
        <v>420</v>
      </c>
      <c r="B35" s="5">
        <f t="shared" si="0"/>
        <v>1</v>
      </c>
    </row>
    <row r="36" spans="1:2" x14ac:dyDescent="0.25">
      <c r="A36" s="197">
        <v>422</v>
      </c>
      <c r="B36" s="5">
        <f t="shared" si="0"/>
        <v>2</v>
      </c>
    </row>
    <row r="37" spans="1:2" x14ac:dyDescent="0.25">
      <c r="A37" s="197">
        <v>423</v>
      </c>
      <c r="B37" s="5">
        <f t="shared" si="0"/>
        <v>1</v>
      </c>
    </row>
    <row r="38" spans="1:2" x14ac:dyDescent="0.25">
      <c r="A38" s="197">
        <v>424</v>
      </c>
      <c r="B38" s="5">
        <f t="shared" si="0"/>
        <v>1</v>
      </c>
    </row>
    <row r="39" spans="1:2" x14ac:dyDescent="0.25">
      <c r="A39" s="197">
        <v>425</v>
      </c>
      <c r="B39" s="5">
        <f t="shared" si="0"/>
        <v>1</v>
      </c>
    </row>
    <row r="40" spans="1:2" x14ac:dyDescent="0.25">
      <c r="A40" s="197">
        <v>426</v>
      </c>
      <c r="B40" s="5">
        <f t="shared" si="0"/>
        <v>1</v>
      </c>
    </row>
    <row r="41" spans="1:2" x14ac:dyDescent="0.25">
      <c r="A41" s="197">
        <v>427</v>
      </c>
      <c r="B41" s="5">
        <f t="shared" si="0"/>
        <v>1</v>
      </c>
    </row>
    <row r="42" spans="1:2" x14ac:dyDescent="0.25">
      <c r="A42" s="197">
        <v>428</v>
      </c>
      <c r="B42" s="5">
        <f t="shared" si="0"/>
        <v>1</v>
      </c>
    </row>
    <row r="43" spans="1:2" x14ac:dyDescent="0.25">
      <c r="A43" s="197">
        <v>429</v>
      </c>
      <c r="B43" s="5">
        <f t="shared" si="0"/>
        <v>1</v>
      </c>
    </row>
    <row r="44" spans="1:2" x14ac:dyDescent="0.25">
      <c r="A44" s="197">
        <v>429</v>
      </c>
      <c r="B44" s="5">
        <f t="shared" si="0"/>
        <v>0</v>
      </c>
    </row>
    <row r="45" spans="1:2" x14ac:dyDescent="0.25">
      <c r="A45" s="197">
        <v>430</v>
      </c>
      <c r="B45" s="5">
        <f t="shared" si="0"/>
        <v>1</v>
      </c>
    </row>
    <row r="46" spans="1:2" x14ac:dyDescent="0.25">
      <c r="A46" s="197">
        <v>431</v>
      </c>
      <c r="B46" s="5">
        <f t="shared" si="0"/>
        <v>1</v>
      </c>
    </row>
    <row r="47" spans="1:2" x14ac:dyDescent="0.25">
      <c r="A47" s="197">
        <v>432</v>
      </c>
      <c r="B47" s="5">
        <f t="shared" si="0"/>
        <v>1</v>
      </c>
    </row>
    <row r="48" spans="1:2" x14ac:dyDescent="0.25">
      <c r="A48" s="333">
        <v>433</v>
      </c>
      <c r="B48" s="5">
        <f t="shared" si="0"/>
        <v>1</v>
      </c>
    </row>
    <row r="49" spans="1:2" x14ac:dyDescent="0.25">
      <c r="A49" s="197">
        <v>434</v>
      </c>
      <c r="B49" s="5">
        <f t="shared" si="0"/>
        <v>1</v>
      </c>
    </row>
    <row r="50" spans="1:2" x14ac:dyDescent="0.25">
      <c r="A50" s="197">
        <v>436</v>
      </c>
      <c r="B50" s="5">
        <f t="shared" si="0"/>
        <v>2</v>
      </c>
    </row>
    <row r="51" spans="1:2" x14ac:dyDescent="0.25">
      <c r="A51" s="197">
        <v>437</v>
      </c>
      <c r="B51" s="5">
        <f t="shared" si="0"/>
        <v>1</v>
      </c>
    </row>
    <row r="52" spans="1:2" x14ac:dyDescent="0.25">
      <c r="A52" s="197">
        <v>438</v>
      </c>
      <c r="B52" s="5">
        <f t="shared" si="0"/>
        <v>1</v>
      </c>
    </row>
    <row r="53" spans="1:2" x14ac:dyDescent="0.25">
      <c r="A53" s="197">
        <v>440</v>
      </c>
      <c r="B53" s="5">
        <f t="shared" si="0"/>
        <v>2</v>
      </c>
    </row>
    <row r="54" spans="1:2" x14ac:dyDescent="0.25">
      <c r="A54" s="197">
        <v>441</v>
      </c>
      <c r="B54" s="5">
        <f t="shared" si="0"/>
        <v>1</v>
      </c>
    </row>
    <row r="55" spans="1:2" x14ac:dyDescent="0.25">
      <c r="A55" s="197">
        <v>442</v>
      </c>
      <c r="B55" s="5">
        <f t="shared" si="0"/>
        <v>1</v>
      </c>
    </row>
    <row r="56" spans="1:2" x14ac:dyDescent="0.25">
      <c r="A56" s="197">
        <v>443</v>
      </c>
      <c r="B56" s="5">
        <f t="shared" si="0"/>
        <v>1</v>
      </c>
    </row>
    <row r="57" spans="1:2" x14ac:dyDescent="0.25">
      <c r="A57" s="197">
        <v>444</v>
      </c>
      <c r="B57" s="5">
        <f t="shared" si="0"/>
        <v>1</v>
      </c>
    </row>
    <row r="58" spans="1:2" x14ac:dyDescent="0.25">
      <c r="A58" s="197">
        <v>445</v>
      </c>
      <c r="B58" s="5">
        <f t="shared" si="0"/>
        <v>1</v>
      </c>
    </row>
    <row r="59" spans="1:2" x14ac:dyDescent="0.25">
      <c r="A59" s="333">
        <v>446</v>
      </c>
      <c r="B59" s="5">
        <f t="shared" si="0"/>
        <v>1</v>
      </c>
    </row>
    <row r="60" spans="1:2" x14ac:dyDescent="0.25">
      <c r="A60" s="197">
        <v>448</v>
      </c>
      <c r="B60" s="5">
        <f t="shared" si="0"/>
        <v>2</v>
      </c>
    </row>
    <row r="61" spans="1:2" x14ac:dyDescent="0.25">
      <c r="A61" s="336">
        <v>449</v>
      </c>
      <c r="B61" s="5">
        <f t="shared" si="0"/>
        <v>1</v>
      </c>
    </row>
    <row r="62" spans="1:2" x14ac:dyDescent="0.25">
      <c r="A62" s="197">
        <v>450</v>
      </c>
      <c r="B62" s="5">
        <f t="shared" si="0"/>
        <v>1</v>
      </c>
    </row>
    <row r="63" spans="1:2" x14ac:dyDescent="0.25">
      <c r="A63" s="197">
        <v>451</v>
      </c>
      <c r="B63" s="5">
        <f t="shared" si="0"/>
        <v>1</v>
      </c>
    </row>
    <row r="64" spans="1:2" x14ac:dyDescent="0.25">
      <c r="A64" s="197">
        <v>452</v>
      </c>
      <c r="B64" s="5">
        <f t="shared" si="0"/>
        <v>1</v>
      </c>
    </row>
    <row r="65" spans="1:2" x14ac:dyDescent="0.25">
      <c r="A65" s="197">
        <v>453</v>
      </c>
      <c r="B65" s="5">
        <f t="shared" si="0"/>
        <v>1</v>
      </c>
    </row>
    <row r="66" spans="1:2" x14ac:dyDescent="0.25">
      <c r="A66" s="197">
        <v>454</v>
      </c>
      <c r="B66" s="5">
        <f t="shared" si="0"/>
        <v>1</v>
      </c>
    </row>
    <row r="67" spans="1:2" x14ac:dyDescent="0.25">
      <c r="A67" s="197">
        <v>455</v>
      </c>
      <c r="B67" s="5">
        <f t="shared" ref="B67:B130" si="1">+A67-A66</f>
        <v>1</v>
      </c>
    </row>
    <row r="68" spans="1:2" x14ac:dyDescent="0.25">
      <c r="A68" s="197">
        <v>456</v>
      </c>
      <c r="B68" s="5">
        <f t="shared" si="1"/>
        <v>1</v>
      </c>
    </row>
    <row r="69" spans="1:2" x14ac:dyDescent="0.25">
      <c r="A69" s="197">
        <v>457</v>
      </c>
      <c r="B69" s="5">
        <f t="shared" si="1"/>
        <v>1</v>
      </c>
    </row>
    <row r="70" spans="1:2" x14ac:dyDescent="0.25">
      <c r="A70" s="221">
        <v>458</v>
      </c>
      <c r="B70" s="5">
        <f t="shared" si="1"/>
        <v>1</v>
      </c>
    </row>
    <row r="71" spans="1:2" x14ac:dyDescent="0.25">
      <c r="A71" s="197">
        <v>459</v>
      </c>
      <c r="B71" s="5">
        <f t="shared" si="1"/>
        <v>1</v>
      </c>
    </row>
    <row r="72" spans="1:2" x14ac:dyDescent="0.25">
      <c r="A72" s="197">
        <v>460</v>
      </c>
      <c r="B72" s="5">
        <f t="shared" si="1"/>
        <v>1</v>
      </c>
    </row>
    <row r="73" spans="1:2" x14ac:dyDescent="0.25">
      <c r="A73" s="197">
        <v>461</v>
      </c>
      <c r="B73" s="5">
        <f t="shared" si="1"/>
        <v>1</v>
      </c>
    </row>
    <row r="74" spans="1:2" x14ac:dyDescent="0.25">
      <c r="A74" s="197">
        <v>462</v>
      </c>
      <c r="B74" s="5">
        <f t="shared" si="1"/>
        <v>1</v>
      </c>
    </row>
    <row r="75" spans="1:2" x14ac:dyDescent="0.25">
      <c r="A75" s="197">
        <v>463</v>
      </c>
      <c r="B75" s="5">
        <f t="shared" si="1"/>
        <v>1</v>
      </c>
    </row>
    <row r="76" spans="1:2" x14ac:dyDescent="0.25">
      <c r="A76" s="197">
        <v>464</v>
      </c>
      <c r="B76" s="5">
        <f t="shared" si="1"/>
        <v>1</v>
      </c>
    </row>
    <row r="77" spans="1:2" x14ac:dyDescent="0.25">
      <c r="A77" s="197">
        <v>465</v>
      </c>
      <c r="B77" s="5">
        <f t="shared" si="1"/>
        <v>1</v>
      </c>
    </row>
    <row r="78" spans="1:2" x14ac:dyDescent="0.25">
      <c r="A78" s="197">
        <v>466</v>
      </c>
      <c r="B78" s="5">
        <f t="shared" si="1"/>
        <v>1</v>
      </c>
    </row>
    <row r="79" spans="1:2" x14ac:dyDescent="0.25">
      <c r="A79" s="197">
        <v>467</v>
      </c>
      <c r="B79" s="5">
        <f t="shared" si="1"/>
        <v>1</v>
      </c>
    </row>
    <row r="80" spans="1:2" x14ac:dyDescent="0.25">
      <c r="A80" s="197">
        <v>469</v>
      </c>
      <c r="B80" s="5">
        <f t="shared" si="1"/>
        <v>2</v>
      </c>
    </row>
    <row r="81" spans="1:2" x14ac:dyDescent="0.25">
      <c r="A81" s="197">
        <v>470</v>
      </c>
      <c r="B81" s="5">
        <f t="shared" si="1"/>
        <v>1</v>
      </c>
    </row>
    <row r="82" spans="1:2" x14ac:dyDescent="0.25">
      <c r="A82" s="197">
        <v>471</v>
      </c>
      <c r="B82" s="5">
        <f t="shared" si="1"/>
        <v>1</v>
      </c>
    </row>
    <row r="83" spans="1:2" x14ac:dyDescent="0.25">
      <c r="A83" s="197">
        <v>472</v>
      </c>
      <c r="B83" s="5">
        <f t="shared" si="1"/>
        <v>1</v>
      </c>
    </row>
    <row r="84" spans="1:2" x14ac:dyDescent="0.25">
      <c r="A84" s="197">
        <v>473</v>
      </c>
      <c r="B84" s="5">
        <f t="shared" si="1"/>
        <v>1</v>
      </c>
    </row>
    <row r="85" spans="1:2" x14ac:dyDescent="0.25">
      <c r="A85" s="197">
        <v>474</v>
      </c>
      <c r="B85" s="5">
        <f t="shared" si="1"/>
        <v>1</v>
      </c>
    </row>
    <row r="86" spans="1:2" x14ac:dyDescent="0.25">
      <c r="A86" s="197">
        <v>475</v>
      </c>
      <c r="B86" s="5">
        <f t="shared" si="1"/>
        <v>1</v>
      </c>
    </row>
    <row r="87" spans="1:2" x14ac:dyDescent="0.25">
      <c r="A87" s="197">
        <v>476</v>
      </c>
      <c r="B87" s="5">
        <f t="shared" si="1"/>
        <v>1</v>
      </c>
    </row>
    <row r="88" spans="1:2" x14ac:dyDescent="0.25">
      <c r="A88" s="197">
        <v>478</v>
      </c>
      <c r="B88" s="5">
        <f t="shared" si="1"/>
        <v>2</v>
      </c>
    </row>
    <row r="89" spans="1:2" x14ac:dyDescent="0.25">
      <c r="A89" s="197">
        <v>479</v>
      </c>
      <c r="B89" s="5">
        <f t="shared" si="1"/>
        <v>1</v>
      </c>
    </row>
    <row r="90" spans="1:2" x14ac:dyDescent="0.25">
      <c r="A90" s="197">
        <v>480</v>
      </c>
      <c r="B90" s="5">
        <f t="shared" si="1"/>
        <v>1</v>
      </c>
    </row>
    <row r="91" spans="1:2" x14ac:dyDescent="0.25">
      <c r="A91" s="197">
        <v>481</v>
      </c>
      <c r="B91" s="5">
        <f t="shared" si="1"/>
        <v>1</v>
      </c>
    </row>
    <row r="92" spans="1:2" x14ac:dyDescent="0.25">
      <c r="A92" s="197">
        <v>482</v>
      </c>
      <c r="B92" s="5">
        <f t="shared" si="1"/>
        <v>1</v>
      </c>
    </row>
    <row r="93" spans="1:2" x14ac:dyDescent="0.25">
      <c r="A93" s="197">
        <v>483</v>
      </c>
      <c r="B93" s="5">
        <f t="shared" si="1"/>
        <v>1</v>
      </c>
    </row>
    <row r="94" spans="1:2" x14ac:dyDescent="0.25">
      <c r="A94" s="197">
        <v>484</v>
      </c>
      <c r="B94" s="5">
        <f t="shared" si="1"/>
        <v>1</v>
      </c>
    </row>
    <row r="95" spans="1:2" x14ac:dyDescent="0.25">
      <c r="A95" s="197">
        <v>485</v>
      </c>
      <c r="B95" s="5">
        <f t="shared" si="1"/>
        <v>1</v>
      </c>
    </row>
    <row r="96" spans="1:2" x14ac:dyDescent="0.25">
      <c r="A96" s="197">
        <v>486</v>
      </c>
      <c r="B96" s="5">
        <f t="shared" si="1"/>
        <v>1</v>
      </c>
    </row>
    <row r="97" spans="1:2" x14ac:dyDescent="0.25">
      <c r="A97" s="197">
        <v>487</v>
      </c>
      <c r="B97" s="5">
        <f t="shared" si="1"/>
        <v>1</v>
      </c>
    </row>
    <row r="98" spans="1:2" x14ac:dyDescent="0.25">
      <c r="A98" s="197">
        <v>488</v>
      </c>
      <c r="B98" s="5">
        <f t="shared" si="1"/>
        <v>1</v>
      </c>
    </row>
    <row r="99" spans="1:2" x14ac:dyDescent="0.25">
      <c r="A99" s="197">
        <v>489</v>
      </c>
      <c r="B99" s="5">
        <f t="shared" si="1"/>
        <v>1</v>
      </c>
    </row>
    <row r="100" spans="1:2" x14ac:dyDescent="0.25">
      <c r="A100" s="197">
        <v>490</v>
      </c>
      <c r="B100" s="5">
        <f t="shared" si="1"/>
        <v>1</v>
      </c>
    </row>
    <row r="101" spans="1:2" x14ac:dyDescent="0.25">
      <c r="A101" s="197">
        <v>491</v>
      </c>
      <c r="B101" s="5">
        <f t="shared" si="1"/>
        <v>1</v>
      </c>
    </row>
    <row r="102" spans="1:2" x14ac:dyDescent="0.25">
      <c r="A102" s="197">
        <v>492</v>
      </c>
      <c r="B102" s="5">
        <f t="shared" si="1"/>
        <v>1</v>
      </c>
    </row>
    <row r="103" spans="1:2" x14ac:dyDescent="0.25">
      <c r="A103" s="197">
        <v>493</v>
      </c>
      <c r="B103" s="5">
        <f t="shared" si="1"/>
        <v>1</v>
      </c>
    </row>
    <row r="104" spans="1:2" x14ac:dyDescent="0.25">
      <c r="A104" s="197">
        <v>494</v>
      </c>
      <c r="B104" s="5">
        <f t="shared" si="1"/>
        <v>1</v>
      </c>
    </row>
    <row r="105" spans="1:2" x14ac:dyDescent="0.25">
      <c r="A105" s="197">
        <v>496</v>
      </c>
      <c r="B105" s="5">
        <f t="shared" si="1"/>
        <v>2</v>
      </c>
    </row>
    <row r="106" spans="1:2" x14ac:dyDescent="0.25">
      <c r="A106" s="197">
        <v>497</v>
      </c>
      <c r="B106" s="5">
        <f t="shared" si="1"/>
        <v>1</v>
      </c>
    </row>
    <row r="107" spans="1:2" x14ac:dyDescent="0.25">
      <c r="A107" s="197">
        <v>498</v>
      </c>
      <c r="B107" s="5">
        <f t="shared" si="1"/>
        <v>1</v>
      </c>
    </row>
    <row r="108" spans="1:2" x14ac:dyDescent="0.25">
      <c r="A108" s="197">
        <v>499</v>
      </c>
      <c r="B108" s="5">
        <f t="shared" si="1"/>
        <v>1</v>
      </c>
    </row>
    <row r="109" spans="1:2" x14ac:dyDescent="0.25">
      <c r="A109" s="197">
        <v>501</v>
      </c>
      <c r="B109" s="5">
        <f t="shared" si="1"/>
        <v>2</v>
      </c>
    </row>
    <row r="110" spans="1:2" x14ac:dyDescent="0.25">
      <c r="A110" s="197">
        <v>502</v>
      </c>
      <c r="B110" s="5">
        <f t="shared" si="1"/>
        <v>1</v>
      </c>
    </row>
    <row r="111" spans="1:2" x14ac:dyDescent="0.25">
      <c r="A111" s="197">
        <v>503</v>
      </c>
      <c r="B111" s="5">
        <f t="shared" si="1"/>
        <v>1</v>
      </c>
    </row>
    <row r="112" spans="1:2" x14ac:dyDescent="0.25">
      <c r="A112" s="197">
        <v>504</v>
      </c>
      <c r="B112" s="5">
        <f t="shared" si="1"/>
        <v>1</v>
      </c>
    </row>
    <row r="113" spans="1:2" x14ac:dyDescent="0.25">
      <c r="A113" s="197">
        <v>505</v>
      </c>
      <c r="B113" s="5">
        <f t="shared" si="1"/>
        <v>1</v>
      </c>
    </row>
    <row r="114" spans="1:2" x14ac:dyDescent="0.25">
      <c r="A114" s="197">
        <v>507</v>
      </c>
      <c r="B114" s="5">
        <f t="shared" si="1"/>
        <v>2</v>
      </c>
    </row>
    <row r="115" spans="1:2" x14ac:dyDescent="0.25">
      <c r="A115" s="197">
        <v>508</v>
      </c>
      <c r="B115" s="5">
        <f t="shared" si="1"/>
        <v>1</v>
      </c>
    </row>
    <row r="116" spans="1:2" x14ac:dyDescent="0.25">
      <c r="A116" s="197">
        <v>510</v>
      </c>
      <c r="B116" s="5">
        <f t="shared" si="1"/>
        <v>2</v>
      </c>
    </row>
    <row r="117" spans="1:2" x14ac:dyDescent="0.25">
      <c r="A117" s="197">
        <v>511</v>
      </c>
      <c r="B117" s="5">
        <f t="shared" si="1"/>
        <v>1</v>
      </c>
    </row>
    <row r="118" spans="1:2" x14ac:dyDescent="0.25">
      <c r="A118" s="197">
        <v>512</v>
      </c>
      <c r="B118" s="5">
        <f t="shared" si="1"/>
        <v>1</v>
      </c>
    </row>
    <row r="119" spans="1:2" x14ac:dyDescent="0.25">
      <c r="A119" s="197">
        <v>518</v>
      </c>
      <c r="B119" s="5">
        <f t="shared" si="1"/>
        <v>6</v>
      </c>
    </row>
    <row r="120" spans="1:2" x14ac:dyDescent="0.25">
      <c r="A120" s="197">
        <v>519</v>
      </c>
      <c r="B120" s="5">
        <f t="shared" si="1"/>
        <v>1</v>
      </c>
    </row>
    <row r="121" spans="1:2" x14ac:dyDescent="0.25">
      <c r="A121" s="197">
        <v>523</v>
      </c>
      <c r="B121" s="5">
        <f t="shared" si="1"/>
        <v>4</v>
      </c>
    </row>
    <row r="122" spans="1:2" x14ac:dyDescent="0.25">
      <c r="A122" s="197">
        <v>524</v>
      </c>
      <c r="B122" s="5">
        <f t="shared" si="1"/>
        <v>1</v>
      </c>
    </row>
    <row r="123" spans="1:2" x14ac:dyDescent="0.25">
      <c r="A123" s="197">
        <v>525</v>
      </c>
      <c r="B123" s="5">
        <f t="shared" si="1"/>
        <v>1</v>
      </c>
    </row>
    <row r="124" spans="1:2" x14ac:dyDescent="0.25">
      <c r="A124" s="197">
        <v>526</v>
      </c>
      <c r="B124" s="5">
        <f t="shared" si="1"/>
        <v>1</v>
      </c>
    </row>
    <row r="125" spans="1:2" x14ac:dyDescent="0.25">
      <c r="A125" s="197">
        <v>530</v>
      </c>
      <c r="B125" s="5">
        <f t="shared" si="1"/>
        <v>4</v>
      </c>
    </row>
    <row r="126" spans="1:2" x14ac:dyDescent="0.25">
      <c r="A126" s="197">
        <v>531</v>
      </c>
      <c r="B126" s="5">
        <f t="shared" si="1"/>
        <v>1</v>
      </c>
    </row>
    <row r="127" spans="1:2" x14ac:dyDescent="0.25">
      <c r="A127" s="197">
        <v>532</v>
      </c>
      <c r="B127" s="5">
        <f t="shared" si="1"/>
        <v>1</v>
      </c>
    </row>
    <row r="128" spans="1:2" x14ac:dyDescent="0.25">
      <c r="A128" s="197">
        <v>533</v>
      </c>
      <c r="B128" s="5">
        <f t="shared" si="1"/>
        <v>1</v>
      </c>
    </row>
    <row r="129" spans="1:2" x14ac:dyDescent="0.25">
      <c r="A129" s="197">
        <v>535</v>
      </c>
      <c r="B129" s="5">
        <f t="shared" si="1"/>
        <v>2</v>
      </c>
    </row>
    <row r="130" spans="1:2" x14ac:dyDescent="0.25">
      <c r="A130" s="197">
        <v>538</v>
      </c>
      <c r="B130" s="5">
        <f t="shared" si="1"/>
        <v>3</v>
      </c>
    </row>
    <row r="131" spans="1:2" x14ac:dyDescent="0.25">
      <c r="A131" s="197">
        <v>539</v>
      </c>
      <c r="B131" s="5">
        <f t="shared" ref="B131:B132" si="2">+A131-A130</f>
        <v>1</v>
      </c>
    </row>
    <row r="132" spans="1:2" x14ac:dyDescent="0.25">
      <c r="A132" s="197">
        <v>540</v>
      </c>
      <c r="B132" s="5">
        <f t="shared" si="2"/>
        <v>1</v>
      </c>
    </row>
    <row r="133" spans="1:2" x14ac:dyDescent="0.25">
      <c r="A133" s="197"/>
    </row>
    <row r="134" spans="1:2" x14ac:dyDescent="0.25">
      <c r="A134" s="156"/>
    </row>
    <row r="135" spans="1:2" x14ac:dyDescent="0.25">
      <c r="A135" s="197"/>
    </row>
    <row r="136" spans="1:2" x14ac:dyDescent="0.25">
      <c r="A136" s="197"/>
    </row>
    <row r="137" spans="1:2" x14ac:dyDescent="0.25">
      <c r="A137" s="197"/>
    </row>
    <row r="138" spans="1:2" x14ac:dyDescent="0.25">
      <c r="A138" s="197"/>
    </row>
    <row r="139" spans="1:2" x14ac:dyDescent="0.25">
      <c r="A139" s="197"/>
    </row>
    <row r="140" spans="1:2" x14ac:dyDescent="0.25">
      <c r="A140" s="197"/>
    </row>
    <row r="141" spans="1:2" x14ac:dyDescent="0.25">
      <c r="A141" s="156"/>
    </row>
    <row r="142" spans="1:2" x14ac:dyDescent="0.25">
      <c r="A142" s="197"/>
    </row>
    <row r="143" spans="1:2" x14ac:dyDescent="0.25">
      <c r="A143" s="197"/>
    </row>
    <row r="144" spans="1:2" x14ac:dyDescent="0.25">
      <c r="A144" s="197"/>
    </row>
    <row r="145" spans="1:1" x14ac:dyDescent="0.25">
      <c r="A145" s="197"/>
    </row>
    <row r="146" spans="1:1" x14ac:dyDescent="0.25">
      <c r="A146" s="197"/>
    </row>
    <row r="147" spans="1:1" x14ac:dyDescent="0.25">
      <c r="A147" s="336"/>
    </row>
    <row r="148" spans="1:1" x14ac:dyDescent="0.25">
      <c r="A148" s="197"/>
    </row>
    <row r="149" spans="1:1" x14ac:dyDescent="0.25">
      <c r="A149" s="197"/>
    </row>
    <row r="150" spans="1:1" x14ac:dyDescent="0.25">
      <c r="A150" s="197"/>
    </row>
    <row r="151" spans="1:1" x14ac:dyDescent="0.25">
      <c r="A151" s="197"/>
    </row>
    <row r="152" spans="1:1" x14ac:dyDescent="0.25">
      <c r="A152" s="197"/>
    </row>
    <row r="153" spans="1:1" x14ac:dyDescent="0.25">
      <c r="A153" s="197"/>
    </row>
    <row r="154" spans="1:1" x14ac:dyDescent="0.25">
      <c r="A154" s="156"/>
    </row>
    <row r="155" spans="1:1" x14ac:dyDescent="0.25">
      <c r="A155" s="197"/>
    </row>
    <row r="156" spans="1:1" x14ac:dyDescent="0.25">
      <c r="A156" s="197"/>
    </row>
    <row r="157" spans="1:1" x14ac:dyDescent="0.25">
      <c r="A157" s="197"/>
    </row>
    <row r="158" spans="1:1" x14ac:dyDescent="0.25">
      <c r="A158" s="197"/>
    </row>
    <row r="159" spans="1:1" x14ac:dyDescent="0.25">
      <c r="A159" s="197"/>
    </row>
    <row r="160" spans="1:1" x14ac:dyDescent="0.25">
      <c r="A160" s="197"/>
    </row>
    <row r="161" spans="1:1" x14ac:dyDescent="0.25">
      <c r="A161" s="197"/>
    </row>
    <row r="162" spans="1:1" x14ac:dyDescent="0.25">
      <c r="A162" s="197"/>
    </row>
    <row r="163" spans="1:1" x14ac:dyDescent="0.25">
      <c r="A163" s="197"/>
    </row>
    <row r="164" spans="1:1" x14ac:dyDescent="0.25">
      <c r="A164" s="197"/>
    </row>
    <row r="165" spans="1:1" x14ac:dyDescent="0.25">
      <c r="A165" s="197"/>
    </row>
    <row r="166" spans="1:1" x14ac:dyDescent="0.25">
      <c r="A166" s="197"/>
    </row>
    <row r="167" spans="1:1" x14ac:dyDescent="0.25">
      <c r="A167" s="197"/>
    </row>
    <row r="168" spans="1:1" x14ac:dyDescent="0.25">
      <c r="A168" s="197"/>
    </row>
    <row r="169" spans="1:1" x14ac:dyDescent="0.25">
      <c r="A169" s="197"/>
    </row>
    <row r="170" spans="1:1" x14ac:dyDescent="0.25">
      <c r="A170" s="197"/>
    </row>
    <row r="171" spans="1:1" x14ac:dyDescent="0.25">
      <c r="A171" s="197"/>
    </row>
    <row r="172" spans="1:1" x14ac:dyDescent="0.25">
      <c r="A172" s="197"/>
    </row>
    <row r="173" spans="1:1" x14ac:dyDescent="0.25">
      <c r="A173" s="197"/>
    </row>
    <row r="174" spans="1:1" x14ac:dyDescent="0.25">
      <c r="A174" s="156"/>
    </row>
    <row r="175" spans="1:1" x14ac:dyDescent="0.25">
      <c r="A175" s="197"/>
    </row>
    <row r="176" spans="1:1" x14ac:dyDescent="0.25">
      <c r="A176" s="197"/>
    </row>
    <row r="177" spans="1:1" x14ac:dyDescent="0.25">
      <c r="A177" s="197"/>
    </row>
    <row r="178" spans="1:1" x14ac:dyDescent="0.25">
      <c r="A178" s="197"/>
    </row>
    <row r="179" spans="1:1" x14ac:dyDescent="0.25">
      <c r="A179" s="221"/>
    </row>
    <row r="180" spans="1:1" x14ac:dyDescent="0.25">
      <c r="A180" s="197"/>
    </row>
    <row r="181" spans="1:1" x14ac:dyDescent="0.25">
      <c r="A181" s="197"/>
    </row>
    <row r="182" spans="1:1" x14ac:dyDescent="0.25">
      <c r="A182" s="197"/>
    </row>
    <row r="183" spans="1:1" x14ac:dyDescent="0.25">
      <c r="A183" s="197"/>
    </row>
    <row r="184" spans="1:1" x14ac:dyDescent="0.25">
      <c r="A184" s="197"/>
    </row>
    <row r="185" spans="1:1" x14ac:dyDescent="0.25">
      <c r="A185" s="197"/>
    </row>
    <row r="186" spans="1:1" x14ac:dyDescent="0.25">
      <c r="A186" s="197"/>
    </row>
    <row r="187" spans="1:1" x14ac:dyDescent="0.25">
      <c r="A187" s="197"/>
    </row>
    <row r="188" spans="1:1" x14ac:dyDescent="0.25">
      <c r="A188" s="197"/>
    </row>
    <row r="189" spans="1:1" x14ac:dyDescent="0.25">
      <c r="A189" s="197"/>
    </row>
    <row r="190" spans="1:1" x14ac:dyDescent="0.25">
      <c r="A190" s="197"/>
    </row>
    <row r="191" spans="1:1" x14ac:dyDescent="0.25">
      <c r="A191" s="197"/>
    </row>
    <row r="192" spans="1:1" x14ac:dyDescent="0.25">
      <c r="A192" s="197"/>
    </row>
    <row r="193" spans="1:1" x14ac:dyDescent="0.25">
      <c r="A193" s="197"/>
    </row>
    <row r="194" spans="1:1" x14ac:dyDescent="0.25">
      <c r="A194" s="197"/>
    </row>
    <row r="195" spans="1:1" x14ac:dyDescent="0.25">
      <c r="A195" s="197"/>
    </row>
    <row r="196" spans="1:1" x14ac:dyDescent="0.25">
      <c r="A196" s="197"/>
    </row>
    <row r="197" spans="1:1" x14ac:dyDescent="0.25">
      <c r="A197" s="197"/>
    </row>
    <row r="198" spans="1:1" x14ac:dyDescent="0.25">
      <c r="A198" s="197"/>
    </row>
    <row r="199" spans="1:1" x14ac:dyDescent="0.25">
      <c r="A199" s="197"/>
    </row>
    <row r="200" spans="1:1" x14ac:dyDescent="0.25">
      <c r="A200" s="197"/>
    </row>
    <row r="201" spans="1:1" x14ac:dyDescent="0.25">
      <c r="A201" s="197"/>
    </row>
    <row r="202" spans="1:1" x14ac:dyDescent="0.25">
      <c r="A202" s="197"/>
    </row>
    <row r="203" spans="1:1" x14ac:dyDescent="0.25">
      <c r="A203" s="197"/>
    </row>
    <row r="204" spans="1:1" x14ac:dyDescent="0.25">
      <c r="A204" s="197"/>
    </row>
    <row r="205" spans="1:1" x14ac:dyDescent="0.25">
      <c r="A205" s="197"/>
    </row>
    <row r="206" spans="1:1" x14ac:dyDescent="0.25">
      <c r="A206" s="197"/>
    </row>
    <row r="207" spans="1:1" x14ac:dyDescent="0.25">
      <c r="A207" s="197"/>
    </row>
    <row r="208" spans="1:1" x14ac:dyDescent="0.25">
      <c r="A208" s="197"/>
    </row>
    <row r="209" spans="1:1" x14ac:dyDescent="0.25">
      <c r="A209" s="197"/>
    </row>
    <row r="210" spans="1:1" x14ac:dyDescent="0.25">
      <c r="A210" s="197"/>
    </row>
    <row r="211" spans="1:1" x14ac:dyDescent="0.25">
      <c r="A211" s="197"/>
    </row>
    <row r="212" spans="1:1" x14ac:dyDescent="0.25">
      <c r="A212" s="156"/>
    </row>
    <row r="213" spans="1:1" x14ac:dyDescent="0.25">
      <c r="A213" s="197"/>
    </row>
    <row r="214" spans="1:1" x14ac:dyDescent="0.25">
      <c r="A214" s="197"/>
    </row>
    <row r="215" spans="1:1" x14ac:dyDescent="0.25">
      <c r="A215" s="197"/>
    </row>
    <row r="216" spans="1:1" x14ac:dyDescent="0.25">
      <c r="A216" s="197"/>
    </row>
    <row r="217" spans="1:1" x14ac:dyDescent="0.25">
      <c r="A217" s="197"/>
    </row>
    <row r="218" spans="1:1" x14ac:dyDescent="0.25">
      <c r="A218" s="197"/>
    </row>
    <row r="219" spans="1:1" x14ac:dyDescent="0.25">
      <c r="A219" s="197"/>
    </row>
    <row r="220" spans="1:1" x14ac:dyDescent="0.25">
      <c r="A220" s="197"/>
    </row>
    <row r="221" spans="1:1" x14ac:dyDescent="0.25">
      <c r="A221" s="197"/>
    </row>
    <row r="222" spans="1:1" x14ac:dyDescent="0.25">
      <c r="A222" s="197"/>
    </row>
    <row r="223" spans="1:1" x14ac:dyDescent="0.25">
      <c r="A223" s="197"/>
    </row>
    <row r="224" spans="1:1" x14ac:dyDescent="0.25">
      <c r="A224" s="197"/>
    </row>
    <row r="225" spans="1:1" x14ac:dyDescent="0.25">
      <c r="A225" s="197"/>
    </row>
    <row r="226" spans="1:1" x14ac:dyDescent="0.25">
      <c r="A226" s="197"/>
    </row>
    <row r="227" spans="1:1" x14ac:dyDescent="0.25">
      <c r="A227" s="197"/>
    </row>
    <row r="228" spans="1:1" x14ac:dyDescent="0.25">
      <c r="A228" s="197"/>
    </row>
    <row r="229" spans="1:1" x14ac:dyDescent="0.25">
      <c r="A229" s="197"/>
    </row>
    <row r="230" spans="1:1" x14ac:dyDescent="0.25">
      <c r="A230" s="197"/>
    </row>
    <row r="231" spans="1:1" x14ac:dyDescent="0.25">
      <c r="A231" s="197"/>
    </row>
    <row r="232" spans="1:1" x14ac:dyDescent="0.25">
      <c r="A232" s="197"/>
    </row>
    <row r="233" spans="1:1" x14ac:dyDescent="0.25">
      <c r="A233" s="197"/>
    </row>
    <row r="234" spans="1:1" x14ac:dyDescent="0.25">
      <c r="A234" s="197"/>
    </row>
    <row r="235" spans="1:1" x14ac:dyDescent="0.25">
      <c r="A235" s="197"/>
    </row>
    <row r="236" spans="1:1" x14ac:dyDescent="0.25">
      <c r="A236" s="197"/>
    </row>
    <row r="237" spans="1:1" x14ac:dyDescent="0.25">
      <c r="A237" s="197"/>
    </row>
    <row r="238" spans="1:1" x14ac:dyDescent="0.25">
      <c r="A238" s="197"/>
    </row>
    <row r="239" spans="1:1" x14ac:dyDescent="0.25">
      <c r="A239" s="197"/>
    </row>
    <row r="240" spans="1:1" x14ac:dyDescent="0.25">
      <c r="A240" s="197"/>
    </row>
    <row r="241" spans="1:1" x14ac:dyDescent="0.25">
      <c r="A241" s="197"/>
    </row>
    <row r="242" spans="1:1" x14ac:dyDescent="0.25">
      <c r="A242" s="197"/>
    </row>
    <row r="243" spans="1:1" x14ac:dyDescent="0.25">
      <c r="A243" s="197"/>
    </row>
    <row r="244" spans="1:1" x14ac:dyDescent="0.25">
      <c r="A244" s="197"/>
    </row>
    <row r="245" spans="1:1" x14ac:dyDescent="0.25">
      <c r="A245" s="156"/>
    </row>
    <row r="246" spans="1:1" x14ac:dyDescent="0.25">
      <c r="A246" s="197"/>
    </row>
    <row r="247" spans="1:1" x14ac:dyDescent="0.25">
      <c r="A247" s="197"/>
    </row>
    <row r="248" spans="1:1" x14ac:dyDescent="0.25">
      <c r="A248" s="197"/>
    </row>
    <row r="249" spans="1:1" x14ac:dyDescent="0.25">
      <c r="A249" s="197"/>
    </row>
    <row r="250" spans="1:1" x14ac:dyDescent="0.25">
      <c r="A250" s="197"/>
    </row>
    <row r="251" spans="1:1" x14ac:dyDescent="0.25">
      <c r="A251" s="197"/>
    </row>
    <row r="252" spans="1:1" x14ac:dyDescent="0.25">
      <c r="A252" s="197"/>
    </row>
    <row r="253" spans="1:1" x14ac:dyDescent="0.25">
      <c r="A253" s="197"/>
    </row>
    <row r="254" spans="1:1" x14ac:dyDescent="0.25">
      <c r="A254" s="197"/>
    </row>
    <row r="255" spans="1:1" x14ac:dyDescent="0.25">
      <c r="A255" s="197"/>
    </row>
    <row r="256" spans="1:1" x14ac:dyDescent="0.25">
      <c r="A256" s="197"/>
    </row>
    <row r="257" spans="1:1" x14ac:dyDescent="0.25">
      <c r="A257" s="197"/>
    </row>
    <row r="258" spans="1:1" x14ac:dyDescent="0.25">
      <c r="A258" s="197"/>
    </row>
    <row r="259" spans="1:1" x14ac:dyDescent="0.25">
      <c r="A259" s="197"/>
    </row>
    <row r="260" spans="1:1" x14ac:dyDescent="0.25">
      <c r="A260" s="197"/>
    </row>
    <row r="261" spans="1:1" x14ac:dyDescent="0.25">
      <c r="A261" s="197"/>
    </row>
    <row r="262" spans="1:1" x14ac:dyDescent="0.25">
      <c r="A262" s="197"/>
    </row>
    <row r="263" spans="1:1" x14ac:dyDescent="0.25">
      <c r="A263" s="197"/>
    </row>
    <row r="264" spans="1:1" x14ac:dyDescent="0.25">
      <c r="A264" s="197"/>
    </row>
    <row r="265" spans="1:1" x14ac:dyDescent="0.25">
      <c r="A265" s="197"/>
    </row>
    <row r="266" spans="1:1" x14ac:dyDescent="0.25">
      <c r="A266" s="197"/>
    </row>
    <row r="267" spans="1:1" x14ac:dyDescent="0.25">
      <c r="A267" s="197"/>
    </row>
    <row r="268" spans="1:1" x14ac:dyDescent="0.25">
      <c r="A268" s="197"/>
    </row>
    <row r="269" spans="1:1" x14ac:dyDescent="0.25">
      <c r="A269" s="197"/>
    </row>
    <row r="270" spans="1:1" x14ac:dyDescent="0.25">
      <c r="A270" s="197"/>
    </row>
  </sheetData>
  <sortState xmlns:xlrd2="http://schemas.microsoft.com/office/spreadsheetml/2017/richdata2" ref="A1:A270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6" t="s">
        <v>127</v>
      </c>
      <c r="E2" s="156" t="s">
        <v>75</v>
      </c>
      <c r="F2" s="156" t="s">
        <v>77</v>
      </c>
      <c r="G2" s="156" t="s">
        <v>252</v>
      </c>
      <c r="H2" s="156" t="s">
        <v>84</v>
      </c>
      <c r="J2" s="156" t="s">
        <v>72</v>
      </c>
      <c r="K2" s="156" t="s">
        <v>75</v>
      </c>
      <c r="L2" s="156" t="s">
        <v>77</v>
      </c>
      <c r="M2" s="156" t="s">
        <v>252</v>
      </c>
      <c r="N2" s="156" t="s">
        <v>84</v>
      </c>
      <c r="P2" s="156" t="s">
        <v>251</v>
      </c>
      <c r="Q2" s="156" t="s">
        <v>75</v>
      </c>
      <c r="R2" s="156" t="s">
        <v>77</v>
      </c>
    </row>
    <row r="3" spans="4:18" x14ac:dyDescent="0.25">
      <c r="D3" s="171">
        <v>150</v>
      </c>
      <c r="E3" s="112">
        <v>0</v>
      </c>
      <c r="F3" s="112">
        <v>822120</v>
      </c>
      <c r="G3" s="112">
        <v>822120</v>
      </c>
      <c r="H3" s="112">
        <f>+G3/1.19*0.19</f>
        <v>131262.85714285713</v>
      </c>
      <c r="I3">
        <v>1125</v>
      </c>
      <c r="J3" s="171">
        <v>1125</v>
      </c>
      <c r="K3" s="112">
        <v>0</v>
      </c>
      <c r="L3" s="112">
        <v>520592</v>
      </c>
      <c r="M3" s="268">
        <v>520592</v>
      </c>
      <c r="N3" s="112">
        <f>+M3/1.19*0.19</f>
        <v>83119.731092436981</v>
      </c>
      <c r="O3" s="5"/>
      <c r="P3" s="171">
        <v>6565</v>
      </c>
      <c r="Q3" s="112">
        <v>819</v>
      </c>
      <c r="R3" s="112">
        <v>0</v>
      </c>
    </row>
    <row r="4" spans="4:18" x14ac:dyDescent="0.25">
      <c r="D4" s="171">
        <v>151</v>
      </c>
      <c r="E4" s="112">
        <v>0</v>
      </c>
      <c r="F4" s="112">
        <v>307669</v>
      </c>
      <c r="G4" s="112">
        <v>307669</v>
      </c>
      <c r="H4" s="112">
        <f t="shared" ref="H4:H6" si="0">+G4/1.19*0.19</f>
        <v>49123.621848739502</v>
      </c>
      <c r="I4">
        <v>1126</v>
      </c>
      <c r="J4" s="171">
        <v>1126</v>
      </c>
      <c r="K4" s="112">
        <v>0</v>
      </c>
      <c r="L4" s="112">
        <v>436652</v>
      </c>
      <c r="M4" s="268">
        <v>436652</v>
      </c>
      <c r="N4" s="112">
        <f t="shared" ref="N4:N55" si="1">+M4/1.19*0.19</f>
        <v>69717.546218487405</v>
      </c>
      <c r="O4" s="5"/>
      <c r="P4" s="247">
        <v>6566</v>
      </c>
      <c r="Q4" s="112">
        <v>650</v>
      </c>
      <c r="R4" s="112">
        <v>544518</v>
      </c>
    </row>
    <row r="5" spans="4:18" x14ac:dyDescent="0.25">
      <c r="D5" s="171">
        <v>152</v>
      </c>
      <c r="E5" s="112">
        <v>0</v>
      </c>
      <c r="F5" s="205">
        <v>796228</v>
      </c>
      <c r="G5" s="205">
        <v>932645</v>
      </c>
      <c r="H5" s="205">
        <f t="shared" si="0"/>
        <v>148909.70588235295</v>
      </c>
      <c r="I5">
        <v>1127</v>
      </c>
      <c r="J5" s="171">
        <v>1127</v>
      </c>
      <c r="K5" s="112">
        <v>0</v>
      </c>
      <c r="L5" s="112">
        <v>1407345</v>
      </c>
      <c r="M5" s="268">
        <v>1407345</v>
      </c>
      <c r="N5" s="112">
        <f t="shared" si="1"/>
        <v>224702.1428571429</v>
      </c>
      <c r="O5" s="5"/>
      <c r="P5" s="247">
        <v>6567</v>
      </c>
      <c r="Q5" s="112">
        <v>270</v>
      </c>
      <c r="R5" s="112">
        <v>226176</v>
      </c>
    </row>
    <row r="6" spans="4:18" x14ac:dyDescent="0.25">
      <c r="D6" s="171">
        <v>153</v>
      </c>
      <c r="E6" s="112">
        <v>0</v>
      </c>
      <c r="F6" s="112">
        <v>1103261</v>
      </c>
      <c r="G6" s="112">
        <v>1104161</v>
      </c>
      <c r="H6" s="112">
        <f t="shared" si="0"/>
        <v>176294.61344537814</v>
      </c>
      <c r="I6">
        <v>1128</v>
      </c>
      <c r="J6" s="267">
        <v>1128</v>
      </c>
      <c r="K6" s="13"/>
      <c r="L6" s="13"/>
      <c r="M6" s="269">
        <v>58423</v>
      </c>
      <c r="N6" s="112">
        <f t="shared" si="1"/>
        <v>9328.042016806723</v>
      </c>
      <c r="O6" s="5"/>
      <c r="P6" s="247">
        <v>6568</v>
      </c>
      <c r="Q6" s="112">
        <v>288</v>
      </c>
      <c r="R6" s="112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7">
        <v>1129</v>
      </c>
      <c r="K7" s="13"/>
      <c r="L7" s="13"/>
      <c r="M7" s="269">
        <v>8000</v>
      </c>
      <c r="N7" s="112">
        <f t="shared" si="1"/>
        <v>1277.3109243697481</v>
      </c>
      <c r="O7" s="5"/>
      <c r="P7" s="247">
        <v>6569</v>
      </c>
      <c r="Q7" s="112">
        <v>405</v>
      </c>
      <c r="R7" s="112">
        <v>340735</v>
      </c>
    </row>
    <row r="8" spans="4:18" x14ac:dyDescent="0.25">
      <c r="G8" s="5">
        <f>+G7-H7</f>
        <v>2661004.2016806724</v>
      </c>
      <c r="I8">
        <v>1130</v>
      </c>
      <c r="J8" s="171">
        <v>1130</v>
      </c>
      <c r="K8" s="112">
        <v>0</v>
      </c>
      <c r="L8" s="112">
        <v>303127</v>
      </c>
      <c r="M8" s="268">
        <v>303127</v>
      </c>
      <c r="N8" s="112">
        <f t="shared" si="1"/>
        <v>48398.428571428572</v>
      </c>
      <c r="O8" s="5"/>
      <c r="P8" s="247">
        <v>6570</v>
      </c>
      <c r="Q8" s="112">
        <v>540</v>
      </c>
      <c r="R8" s="112">
        <v>458546</v>
      </c>
    </row>
    <row r="9" spans="4:18" x14ac:dyDescent="0.25">
      <c r="I9">
        <v>1131</v>
      </c>
      <c r="J9" s="171">
        <v>1131</v>
      </c>
      <c r="K9" s="112">
        <v>0</v>
      </c>
      <c r="L9" s="112">
        <v>699144</v>
      </c>
      <c r="M9" s="268">
        <v>699144</v>
      </c>
      <c r="N9" s="112">
        <f t="shared" si="1"/>
        <v>111628.03361344538</v>
      </c>
      <c r="O9" s="5"/>
      <c r="P9" s="247">
        <v>6571</v>
      </c>
      <c r="Q9" s="112">
        <v>300</v>
      </c>
      <c r="R9" s="112">
        <v>252396</v>
      </c>
    </row>
    <row r="10" spans="4:18" x14ac:dyDescent="0.25">
      <c r="D10" t="s">
        <v>253</v>
      </c>
      <c r="H10" s="5">
        <f>+H7+N56</f>
        <v>3080634.2941176482</v>
      </c>
      <c r="I10">
        <v>1132</v>
      </c>
      <c r="J10" s="171">
        <v>1132</v>
      </c>
      <c r="K10" s="112">
        <v>0</v>
      </c>
      <c r="L10" s="112">
        <v>566098</v>
      </c>
      <c r="M10" s="268">
        <v>566098</v>
      </c>
      <c r="N10" s="112">
        <f t="shared" si="1"/>
        <v>90385.394957983197</v>
      </c>
      <c r="O10" s="5"/>
      <c r="P10" s="247">
        <v>6572</v>
      </c>
      <c r="Q10" s="112">
        <v>1003.5</v>
      </c>
      <c r="R10" s="112">
        <v>852624</v>
      </c>
    </row>
    <row r="11" spans="4:18" x14ac:dyDescent="0.25">
      <c r="I11">
        <v>1133</v>
      </c>
      <c r="J11" s="171">
        <v>1133</v>
      </c>
      <c r="K11" s="112">
        <v>0</v>
      </c>
      <c r="L11" s="112">
        <v>152523</v>
      </c>
      <c r="M11" s="268">
        <v>152523</v>
      </c>
      <c r="N11" s="112">
        <f t="shared" si="1"/>
        <v>24352.411764705885</v>
      </c>
      <c r="O11" s="5"/>
      <c r="P11" s="247">
        <v>6573</v>
      </c>
      <c r="Q11" s="112">
        <v>540</v>
      </c>
      <c r="R11" s="112">
        <v>458811</v>
      </c>
    </row>
    <row r="12" spans="4:18" x14ac:dyDescent="0.25">
      <c r="I12">
        <v>1134</v>
      </c>
      <c r="J12" s="267">
        <v>1134</v>
      </c>
      <c r="K12" s="13"/>
      <c r="L12" s="13"/>
      <c r="M12" s="269">
        <v>9000</v>
      </c>
      <c r="N12" s="112">
        <f t="shared" si="1"/>
        <v>1436.9747899159665</v>
      </c>
      <c r="O12" s="5"/>
      <c r="P12" s="247">
        <v>6574</v>
      </c>
      <c r="Q12" s="112">
        <v>520</v>
      </c>
      <c r="R12" s="112">
        <v>451755</v>
      </c>
    </row>
    <row r="13" spans="4:18" x14ac:dyDescent="0.25">
      <c r="I13">
        <v>1135</v>
      </c>
      <c r="J13" s="267">
        <v>1135</v>
      </c>
      <c r="K13" s="13"/>
      <c r="L13" s="13"/>
      <c r="M13" s="269">
        <v>2000</v>
      </c>
      <c r="N13" s="112">
        <f t="shared" si="1"/>
        <v>319.32773109243703</v>
      </c>
      <c r="O13" s="5"/>
      <c r="P13" s="247">
        <v>6575</v>
      </c>
      <c r="Q13" s="112">
        <v>819</v>
      </c>
      <c r="R13" s="112">
        <v>701998</v>
      </c>
    </row>
    <row r="14" spans="4:18" x14ac:dyDescent="0.25">
      <c r="I14">
        <v>1136</v>
      </c>
      <c r="J14" s="171">
        <v>1136</v>
      </c>
      <c r="K14" s="112">
        <v>0</v>
      </c>
      <c r="L14" s="112">
        <v>402489</v>
      </c>
      <c r="M14" s="268">
        <v>402489</v>
      </c>
      <c r="N14" s="112">
        <f t="shared" si="1"/>
        <v>64262.94957983194</v>
      </c>
      <c r="O14" s="5"/>
      <c r="P14" s="247">
        <v>6576</v>
      </c>
      <c r="Q14" s="112">
        <v>738</v>
      </c>
      <c r="R14" s="112">
        <v>632569</v>
      </c>
    </row>
    <row r="15" spans="4:18" x14ac:dyDescent="0.25">
      <c r="I15">
        <v>1137</v>
      </c>
      <c r="J15" s="267">
        <v>1137</v>
      </c>
      <c r="K15" s="13"/>
      <c r="L15" s="13"/>
      <c r="M15" s="269">
        <v>12000</v>
      </c>
      <c r="N15" s="112">
        <f t="shared" si="1"/>
        <v>1915.966386554622</v>
      </c>
      <c r="O15" s="5"/>
      <c r="P15" s="247">
        <v>6577</v>
      </c>
      <c r="Q15" s="112">
        <v>820</v>
      </c>
      <c r="R15" s="112">
        <v>702855</v>
      </c>
    </row>
    <row r="16" spans="4:18" x14ac:dyDescent="0.25">
      <c r="I16">
        <v>1138</v>
      </c>
      <c r="J16" s="267">
        <v>1138</v>
      </c>
      <c r="K16" s="13"/>
      <c r="L16" s="13"/>
      <c r="M16" s="269">
        <v>2000</v>
      </c>
      <c r="N16" s="112">
        <f t="shared" si="1"/>
        <v>319.32773109243703</v>
      </c>
      <c r="O16" s="5"/>
      <c r="P16" s="247">
        <v>6578</v>
      </c>
      <c r="Q16" s="112">
        <v>1147.5</v>
      </c>
      <c r="R16" s="112">
        <v>983568</v>
      </c>
    </row>
    <row r="17" spans="9:18" x14ac:dyDescent="0.25">
      <c r="I17">
        <v>1139</v>
      </c>
      <c r="J17" s="267">
        <v>1139</v>
      </c>
      <c r="K17" s="13"/>
      <c r="L17" s="13"/>
      <c r="M17" s="269">
        <v>1000</v>
      </c>
      <c r="N17" s="112">
        <f t="shared" si="1"/>
        <v>159.66386554621852</v>
      </c>
      <c r="O17" s="5"/>
      <c r="P17" s="247">
        <v>6579</v>
      </c>
      <c r="Q17" s="112">
        <v>1150</v>
      </c>
      <c r="R17" s="112">
        <v>987379</v>
      </c>
    </row>
    <row r="18" spans="9:18" x14ac:dyDescent="0.25">
      <c r="I18">
        <v>1140</v>
      </c>
      <c r="J18" s="267">
        <v>1140</v>
      </c>
      <c r="K18" s="13"/>
      <c r="L18" s="13"/>
      <c r="M18" s="269">
        <v>16000</v>
      </c>
      <c r="N18" s="112">
        <f t="shared" si="1"/>
        <v>2554.6218487394963</v>
      </c>
      <c r="O18" s="5"/>
      <c r="P18" s="247">
        <v>6580</v>
      </c>
      <c r="Q18" s="112">
        <v>548.5</v>
      </c>
      <c r="R18" s="112">
        <v>470937</v>
      </c>
    </row>
    <row r="19" spans="9:18" x14ac:dyDescent="0.25">
      <c r="I19">
        <v>1141</v>
      </c>
      <c r="J19" s="171">
        <v>1141</v>
      </c>
      <c r="K19" s="112">
        <v>0</v>
      </c>
      <c r="L19" s="112">
        <v>556220</v>
      </c>
      <c r="M19" s="268">
        <v>556220</v>
      </c>
      <c r="N19" s="112">
        <f t="shared" si="1"/>
        <v>88808.23529411765</v>
      </c>
      <c r="O19" s="5"/>
      <c r="P19" s="247">
        <v>6581</v>
      </c>
      <c r="Q19" s="112">
        <v>1665</v>
      </c>
      <c r="R19" s="268">
        <v>1429552</v>
      </c>
    </row>
    <row r="20" spans="9:18" x14ac:dyDescent="0.25">
      <c r="I20">
        <v>1142</v>
      </c>
      <c r="J20" s="267">
        <v>1142</v>
      </c>
      <c r="K20" s="13"/>
      <c r="L20" s="13"/>
      <c r="M20" s="269">
        <v>3000</v>
      </c>
      <c r="N20" s="112">
        <f t="shared" si="1"/>
        <v>478.99159663865549</v>
      </c>
      <c r="O20" s="5"/>
      <c r="P20" s="171">
        <v>6582</v>
      </c>
      <c r="Q20" s="112">
        <v>440</v>
      </c>
      <c r="R20" s="112">
        <v>0</v>
      </c>
    </row>
    <row r="21" spans="9:18" x14ac:dyDescent="0.25">
      <c r="I21">
        <v>1143</v>
      </c>
      <c r="J21" s="171">
        <v>1143</v>
      </c>
      <c r="K21" s="112">
        <v>0</v>
      </c>
      <c r="L21" s="112">
        <v>1150173</v>
      </c>
      <c r="M21" s="268">
        <v>1150173</v>
      </c>
      <c r="N21" s="112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1">
        <v>1144</v>
      </c>
      <c r="K22" s="112">
        <v>0</v>
      </c>
      <c r="L22" s="112">
        <v>494198</v>
      </c>
      <c r="M22" s="268">
        <v>494198</v>
      </c>
      <c r="N22" s="112">
        <f t="shared" si="1"/>
        <v>78905.563025210096</v>
      </c>
      <c r="O22" s="5"/>
    </row>
    <row r="23" spans="9:18" x14ac:dyDescent="0.25">
      <c r="I23">
        <v>1145</v>
      </c>
      <c r="J23" s="171">
        <v>1145</v>
      </c>
      <c r="K23" s="112">
        <v>0</v>
      </c>
      <c r="L23" s="112">
        <v>494198</v>
      </c>
      <c r="M23" s="268">
        <v>494198</v>
      </c>
      <c r="N23" s="112">
        <f t="shared" si="1"/>
        <v>78905.563025210096</v>
      </c>
      <c r="O23" s="5"/>
    </row>
    <row r="24" spans="9:18" x14ac:dyDescent="0.25">
      <c r="I24">
        <v>1146</v>
      </c>
      <c r="J24" s="267">
        <v>1146</v>
      </c>
      <c r="K24" s="13"/>
      <c r="L24" s="13"/>
      <c r="M24" s="269">
        <v>3000</v>
      </c>
      <c r="N24" s="112">
        <f t="shared" si="1"/>
        <v>478.99159663865549</v>
      </c>
      <c r="O24" s="5"/>
    </row>
    <row r="25" spans="9:18" x14ac:dyDescent="0.25">
      <c r="I25">
        <v>1147</v>
      </c>
      <c r="J25" s="171">
        <v>1147</v>
      </c>
      <c r="K25" s="112">
        <v>0</v>
      </c>
      <c r="L25" s="112">
        <v>576620</v>
      </c>
      <c r="M25" s="268">
        <v>576620</v>
      </c>
      <c r="N25" s="112">
        <f t="shared" si="1"/>
        <v>92065.378151260506</v>
      </c>
      <c r="O25" s="5"/>
    </row>
    <row r="26" spans="9:18" x14ac:dyDescent="0.25">
      <c r="I26">
        <v>1148</v>
      </c>
      <c r="J26" s="171">
        <v>1148</v>
      </c>
      <c r="K26" s="112">
        <v>0</v>
      </c>
      <c r="L26" s="112">
        <v>306214</v>
      </c>
      <c r="M26" s="268">
        <v>306214</v>
      </c>
      <c r="N26" s="112">
        <f t="shared" si="1"/>
        <v>48891.310924369755</v>
      </c>
      <c r="O26" s="5"/>
    </row>
    <row r="27" spans="9:18" x14ac:dyDescent="0.25">
      <c r="I27">
        <v>1149</v>
      </c>
      <c r="J27" s="171">
        <v>1149</v>
      </c>
      <c r="K27" s="112">
        <v>0</v>
      </c>
      <c r="L27" s="112">
        <v>441301</v>
      </c>
      <c r="M27" s="268">
        <v>441301</v>
      </c>
      <c r="N27" s="112">
        <f t="shared" si="1"/>
        <v>70459.823529411762</v>
      </c>
      <c r="O27" s="5"/>
    </row>
    <row r="28" spans="9:18" x14ac:dyDescent="0.25">
      <c r="I28">
        <v>1150</v>
      </c>
      <c r="J28" s="171">
        <v>1150</v>
      </c>
      <c r="K28" s="112">
        <v>0</v>
      </c>
      <c r="L28" s="112">
        <v>153179</v>
      </c>
      <c r="M28" s="268">
        <v>153179</v>
      </c>
      <c r="N28" s="112">
        <f t="shared" si="1"/>
        <v>24457.151260504204</v>
      </c>
      <c r="O28" s="5"/>
    </row>
    <row r="29" spans="9:18" x14ac:dyDescent="0.25">
      <c r="I29">
        <v>1151</v>
      </c>
      <c r="J29" s="171">
        <v>1151</v>
      </c>
      <c r="K29" s="112">
        <v>0</v>
      </c>
      <c r="L29" s="112">
        <v>76590</v>
      </c>
      <c r="M29" s="268">
        <v>76590</v>
      </c>
      <c r="N29" s="112">
        <f t="shared" si="1"/>
        <v>12228.655462184875</v>
      </c>
      <c r="O29" s="5"/>
    </row>
    <row r="30" spans="9:18" x14ac:dyDescent="0.25">
      <c r="I30">
        <v>1152</v>
      </c>
      <c r="J30" s="171">
        <v>1152</v>
      </c>
      <c r="K30" s="112">
        <v>0</v>
      </c>
      <c r="L30" s="112">
        <v>404891</v>
      </c>
      <c r="M30" s="268">
        <v>404891</v>
      </c>
      <c r="N30" s="112">
        <f t="shared" si="1"/>
        <v>64646.462184873955</v>
      </c>
      <c r="O30" s="5"/>
    </row>
    <row r="31" spans="9:18" x14ac:dyDescent="0.25">
      <c r="I31">
        <v>1153</v>
      </c>
      <c r="J31" s="171">
        <v>1153</v>
      </c>
      <c r="K31" s="112">
        <v>0</v>
      </c>
      <c r="L31" s="112">
        <v>67580</v>
      </c>
      <c r="M31" s="268">
        <v>67580</v>
      </c>
      <c r="N31" s="112">
        <f t="shared" si="1"/>
        <v>10790.084033613446</v>
      </c>
      <c r="O31" s="5"/>
    </row>
    <row r="32" spans="9:18" x14ac:dyDescent="0.25">
      <c r="I32">
        <v>1154</v>
      </c>
      <c r="J32" s="171">
        <v>1154</v>
      </c>
      <c r="K32" s="13"/>
      <c r="L32" s="13"/>
      <c r="M32" s="269">
        <v>18000</v>
      </c>
      <c r="N32" s="112">
        <f t="shared" si="1"/>
        <v>2873.9495798319331</v>
      </c>
      <c r="O32" s="5"/>
    </row>
    <row r="33" spans="9:15" x14ac:dyDescent="0.25">
      <c r="I33">
        <v>1155</v>
      </c>
      <c r="J33" s="171">
        <v>1155</v>
      </c>
      <c r="K33" s="112">
        <v>0</v>
      </c>
      <c r="L33" s="112">
        <v>135158</v>
      </c>
      <c r="M33" s="268">
        <v>135158</v>
      </c>
      <c r="N33" s="112">
        <f t="shared" si="1"/>
        <v>21579.848739495799</v>
      </c>
      <c r="O33" s="5"/>
    </row>
    <row r="34" spans="9:15" x14ac:dyDescent="0.25">
      <c r="I34">
        <v>1156</v>
      </c>
      <c r="J34" s="171">
        <v>1156</v>
      </c>
      <c r="K34" s="112">
        <v>0</v>
      </c>
      <c r="L34" s="112">
        <v>909450</v>
      </c>
      <c r="M34" s="268">
        <v>909450</v>
      </c>
      <c r="N34" s="112">
        <f t="shared" si="1"/>
        <v>145206.30252100842</v>
      </c>
      <c r="O34" s="5"/>
    </row>
    <row r="35" spans="9:15" x14ac:dyDescent="0.25">
      <c r="I35">
        <v>1157</v>
      </c>
      <c r="J35" s="171">
        <v>1157</v>
      </c>
      <c r="K35" s="112">
        <v>0</v>
      </c>
      <c r="L35" s="112">
        <v>575000</v>
      </c>
      <c r="M35" s="268">
        <v>574207</v>
      </c>
      <c r="N35" s="112">
        <f t="shared" si="1"/>
        <v>91680.109243697487</v>
      </c>
      <c r="O35" s="5"/>
    </row>
    <row r="36" spans="9:15" x14ac:dyDescent="0.25">
      <c r="I36">
        <v>1158</v>
      </c>
      <c r="J36" s="171">
        <v>1158</v>
      </c>
      <c r="K36" s="112">
        <v>0</v>
      </c>
      <c r="L36" s="112">
        <v>995257</v>
      </c>
      <c r="M36" s="268">
        <v>995257</v>
      </c>
      <c r="N36" s="112">
        <f t="shared" si="1"/>
        <v>158906.57983193276</v>
      </c>
      <c r="O36" s="5"/>
    </row>
    <row r="37" spans="9:15" x14ac:dyDescent="0.25">
      <c r="I37">
        <v>1159</v>
      </c>
      <c r="J37" s="171">
        <v>1159</v>
      </c>
      <c r="K37" s="112">
        <v>0</v>
      </c>
      <c r="L37" s="112">
        <v>794497</v>
      </c>
      <c r="M37" s="268">
        <v>794497</v>
      </c>
      <c r="N37" s="112">
        <f t="shared" si="1"/>
        <v>126852.46218487396</v>
      </c>
      <c r="O37" s="5"/>
    </row>
    <row r="38" spans="9:15" x14ac:dyDescent="0.25">
      <c r="I38">
        <v>1160</v>
      </c>
      <c r="J38" s="171">
        <v>1160</v>
      </c>
      <c r="K38" s="112">
        <v>0</v>
      </c>
      <c r="L38" s="112">
        <v>580298</v>
      </c>
      <c r="M38" s="268">
        <v>580298</v>
      </c>
      <c r="N38" s="112">
        <f t="shared" si="1"/>
        <v>92652.621848739509</v>
      </c>
      <c r="O38" s="5"/>
    </row>
    <row r="39" spans="9:15" x14ac:dyDescent="0.25">
      <c r="I39">
        <v>1161</v>
      </c>
      <c r="J39" s="171">
        <v>1161</v>
      </c>
      <c r="K39" s="112">
        <v>0</v>
      </c>
      <c r="L39" s="112">
        <v>154490</v>
      </c>
      <c r="M39" s="268">
        <v>154490</v>
      </c>
      <c r="N39" s="112">
        <f t="shared" si="1"/>
        <v>24666.470588235297</v>
      </c>
      <c r="O39" s="5"/>
    </row>
    <row r="40" spans="9:15" x14ac:dyDescent="0.25">
      <c r="I40">
        <v>1162</v>
      </c>
      <c r="J40" s="171">
        <v>1162</v>
      </c>
      <c r="K40" s="112">
        <v>0</v>
      </c>
      <c r="L40" s="112">
        <v>154969</v>
      </c>
      <c r="M40" s="268">
        <v>154696</v>
      </c>
      <c r="N40" s="112">
        <f t="shared" si="1"/>
        <v>24699.361344537814</v>
      </c>
      <c r="O40" s="5"/>
    </row>
    <row r="41" spans="9:15" x14ac:dyDescent="0.25">
      <c r="I41">
        <v>1163</v>
      </c>
      <c r="J41" s="171">
        <v>1163</v>
      </c>
      <c r="K41" s="112">
        <v>0</v>
      </c>
      <c r="L41" s="112">
        <v>290606</v>
      </c>
      <c r="M41" s="268">
        <v>290606</v>
      </c>
      <c r="N41" s="112">
        <f t="shared" si="1"/>
        <v>46399.277310924372</v>
      </c>
      <c r="O41" s="5"/>
    </row>
    <row r="42" spans="9:15" x14ac:dyDescent="0.25">
      <c r="I42">
        <v>1164</v>
      </c>
      <c r="J42" s="267">
        <v>1164</v>
      </c>
      <c r="K42" s="13"/>
      <c r="L42" s="13"/>
      <c r="M42" s="269">
        <v>14000</v>
      </c>
      <c r="N42" s="112">
        <f t="shared" si="1"/>
        <v>2235.294117647059</v>
      </c>
      <c r="O42" s="5"/>
    </row>
    <row r="43" spans="9:15" x14ac:dyDescent="0.25">
      <c r="I43">
        <v>1165</v>
      </c>
      <c r="J43" s="267">
        <v>1165</v>
      </c>
      <c r="K43" s="13"/>
      <c r="L43" s="13"/>
      <c r="M43" s="269">
        <v>7000</v>
      </c>
      <c r="N43" s="112">
        <f t="shared" si="1"/>
        <v>1117.6470588235295</v>
      </c>
      <c r="O43" s="5"/>
    </row>
    <row r="44" spans="9:15" x14ac:dyDescent="0.25">
      <c r="I44">
        <v>1166</v>
      </c>
      <c r="J44" s="267">
        <v>1166</v>
      </c>
      <c r="K44" s="13"/>
      <c r="L44" s="13"/>
      <c r="M44" s="269">
        <v>7000</v>
      </c>
      <c r="N44" s="112">
        <f t="shared" si="1"/>
        <v>1117.6470588235295</v>
      </c>
      <c r="O44" s="5"/>
    </row>
    <row r="45" spans="9:15" x14ac:dyDescent="0.25">
      <c r="I45">
        <v>1167</v>
      </c>
      <c r="J45" s="171">
        <v>1167</v>
      </c>
      <c r="K45" s="112">
        <v>0</v>
      </c>
      <c r="L45" s="112">
        <v>302214</v>
      </c>
      <c r="M45" s="268">
        <v>302214</v>
      </c>
      <c r="N45" s="112">
        <f t="shared" si="1"/>
        <v>48252.655462184877</v>
      </c>
      <c r="O45" s="5"/>
    </row>
    <row r="46" spans="9:15" x14ac:dyDescent="0.25">
      <c r="I46">
        <v>1168</v>
      </c>
      <c r="J46" s="267">
        <v>1168</v>
      </c>
      <c r="K46" s="13"/>
      <c r="L46" s="13"/>
      <c r="M46" s="269">
        <v>6000</v>
      </c>
      <c r="N46" s="112">
        <f t="shared" si="1"/>
        <v>957.98319327731099</v>
      </c>
      <c r="O46" s="5"/>
    </row>
    <row r="47" spans="9:15" x14ac:dyDescent="0.25">
      <c r="I47">
        <v>1169</v>
      </c>
      <c r="J47" s="267">
        <v>1169</v>
      </c>
      <c r="K47" s="13"/>
      <c r="L47" s="13"/>
      <c r="M47" s="269">
        <v>6000</v>
      </c>
      <c r="N47" s="112">
        <f t="shared" si="1"/>
        <v>957.98319327731099</v>
      </c>
      <c r="O47" s="5"/>
    </row>
    <row r="48" spans="9:15" x14ac:dyDescent="0.25">
      <c r="I48">
        <v>1170</v>
      </c>
      <c r="J48" s="267">
        <v>1170</v>
      </c>
      <c r="K48" s="13"/>
      <c r="L48" s="13"/>
      <c r="M48" s="269">
        <v>4000</v>
      </c>
      <c r="N48" s="112">
        <f t="shared" si="1"/>
        <v>638.65546218487407</v>
      </c>
      <c r="O48" s="5"/>
    </row>
    <row r="49" spans="9:15" x14ac:dyDescent="0.25">
      <c r="I49">
        <v>1171</v>
      </c>
      <c r="J49" s="267">
        <v>1171</v>
      </c>
      <c r="K49" s="13"/>
      <c r="L49" s="13"/>
      <c r="M49" s="269">
        <v>4000</v>
      </c>
      <c r="N49" s="112">
        <f t="shared" si="1"/>
        <v>638.65546218487407</v>
      </c>
      <c r="O49" s="5"/>
    </row>
    <row r="50" spans="9:15" x14ac:dyDescent="0.25">
      <c r="I50">
        <v>1172</v>
      </c>
      <c r="J50" s="267">
        <v>1172</v>
      </c>
      <c r="K50" s="13"/>
      <c r="L50" s="13"/>
      <c r="M50" s="269">
        <v>2000</v>
      </c>
      <c r="N50" s="112">
        <f t="shared" si="1"/>
        <v>319.32773109243703</v>
      </c>
      <c r="O50" s="5"/>
    </row>
    <row r="51" spans="9:15" x14ac:dyDescent="0.25">
      <c r="I51">
        <v>1173</v>
      </c>
      <c r="J51" s="171">
        <v>1173</v>
      </c>
      <c r="K51" s="112">
        <v>0</v>
      </c>
      <c r="L51" s="112">
        <v>642598</v>
      </c>
      <c r="M51" s="268">
        <v>642598</v>
      </c>
      <c r="N51" s="112">
        <f t="shared" si="1"/>
        <v>102599.68067226892</v>
      </c>
      <c r="O51" s="5"/>
    </row>
    <row r="52" spans="9:15" x14ac:dyDescent="0.25">
      <c r="I52">
        <v>1174</v>
      </c>
      <c r="J52" s="267">
        <v>1174</v>
      </c>
      <c r="K52" s="13"/>
      <c r="L52" s="13"/>
      <c r="M52" s="269">
        <v>7000</v>
      </c>
      <c r="N52" s="112">
        <f t="shared" si="1"/>
        <v>1117.6470588235295</v>
      </c>
      <c r="O52" s="5"/>
    </row>
    <row r="53" spans="9:15" x14ac:dyDescent="0.25">
      <c r="I53">
        <v>1175</v>
      </c>
      <c r="J53" s="171">
        <v>1175</v>
      </c>
      <c r="K53" s="112">
        <v>0</v>
      </c>
      <c r="L53" s="112">
        <v>607458</v>
      </c>
      <c r="M53" s="268">
        <v>607458</v>
      </c>
      <c r="N53" s="112">
        <f t="shared" si="1"/>
        <v>96989.092436974795</v>
      </c>
      <c r="O53" s="5"/>
    </row>
    <row r="54" spans="9:15" x14ac:dyDescent="0.25">
      <c r="I54">
        <v>1176</v>
      </c>
      <c r="J54" s="267">
        <v>1176</v>
      </c>
      <c r="K54" s="13"/>
      <c r="L54" s="13"/>
      <c r="M54" s="269">
        <v>4000</v>
      </c>
      <c r="N54" s="112">
        <f t="shared" si="1"/>
        <v>638.65546218487407</v>
      </c>
      <c r="O54" s="5"/>
    </row>
    <row r="55" spans="9:15" x14ac:dyDescent="0.25">
      <c r="I55">
        <v>1177</v>
      </c>
      <c r="J55" s="171">
        <v>1177</v>
      </c>
      <c r="K55" s="112">
        <v>0</v>
      </c>
      <c r="L55" s="112">
        <v>584418</v>
      </c>
      <c r="M55" s="268">
        <v>584418</v>
      </c>
      <c r="N55" s="112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70">
        <v>15543486</v>
      </c>
    </row>
    <row r="59" spans="9:15" x14ac:dyDescent="0.25">
      <c r="M59" s="195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3:N28"/>
  <sheetViews>
    <sheetView workbookViewId="0">
      <selection activeCell="C26" sqref="C26:F28"/>
    </sheetView>
  </sheetViews>
  <sheetFormatPr baseColWidth="10" defaultRowHeight="15" x14ac:dyDescent="0.25"/>
  <cols>
    <col min="3" max="11" width="21.85546875" customWidth="1"/>
  </cols>
  <sheetData>
    <row r="3" spans="3:14" x14ac:dyDescent="0.25">
      <c r="G3" s="265"/>
      <c r="I3" s="265"/>
      <c r="K3" s="353"/>
    </row>
    <row r="4" spans="3:14" x14ac:dyDescent="0.25">
      <c r="G4" s="265"/>
      <c r="I4" s="265"/>
      <c r="K4" s="353"/>
    </row>
    <row r="5" spans="3:14" x14ac:dyDescent="0.25">
      <c r="G5" s="265"/>
      <c r="I5" s="265"/>
      <c r="K5" s="353"/>
    </row>
    <row r="6" spans="3:14" x14ac:dyDescent="0.25">
      <c r="G6" s="265"/>
      <c r="I6" s="265"/>
      <c r="K6" s="353"/>
    </row>
    <row r="7" spans="3:14" x14ac:dyDescent="0.25">
      <c r="G7" s="265"/>
      <c r="I7" s="265"/>
      <c r="K7" s="353"/>
    </row>
    <row r="8" spans="3:14" x14ac:dyDescent="0.25">
      <c r="G8" s="265"/>
      <c r="I8" s="265"/>
      <c r="K8" s="353"/>
    </row>
    <row r="9" spans="3:14" x14ac:dyDescent="0.25">
      <c r="G9" s="265"/>
      <c r="I9" s="265"/>
      <c r="K9" s="353"/>
    </row>
    <row r="10" spans="3:14" x14ac:dyDescent="0.25">
      <c r="G10" s="265"/>
      <c r="I10" s="265"/>
      <c r="K10" s="353"/>
    </row>
    <row r="12" spans="3:14" x14ac:dyDescent="0.25">
      <c r="C12" s="45" t="s">
        <v>5</v>
      </c>
      <c r="D12" s="45" t="s">
        <v>25</v>
      </c>
      <c r="E12" s="45" t="s">
        <v>109</v>
      </c>
      <c r="F12" s="45" t="s">
        <v>27</v>
      </c>
      <c r="G12" s="45" t="s">
        <v>28</v>
      </c>
      <c r="H12" s="45" t="s">
        <v>29</v>
      </c>
      <c r="I12" s="45" t="s">
        <v>46</v>
      </c>
      <c r="J12" s="46"/>
      <c r="K12" s="130"/>
    </row>
    <row r="13" spans="3:14" ht="18.75" x14ac:dyDescent="0.3">
      <c r="C13" s="114">
        <v>45048</v>
      </c>
      <c r="D13" s="136" t="s">
        <v>284</v>
      </c>
      <c r="E13" s="87" t="s">
        <v>285</v>
      </c>
      <c r="F13" s="87"/>
      <c r="G13" s="87"/>
      <c r="H13" s="87">
        <v>360</v>
      </c>
      <c r="I13" s="87">
        <v>64522.55</v>
      </c>
      <c r="J13" s="127" t="s">
        <v>107</v>
      </c>
      <c r="K13" s="129"/>
    </row>
    <row r="14" spans="3:14" ht="22.5" x14ac:dyDescent="0.25">
      <c r="C14" s="264">
        <v>45078</v>
      </c>
      <c r="D14" s="265" t="s">
        <v>259</v>
      </c>
      <c r="E14" s="265" t="s">
        <v>745</v>
      </c>
      <c r="F14" s="265">
        <v>62300294414</v>
      </c>
      <c r="G14" s="354">
        <v>0</v>
      </c>
      <c r="H14" s="354">
        <v>6566.71</v>
      </c>
      <c r="I14" s="354">
        <v>56201.79</v>
      </c>
      <c r="L14">
        <f>+VALUE(G14)</f>
        <v>0</v>
      </c>
      <c r="M14">
        <f>+VALUE(H14)</f>
        <v>6566.71</v>
      </c>
      <c r="N14">
        <f>+VALUE(I14)</f>
        <v>56201.79</v>
      </c>
    </row>
    <row r="15" spans="3:14" ht="22.5" x14ac:dyDescent="0.25">
      <c r="C15" s="264">
        <v>45083</v>
      </c>
      <c r="D15" s="265" t="s">
        <v>259</v>
      </c>
      <c r="E15" s="265" t="s">
        <v>746</v>
      </c>
      <c r="F15" s="265">
        <v>62300302794</v>
      </c>
      <c r="G15" s="354">
        <v>0</v>
      </c>
      <c r="H15" s="354">
        <v>401.32</v>
      </c>
      <c r="I15" s="354">
        <v>56603.11</v>
      </c>
      <c r="L15">
        <f t="shared" ref="L15:L21" si="0">+VALUE(G15)</f>
        <v>0</v>
      </c>
      <c r="M15">
        <f t="shared" ref="M15:M21" si="1">+VALUE(H15)</f>
        <v>401.32</v>
      </c>
      <c r="N15">
        <f t="shared" ref="N15:N21" si="2">+VALUE(I15)</f>
        <v>56603.11</v>
      </c>
    </row>
    <row r="16" spans="3:14" ht="22.5" x14ac:dyDescent="0.25">
      <c r="C16" s="264">
        <v>45090</v>
      </c>
      <c r="D16" s="265" t="s">
        <v>259</v>
      </c>
      <c r="E16" s="265" t="s">
        <v>747</v>
      </c>
      <c r="F16" s="265">
        <v>62300316797</v>
      </c>
      <c r="G16" s="354">
        <v>0</v>
      </c>
      <c r="H16" s="354">
        <v>1167.3499999999999</v>
      </c>
      <c r="I16" s="354">
        <v>57770.46</v>
      </c>
      <c r="L16">
        <f t="shared" si="0"/>
        <v>0</v>
      </c>
      <c r="M16">
        <f t="shared" si="1"/>
        <v>1167.3499999999999</v>
      </c>
      <c r="N16">
        <f t="shared" si="2"/>
        <v>57770.46</v>
      </c>
    </row>
    <row r="17" spans="3:14" ht="22.5" x14ac:dyDescent="0.25">
      <c r="C17" s="264">
        <v>45093</v>
      </c>
      <c r="D17" s="265" t="s">
        <v>259</v>
      </c>
      <c r="E17" s="265" t="s">
        <v>748</v>
      </c>
      <c r="F17" s="265">
        <v>62300325526</v>
      </c>
      <c r="G17" s="354">
        <v>0</v>
      </c>
      <c r="H17" s="354">
        <v>572.39</v>
      </c>
      <c r="I17" s="354">
        <v>58342.85</v>
      </c>
      <c r="L17">
        <f t="shared" si="0"/>
        <v>0</v>
      </c>
      <c r="M17">
        <f t="shared" si="1"/>
        <v>572.39</v>
      </c>
      <c r="N17">
        <f t="shared" si="2"/>
        <v>58342.85</v>
      </c>
    </row>
    <row r="18" spans="3:14" ht="22.5" x14ac:dyDescent="0.25">
      <c r="C18" s="264">
        <v>45099</v>
      </c>
      <c r="D18" s="265" t="s">
        <v>259</v>
      </c>
      <c r="E18" s="265" t="s">
        <v>749</v>
      </c>
      <c r="F18" s="265">
        <v>62300333760</v>
      </c>
      <c r="G18" s="354">
        <v>0</v>
      </c>
      <c r="H18" s="354">
        <v>2830.31</v>
      </c>
      <c r="I18" s="354">
        <v>61173.16</v>
      </c>
      <c r="L18">
        <f t="shared" si="0"/>
        <v>0</v>
      </c>
      <c r="M18">
        <f t="shared" si="1"/>
        <v>2830.31</v>
      </c>
      <c r="N18">
        <f t="shared" si="2"/>
        <v>61173.16</v>
      </c>
    </row>
    <row r="19" spans="3:14" ht="22.5" x14ac:dyDescent="0.25">
      <c r="C19" s="264">
        <v>45099</v>
      </c>
      <c r="D19" s="265" t="s">
        <v>259</v>
      </c>
      <c r="E19" s="265" t="s">
        <v>750</v>
      </c>
      <c r="F19" s="265">
        <v>9009098969</v>
      </c>
      <c r="G19" s="354">
        <v>0</v>
      </c>
      <c r="H19" s="354">
        <v>2633.4</v>
      </c>
      <c r="I19" s="354">
        <v>63806.559999999998</v>
      </c>
      <c r="L19">
        <f t="shared" si="0"/>
        <v>0</v>
      </c>
      <c r="M19">
        <f t="shared" si="1"/>
        <v>2633.4</v>
      </c>
      <c r="N19">
        <f t="shared" si="2"/>
        <v>63806.559999999998</v>
      </c>
    </row>
    <row r="20" spans="3:14" ht="22.5" x14ac:dyDescent="0.25">
      <c r="C20" s="264">
        <v>45099</v>
      </c>
      <c r="D20" s="265" t="s">
        <v>259</v>
      </c>
      <c r="E20" s="265" t="s">
        <v>751</v>
      </c>
      <c r="F20" s="265">
        <v>9001600136</v>
      </c>
      <c r="G20" s="354">
        <v>58000</v>
      </c>
      <c r="H20" s="354">
        <v>0</v>
      </c>
      <c r="I20" s="354">
        <v>5806.56</v>
      </c>
      <c r="L20">
        <f t="shared" si="0"/>
        <v>58000</v>
      </c>
      <c r="M20">
        <f t="shared" si="1"/>
        <v>0</v>
      </c>
      <c r="N20">
        <f t="shared" si="2"/>
        <v>5806.56</v>
      </c>
    </row>
    <row r="21" spans="3:14" ht="22.5" x14ac:dyDescent="0.25">
      <c r="C21" s="264">
        <v>45105</v>
      </c>
      <c r="D21" s="265" t="s">
        <v>259</v>
      </c>
      <c r="E21" s="265" t="s">
        <v>752</v>
      </c>
      <c r="F21" s="265">
        <v>62300343693</v>
      </c>
      <c r="G21" s="354">
        <v>0</v>
      </c>
      <c r="H21" s="354">
        <v>2686.18</v>
      </c>
      <c r="I21" s="354">
        <v>8492.74</v>
      </c>
      <c r="L21">
        <f t="shared" si="0"/>
        <v>0</v>
      </c>
      <c r="M21">
        <f t="shared" si="1"/>
        <v>2686.18</v>
      </c>
      <c r="N21">
        <f t="shared" si="2"/>
        <v>8492.74</v>
      </c>
    </row>
    <row r="22" spans="3:14" x14ac:dyDescent="0.25">
      <c r="G22" s="155"/>
      <c r="H22" s="155"/>
      <c r="I22" s="155"/>
    </row>
    <row r="23" spans="3:14" x14ac:dyDescent="0.25">
      <c r="G23" s="155"/>
      <c r="H23" s="155"/>
      <c r="I23" s="155"/>
    </row>
    <row r="25" spans="3:14" ht="15.75" thickBot="1" x14ac:dyDescent="0.3"/>
    <row r="26" spans="3:14" ht="22.5" x14ac:dyDescent="0.25">
      <c r="C26" s="278" t="s">
        <v>755</v>
      </c>
      <c r="D26" s="279">
        <v>45097</v>
      </c>
      <c r="E26" s="280" t="s">
        <v>756</v>
      </c>
      <c r="F26" s="355">
        <v>9.82</v>
      </c>
      <c r="G26" s="280"/>
      <c r="I26" s="313" t="s">
        <v>757</v>
      </c>
    </row>
    <row r="27" spans="3:14" ht="22.5" x14ac:dyDescent="0.25">
      <c r="C27" s="282" t="s">
        <v>758</v>
      </c>
      <c r="D27" s="275">
        <v>45105</v>
      </c>
      <c r="E27" s="274" t="s">
        <v>183</v>
      </c>
      <c r="F27" s="277">
        <v>90</v>
      </c>
      <c r="G27" s="274"/>
      <c r="I27" s="314" t="s">
        <v>759</v>
      </c>
    </row>
    <row r="28" spans="3:14" ht="23.25" thickBot="1" x14ac:dyDescent="0.3">
      <c r="C28" s="206" t="s">
        <v>760</v>
      </c>
      <c r="D28" s="207">
        <v>45108</v>
      </c>
      <c r="E28" s="208" t="s">
        <v>266</v>
      </c>
      <c r="F28" s="209">
        <v>54</v>
      </c>
      <c r="G28" s="208"/>
      <c r="I28" s="315" t="s">
        <v>761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promptTitle="Clases de Costos" xr:uid="{00000000-0002-0000-0A00-000000000000}">
          <x14:formula1>
            <xm:f>'1'!$A$2:$A$20</xm:f>
          </x14:formula1>
          <xm:sqref>J13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9" t="s">
        <v>134</v>
      </c>
    </row>
    <row r="2" spans="1:1" ht="26.25" x14ac:dyDescent="0.4">
      <c r="A2" s="150" t="s">
        <v>136</v>
      </c>
    </row>
    <row r="3" spans="1:1" ht="26.25" x14ac:dyDescent="0.4">
      <c r="A3" s="150" t="s">
        <v>31</v>
      </c>
    </row>
    <row r="4" spans="1:1" ht="26.25" x14ac:dyDescent="0.4">
      <c r="A4" s="150" t="s">
        <v>88</v>
      </c>
    </row>
    <row r="5" spans="1:1" ht="26.25" x14ac:dyDescent="0.4">
      <c r="A5" s="150" t="s">
        <v>135</v>
      </c>
    </row>
    <row r="6" spans="1:1" ht="26.25" x14ac:dyDescent="0.4">
      <c r="A6" s="150" t="s">
        <v>8</v>
      </c>
    </row>
    <row r="7" spans="1:1" ht="26.25" x14ac:dyDescent="0.4">
      <c r="A7" s="151" t="s">
        <v>137</v>
      </c>
    </row>
    <row r="8" spans="1:1" ht="26.25" x14ac:dyDescent="0.4">
      <c r="A8" s="150" t="s">
        <v>139</v>
      </c>
    </row>
    <row r="9" spans="1:1" ht="26.25" x14ac:dyDescent="0.4">
      <c r="A9" s="150" t="s">
        <v>138</v>
      </c>
    </row>
    <row r="10" spans="1:1" ht="26.25" x14ac:dyDescent="0.4">
      <c r="A10" s="151" t="s">
        <v>24</v>
      </c>
    </row>
    <row r="11" spans="1:1" ht="26.25" x14ac:dyDescent="0.4">
      <c r="A11" s="150" t="s">
        <v>11</v>
      </c>
    </row>
    <row r="12" spans="1:1" ht="26.25" x14ac:dyDescent="0.4">
      <c r="A12" s="150" t="s">
        <v>19</v>
      </c>
    </row>
    <row r="13" spans="1:1" ht="26.25" x14ac:dyDescent="0.4">
      <c r="A13" s="150" t="s">
        <v>140</v>
      </c>
    </row>
    <row r="14" spans="1:1" ht="26.25" x14ac:dyDescent="0.4">
      <c r="A14" s="150" t="s">
        <v>30</v>
      </c>
    </row>
    <row r="15" spans="1:1" ht="26.25" x14ac:dyDescent="0.4">
      <c r="A15" s="150" t="s">
        <v>106</v>
      </c>
    </row>
    <row r="16" spans="1:1" ht="26.25" x14ac:dyDescent="0.4">
      <c r="A16" s="150" t="s">
        <v>107</v>
      </c>
    </row>
    <row r="17" spans="1:1" ht="26.25" x14ac:dyDescent="0.4">
      <c r="A17" s="150" t="s">
        <v>141</v>
      </c>
    </row>
    <row r="18" spans="1:1" ht="26.25" x14ac:dyDescent="0.4">
      <c r="A18" s="150" t="s">
        <v>142</v>
      </c>
    </row>
    <row r="19" spans="1:1" ht="26.25" x14ac:dyDescent="0.4">
      <c r="A19" s="151" t="s">
        <v>158</v>
      </c>
    </row>
    <row r="20" spans="1:1" ht="21.6" customHeight="1" x14ac:dyDescent="0.4">
      <c r="A20" s="151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B00-000000000000}">
      <formula1>$A$2:$A$18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103</v>
      </c>
      <c r="D3" t="s">
        <v>105</v>
      </c>
      <c r="E3" t="s">
        <v>120</v>
      </c>
      <c r="F3" s="155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5">
        <v>4684019</v>
      </c>
      <c r="G4" t="s">
        <v>166</v>
      </c>
    </row>
    <row r="5" spans="2:7" x14ac:dyDescent="0.25">
      <c r="F5" s="155">
        <f>SUM(F3:F4)</f>
        <v>6501470</v>
      </c>
    </row>
    <row r="6" spans="2:7" x14ac:dyDescent="0.25">
      <c r="E6" t="s">
        <v>82</v>
      </c>
      <c r="F6" s="155">
        <f>+F5/1.19</f>
        <v>5463420.1680672271</v>
      </c>
    </row>
    <row r="7" spans="2:7" x14ac:dyDescent="0.25">
      <c r="E7" t="s">
        <v>83</v>
      </c>
      <c r="F7" s="155">
        <f>+F6*0.19</f>
        <v>1038049.8319327731</v>
      </c>
    </row>
    <row r="8" spans="2:7" x14ac:dyDescent="0.25">
      <c r="F8" s="15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EERR</vt:lpstr>
      <vt:lpstr>Jun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Hoja1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2024-01-07T21:46:53Z</dcterms:modified>
</cp:coreProperties>
</file>