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a\Desktop\"/>
    </mc:Choice>
  </mc:AlternateContent>
  <xr:revisionPtr revIDLastSave="0" documentId="13_ncr:1_{EA922ACE-CCEE-43C1-8FF7-3921AA474186}" xr6:coauthVersionLast="45" xr6:coauthVersionMax="45" xr10:uidLastSave="{00000000-0000-0000-0000-000000000000}"/>
  <bookViews>
    <workbookView xWindow="-110" yWindow="-110" windowWidth="19420" windowHeight="10420" activeTab="6" xr2:uid="{AC18377A-BBE5-4B74-8DD9-2D6FA3457B60}"/>
  </bookViews>
  <sheets>
    <sheet name="Mortgage" sheetId="1" r:id="rId1"/>
    <sheet name="Invoice" sheetId="2" r:id="rId2"/>
    <sheet name="Movies" sheetId="8" r:id="rId3"/>
    <sheet name="Estimates" sheetId="4" r:id="rId4"/>
    <sheet name="Commissions" sheetId="9" r:id="rId5"/>
    <sheet name="Forecasting" sheetId="6" r:id="rId6"/>
    <sheet name="Charting" sheetId="10" r:id="rId7"/>
  </sheets>
  <definedNames>
    <definedName name="Associate">Commissions!$A$24:$A$28</definedName>
    <definedName name="Borrowed_Amount">Mortgage!$C$4</definedName>
    <definedName name="BorrowedAmount">Mortgage!$C$4</definedName>
    <definedName name="Captured">Forecasting!$D$4</definedName>
    <definedName name="Captured_Period">Forecasting!$D$4</definedName>
    <definedName name="Commission">Commissions!$C$4:$C$19</definedName>
    <definedName name="CommissionEarned">Commissions!$D$24:$D$28</definedName>
    <definedName name="CommissionLookup">Commissions!$E$4:$F$10</definedName>
    <definedName name="Deposit">Mortgage!$C$5</definedName>
    <definedName name="Discount">Invoice!$E$5:$E$8</definedName>
    <definedName name="Discount_Rate">Invoice!$B$14</definedName>
    <definedName name="Discount_Threshold">Invoice!$C$14</definedName>
    <definedName name="Enders">Commissions!$A$24</definedName>
    <definedName name="ExternalData_1" localSheetId="4" hidden="1">Commissions!$A$1:$C$19</definedName>
    <definedName name="ExternalData_1" localSheetId="2" hidden="1">Movies!$A$1:$F$11</definedName>
    <definedName name="FM">Mortgage!$F$4</definedName>
    <definedName name="Forrest">Commissions!$A$25</definedName>
    <definedName name="HST_Rate">Invoice!$D$14</definedName>
    <definedName name="Interest_Rate">Mortgage!$C$7</definedName>
    <definedName name="InterestRt">Mortgage!$C$7</definedName>
    <definedName name="Irons">Commissions!$A$26</definedName>
    <definedName name="Karim">Commissions!$A$27</definedName>
    <definedName name="List_Price__Unit">Invoice!$D$5:$D$8</definedName>
    <definedName name="MarketGrowth">Forecasting!$D$5</definedName>
    <definedName name="Name">Commissions!$A$4:$A$19</definedName>
    <definedName name="New_Clients">Forecasting!$B$9</definedName>
    <definedName name="Ordered">Estimates!$F$2</definedName>
    <definedName name="P.Associate">Commissions!$B$32</definedName>
    <definedName name="P.TotalSales">Commissions!$A$32</definedName>
    <definedName name="Payment">Mortgage!$F$5</definedName>
    <definedName name="Performer_Total__Sales">Commissions!$A$32</definedName>
    <definedName name="Period">Forecasting!$A$9</definedName>
    <definedName name="POMTotalSales">Commissions!$A$32</definedName>
    <definedName name="Price">Estimates!$E$4:$E$6</definedName>
    <definedName name="PropertiesSold">Commissions!$B$24:$B$28</definedName>
    <definedName name="Qiu">Commissions!$A$28</definedName>
    <definedName name="Qty">Estimates!$C$4:$C$6</definedName>
    <definedName name="Quantity">Invoice!$C$5:$C$8</definedName>
    <definedName name="SalePrice">Commissions!$B$4:$B$19</definedName>
    <definedName name="Sales_Price__Unit">Invoice!$F$5:$F$8</definedName>
    <definedName name="Subtotal">Invoice!$G$11</definedName>
    <definedName name="Table_Headings">Top10Movies[#Headers]</definedName>
    <definedName name="Term">Mortgage!$C$6</definedName>
    <definedName name="Term__Yrs">Mortgage!$C$6</definedName>
    <definedName name="TOP_Associate">Commissions!$B$32</definedName>
    <definedName name="Total">Invoice!$G$5:$G$8</definedName>
    <definedName name="Total_Clients">Forecasting!$C$9</definedName>
    <definedName name="Total_Interests">Mortgage!$F$7</definedName>
    <definedName name="Total_Payments">Mortgage!$F$6</definedName>
    <definedName name="TotalEstimates">Estimates!$F$4:$F$6</definedName>
    <definedName name="TotalMarketPotential">Forecasting!$D$3</definedName>
    <definedName name="TotalPayments">Mortgage!$F$6</definedName>
    <definedName name="TotalSales">Commissions!$C$24:$C$28</definedName>
    <definedName name="TotInterests">Mortgage!$F$7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8" l="1"/>
  <c r="F17" i="8"/>
  <c r="F18" i="8"/>
  <c r="F20" i="8"/>
  <c r="F16" i="8"/>
  <c r="E11" i="1"/>
  <c r="D11" i="1"/>
  <c r="B11" i="1"/>
  <c r="F5" i="1"/>
  <c r="F4" i="1"/>
  <c r="D32" i="9"/>
  <c r="C32" i="9"/>
  <c r="B32" i="9"/>
  <c r="C24" i="9"/>
  <c r="C25" i="9"/>
  <c r="C26" i="9"/>
  <c r="C27" i="9"/>
  <c r="C28" i="9"/>
  <c r="B25" i="9"/>
  <c r="B26" i="9"/>
  <c r="B27" i="9"/>
  <c r="B28" i="9"/>
  <c r="B24" i="9"/>
  <c r="D24" i="9"/>
  <c r="F7" i="4"/>
  <c r="C7" i="4"/>
  <c r="F4" i="4"/>
  <c r="G55" i="6"/>
  <c r="G43" i="6"/>
  <c r="G29" i="6"/>
  <c r="G24" i="6"/>
  <c r="G12" i="6"/>
  <c r="G11" i="6"/>
  <c r="H11" i="6" s="1"/>
  <c r="C61" i="6"/>
  <c r="C48" i="6"/>
  <c r="C24" i="6"/>
  <c r="C13" i="6"/>
  <c r="C12" i="6"/>
  <c r="C11" i="6"/>
  <c r="B11" i="6" l="1"/>
  <c r="C4" i="9" l="1"/>
  <c r="C5" i="9"/>
  <c r="F11" i="6"/>
  <c r="F12" i="6" l="1"/>
  <c r="B12" i="6"/>
  <c r="B13" i="6" s="1"/>
  <c r="H12" i="6" l="1"/>
  <c r="F13" i="6"/>
  <c r="B14" i="6"/>
  <c r="C14" i="6" s="1"/>
  <c r="G13" i="6" l="1"/>
  <c r="H13" i="6" s="1"/>
  <c r="G14" i="6" s="1"/>
  <c r="F14" i="6"/>
  <c r="B15" i="6"/>
  <c r="C15" i="6" s="1"/>
  <c r="F15" i="6" l="1"/>
  <c r="F16" i="6" s="1"/>
  <c r="H14" i="6" l="1"/>
  <c r="G15" i="6" s="1"/>
  <c r="F17" i="6"/>
  <c r="F18" i="6" s="1"/>
  <c r="B16" i="6"/>
  <c r="C16" i="6" l="1"/>
  <c r="B17" i="6" s="1"/>
  <c r="C17" i="6" s="1"/>
  <c r="B18" i="6" s="1"/>
  <c r="C18" i="6" s="1"/>
  <c r="H15" i="6"/>
  <c r="F19" i="6"/>
  <c r="F20" i="6" s="1"/>
  <c r="F21" i="6" s="1"/>
  <c r="F22" i="6" s="1"/>
  <c r="F23" i="6" s="1"/>
  <c r="G16" i="6" l="1"/>
  <c r="H16" i="6" s="1"/>
  <c r="G17" i="6" s="1"/>
  <c r="H17" i="6" s="1"/>
  <c r="G18" i="6" s="1"/>
  <c r="F24" i="6"/>
  <c r="F25" i="6" s="1"/>
  <c r="B19" i="6"/>
  <c r="C19" i="6" s="1"/>
  <c r="F26" i="6" l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H18" i="6"/>
  <c r="G19" i="6" s="1"/>
  <c r="H19" i="6" l="1"/>
  <c r="G20" i="6" s="1"/>
  <c r="B20" i="6"/>
  <c r="C20" i="6" l="1"/>
  <c r="B21" i="6" s="1"/>
  <c r="C21" i="6" s="1"/>
  <c r="B22" i="6" s="1"/>
  <c r="C22" i="6" s="1"/>
  <c r="H20" i="6"/>
  <c r="G21" i="6" s="1"/>
  <c r="H21" i="6" l="1"/>
  <c r="G22" i="6" s="1"/>
  <c r="B23" i="6"/>
  <c r="C23" i="6" s="1"/>
  <c r="H22" i="6" l="1"/>
  <c r="G23" i="6" s="1"/>
  <c r="B24" i="6"/>
  <c r="H23" i="6" l="1"/>
  <c r="B25" i="6"/>
  <c r="C25" i="6" s="1"/>
  <c r="B26" i="6" l="1"/>
  <c r="C26" i="6" s="1"/>
  <c r="H24" i="6" l="1"/>
  <c r="G25" i="6" s="1"/>
  <c r="B27" i="6"/>
  <c r="C27" i="6" s="1"/>
  <c r="H25" i="6" l="1"/>
  <c r="B28" i="6"/>
  <c r="C28" i="6" s="1"/>
  <c r="G26" i="6" l="1"/>
  <c r="H26" i="6" s="1"/>
  <c r="B29" i="6"/>
  <c r="C29" i="6" s="1"/>
  <c r="G27" i="6" l="1"/>
  <c r="H27" i="6" s="1"/>
  <c r="B30" i="6"/>
  <c r="G28" i="6" l="1"/>
  <c r="H28" i="6" s="1"/>
  <c r="H29" i="6" s="1"/>
  <c r="C30" i="6"/>
  <c r="B31" i="6" s="1"/>
  <c r="C31" i="6" s="1"/>
  <c r="B32" i="6" s="1"/>
  <c r="C32" i="6" s="1"/>
  <c r="G30" i="6" l="1"/>
  <c r="H30" i="6" s="1"/>
  <c r="B33" i="6"/>
  <c r="C33" i="6" s="1"/>
  <c r="G31" i="6" l="1"/>
  <c r="H31" i="6" s="1"/>
  <c r="B34" i="6"/>
  <c r="C34" i="6" s="1"/>
  <c r="H32" i="6" l="1"/>
  <c r="G32" i="6"/>
  <c r="B35" i="6"/>
  <c r="C35" i="6" s="1"/>
  <c r="H33" i="6" l="1"/>
  <c r="G33" i="6"/>
  <c r="B36" i="6"/>
  <c r="C36" i="6" s="1"/>
  <c r="G34" i="6" l="1"/>
  <c r="H34" i="6" s="1"/>
  <c r="B37" i="6"/>
  <c r="C37" i="6" s="1"/>
  <c r="G35" i="6" l="1"/>
  <c r="H35" i="6" s="1"/>
  <c r="B38" i="6"/>
  <c r="C38" i="6" s="1"/>
  <c r="G36" i="6" l="1"/>
  <c r="H36" i="6" s="1"/>
  <c r="B39" i="6"/>
  <c r="C39" i="6" s="1"/>
  <c r="G37" i="6" l="1"/>
  <c r="H37" i="6" s="1"/>
  <c r="B40" i="6"/>
  <c r="C40" i="6" s="1"/>
  <c r="G38" i="6" l="1"/>
  <c r="H38" i="6" s="1"/>
  <c r="B41" i="6"/>
  <c r="C41" i="6" s="1"/>
  <c r="G39" i="6" l="1"/>
  <c r="H39" i="6" s="1"/>
  <c r="B42" i="6"/>
  <c r="C42" i="6" s="1"/>
  <c r="G40" i="6" l="1"/>
  <c r="H40" i="6" s="1"/>
  <c r="B43" i="6"/>
  <c r="C43" i="6" s="1"/>
  <c r="G41" i="6" l="1"/>
  <c r="H41" i="6" s="1"/>
  <c r="B44" i="6"/>
  <c r="C44" i="6" s="1"/>
  <c r="G42" i="6" l="1"/>
  <c r="H42" i="6" s="1"/>
  <c r="H43" i="6" s="1"/>
  <c r="B45" i="6"/>
  <c r="C45" i="6" s="1"/>
  <c r="G44" i="6" l="1"/>
  <c r="H44" i="6" s="1"/>
  <c r="B46" i="6"/>
  <c r="C46" i="6" s="1"/>
  <c r="G45" i="6" l="1"/>
  <c r="H45" i="6" s="1"/>
  <c r="B47" i="6"/>
  <c r="C47" i="6" s="1"/>
  <c r="G46" i="6" l="1"/>
  <c r="H46" i="6" s="1"/>
  <c r="B48" i="6"/>
  <c r="G47" i="6" l="1"/>
  <c r="H47" i="6" s="1"/>
  <c r="B49" i="6"/>
  <c r="C49" i="6" s="1"/>
  <c r="G48" i="6" l="1"/>
  <c r="H48" i="6" s="1"/>
  <c r="B50" i="6"/>
  <c r="C50" i="6" s="1"/>
  <c r="G49" i="6" l="1"/>
  <c r="H49" i="6" s="1"/>
  <c r="B51" i="6"/>
  <c r="C51" i="6" s="1"/>
  <c r="G50" i="6" l="1"/>
  <c r="H50" i="6" s="1"/>
  <c r="B52" i="6"/>
  <c r="C52" i="6" s="1"/>
  <c r="G51" i="6" l="1"/>
  <c r="H51" i="6" s="1"/>
  <c r="B53" i="6"/>
  <c r="C53" i="6" s="1"/>
  <c r="G52" i="6" l="1"/>
  <c r="H52" i="6" s="1"/>
  <c r="B54" i="6"/>
  <c r="C54" i="6" s="1"/>
  <c r="G53" i="6" l="1"/>
  <c r="H53" i="6" s="1"/>
  <c r="B55" i="6"/>
  <c r="C55" i="6" s="1"/>
  <c r="G54" i="6" l="1"/>
  <c r="H54" i="6" s="1"/>
  <c r="H55" i="6" s="1"/>
  <c r="B56" i="6"/>
  <c r="C56" i="6" s="1"/>
  <c r="G56" i="6" l="1"/>
  <c r="H56" i="6" s="1"/>
  <c r="B57" i="6"/>
  <c r="C57" i="6" s="1"/>
  <c r="G57" i="6" l="1"/>
  <c r="H57" i="6" s="1"/>
  <c r="B58" i="6"/>
  <c r="C58" i="6" s="1"/>
  <c r="G58" i="6" l="1"/>
  <c r="H58" i="6" s="1"/>
  <c r="B59" i="6"/>
  <c r="C59" i="6" s="1"/>
  <c r="G59" i="6" l="1"/>
  <c r="H59" i="6" s="1"/>
  <c r="B60" i="6"/>
  <c r="C60" i="6" s="1"/>
  <c r="G60" i="6" l="1"/>
  <c r="H60" i="6" s="1"/>
  <c r="B61" i="6"/>
  <c r="G61" i="6" l="1"/>
  <c r="H61" i="6" s="1"/>
  <c r="B62" i="6"/>
  <c r="C62" i="6" s="1"/>
  <c r="G62" i="6" l="1"/>
  <c r="H62" i="6" s="1"/>
  <c r="B63" i="6"/>
  <c r="C63" i="6" s="1"/>
  <c r="G63" i="6" l="1"/>
  <c r="H63" i="6" s="1"/>
  <c r="B64" i="6"/>
  <c r="C64" i="6" s="1"/>
  <c r="G64" i="6" l="1"/>
  <c r="H64" i="6" s="1"/>
  <c r="B65" i="6"/>
  <c r="C65" i="6" s="1"/>
  <c r="H65" i="6" l="1"/>
  <c r="G65" i="6"/>
  <c r="B66" i="6"/>
  <c r="C66" i="6" s="1"/>
  <c r="G66" i="6" l="1"/>
  <c r="H66" i="6" s="1"/>
  <c r="B67" i="6"/>
  <c r="C67" i="6" s="1"/>
  <c r="G67" i="6" l="1"/>
  <c r="H67" i="6" s="1"/>
  <c r="B68" i="6"/>
  <c r="C68" i="6" s="1"/>
  <c r="H68" i="6" l="1"/>
  <c r="G68" i="6"/>
  <c r="B69" i="6"/>
  <c r="C69" i="6" s="1"/>
  <c r="C6" i="9"/>
  <c r="F6" i="1"/>
  <c r="F7" i="1" s="1"/>
  <c r="C11" i="1"/>
  <c r="D25" i="9"/>
  <c r="D26" i="9"/>
  <c r="D27" i="9"/>
  <c r="D28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A32" i="9"/>
  <c r="G69" i="6" l="1"/>
  <c r="H69" i="6" s="1"/>
  <c r="B70" i="6"/>
  <c r="C70" i="6" s="1"/>
  <c r="E5" i="2"/>
  <c r="G70" i="6" l="1"/>
  <c r="H70" i="6" s="1"/>
  <c r="E7" i="2"/>
  <c r="F7" i="2" s="1"/>
  <c r="G7" i="2" s="1"/>
  <c r="E8" i="2"/>
  <c r="F8" i="2" s="1"/>
  <c r="G8" i="2" s="1"/>
  <c r="E6" i="2"/>
  <c r="F6" i="2" s="1"/>
  <c r="G6" i="2" s="1"/>
  <c r="C4" i="4" l="1"/>
  <c r="C5" i="4"/>
  <c r="F5" i="4" s="1"/>
  <c r="C6" i="4"/>
  <c r="F6" i="4" l="1"/>
  <c r="F5" i="2"/>
  <c r="G5" i="2" s="1"/>
  <c r="G11" i="2" s="1"/>
  <c r="G12" i="2" l="1"/>
  <c r="G1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68682-6AAB-4E6B-B48C-6453739D5A76}" keepAlive="1" name="Query - MonthlySales2" description="Connection to the 'MonthlySales2' query in the workbook." type="5" refreshedVersion="6" background="1" saveData="1">
    <dbPr connection="Provider=Microsoft.Mashup.OleDb.1;Data Source=$Workbook$;Location=MonthlySales2;Extended Properties=&quot;&quot;" command="SELECT * FROM [MonthlySales2]"/>
  </connection>
  <connection id="2" xr16:uid="{CAF446DD-BD98-46B2-B75A-C4087359EAA5}" keepAlive="1" name="Query - MonthlySales2 (2)" description="Connection to the 'MonthlySales2 (2)' query in the workbook." type="5" refreshedVersion="6" background="1">
    <dbPr connection="Provider=Microsoft.Mashup.OleDb.1;Data Source=$Workbook$;Location=MonthlySales2 (2);Extended Properties=&quot;&quot;" command="SELECT * FROM [MonthlySales2 (2)]"/>
  </connection>
  <connection id="3" xr16:uid="{8AA60BFA-59DF-477F-9FC6-BF5A6B580FB2}" keepAlive="1" name="Query - Top10Movies" description="Connection to the 'Top10Movies' query in the workbook." type="5" refreshedVersion="6" background="1" saveData="1">
    <dbPr connection="Provider=Microsoft.Mashup.OleDb.1;Data Source=$Workbook$;Location=Top10Movies;Extended Properties=&quot;&quot;" command="SELECT * FROM [Top10Movies]"/>
  </connection>
</connections>
</file>

<file path=xl/sharedStrings.xml><?xml version="1.0" encoding="utf-8"?>
<sst xmlns="http://schemas.openxmlformats.org/spreadsheetml/2006/main" count="149" uniqueCount="107">
  <si>
    <t>Result</t>
  </si>
  <si>
    <t>Financed Amount</t>
  </si>
  <si>
    <t>Payment (Month)</t>
  </si>
  <si>
    <t>Total Payments</t>
  </si>
  <si>
    <t>Total Interests</t>
  </si>
  <si>
    <t>Mortgage Calculator</t>
  </si>
  <si>
    <t>Initial Assumptions</t>
  </si>
  <si>
    <t>Borrowed Amount</t>
  </si>
  <si>
    <t>Deposit</t>
  </si>
  <si>
    <t>Term (Yrs)</t>
  </si>
  <si>
    <t>Interest Rate</t>
  </si>
  <si>
    <t>Monthly Payment</t>
  </si>
  <si>
    <t>Invoice</t>
  </si>
  <si>
    <t>Sales Invoice</t>
  </si>
  <si>
    <t>Item</t>
  </si>
  <si>
    <t>Printer Ink</t>
  </si>
  <si>
    <t>Paper Pack</t>
  </si>
  <si>
    <t>File Folders</t>
  </si>
  <si>
    <t>USB Sticks</t>
  </si>
  <si>
    <t>Quantity</t>
  </si>
  <si>
    <t>Discount</t>
  </si>
  <si>
    <t>Total</t>
  </si>
  <si>
    <t>List Price
/Unit</t>
  </si>
  <si>
    <t>Sales Price
/Unit</t>
  </si>
  <si>
    <t>Discount_Threshold</t>
  </si>
  <si>
    <t>HST_Rate</t>
  </si>
  <si>
    <t>Discount Rate</t>
  </si>
  <si>
    <t>Subtotal</t>
  </si>
  <si>
    <t>HST</t>
  </si>
  <si>
    <t>Amount Due</t>
  </si>
  <si>
    <t>Rank</t>
  </si>
  <si>
    <t>Title</t>
  </si>
  <si>
    <t>Genre</t>
  </si>
  <si>
    <t>Director(s)</t>
  </si>
  <si>
    <t>Rating</t>
  </si>
  <si>
    <t>Year</t>
  </si>
  <si>
    <t>The Shawshank Redemption</t>
  </si>
  <si>
    <t>Crime, Drama</t>
  </si>
  <si>
    <t>Frank Darabont</t>
  </si>
  <si>
    <t>The Godfather</t>
  </si>
  <si>
    <t>Francis Ford Coppola</t>
  </si>
  <si>
    <t>The Godfather: Part II</t>
  </si>
  <si>
    <t>The Dark Knight</t>
  </si>
  <si>
    <t>Action, Crime, Drama</t>
  </si>
  <si>
    <t>Christopher Nolan</t>
  </si>
  <si>
    <t>12 Angry Men</t>
  </si>
  <si>
    <t>Drama</t>
  </si>
  <si>
    <t>Sidney Lumet</t>
  </si>
  <si>
    <t>Schindler's List</t>
  </si>
  <si>
    <t>Biography, Drama, History</t>
  </si>
  <si>
    <t>Steven Spielberg</t>
  </si>
  <si>
    <t>The Lord of the Rings: The Return of the King</t>
  </si>
  <si>
    <t>Adventure, Drama, Fantasy</t>
  </si>
  <si>
    <t>Peter Jackson</t>
  </si>
  <si>
    <t>Pulp Fiction</t>
  </si>
  <si>
    <t>Quentin Tarantino</t>
  </si>
  <si>
    <t>The Good, The Bad and The Ugly</t>
  </si>
  <si>
    <t>Western</t>
  </si>
  <si>
    <t>Sergio Leone</t>
  </si>
  <si>
    <t>Fight Club</t>
  </si>
  <si>
    <t>David Fincher</t>
  </si>
  <si>
    <t>Enter Rank # to Search</t>
  </si>
  <si>
    <t>Info</t>
  </si>
  <si>
    <t>Purchase Price Schedule</t>
  </si>
  <si>
    <t>Ordered:</t>
  </si>
  <si>
    <t>Tier1:</t>
  </si>
  <si>
    <t>Tier2:</t>
  </si>
  <si>
    <t>Tier3:</t>
  </si>
  <si>
    <t>Qty</t>
  </si>
  <si>
    <t>@</t>
  </si>
  <si>
    <t>Price</t>
  </si>
  <si>
    <t>Total Price:</t>
  </si>
  <si>
    <t>Purchase Estimates:</t>
  </si>
  <si>
    <t>Total:</t>
  </si>
  <si>
    <t>First 1000 Ltrs.</t>
  </si>
  <si>
    <t>Next 3000 Ltrs.</t>
  </si>
  <si>
    <t>Above 4000 Ltrs.</t>
  </si>
  <si>
    <t>Commissions Lookup</t>
  </si>
  <si>
    <t>PriceRanges</t>
  </si>
  <si>
    <t>Commissions</t>
  </si>
  <si>
    <t>Monthly Sales:</t>
  </si>
  <si>
    <t/>
  </si>
  <si>
    <t>Name</t>
  </si>
  <si>
    <t>SalePrice</t>
  </si>
  <si>
    <t>Commission</t>
  </si>
  <si>
    <t>Qiu</t>
  </si>
  <si>
    <t>Enders</t>
  </si>
  <si>
    <t>Irons</t>
  </si>
  <si>
    <t>Forrest</t>
  </si>
  <si>
    <t>Karim</t>
  </si>
  <si>
    <t>Performance table</t>
  </si>
  <si>
    <t>Associate</t>
  </si>
  <si>
    <t>TOP Performer of the Month</t>
  </si>
  <si>
    <t>Properties 
Sold</t>
  </si>
  <si>
    <t>Total 
Sales</t>
  </si>
  <si>
    <t>Commission 
Earned</t>
  </si>
  <si>
    <t>Properites 
Sold</t>
  </si>
  <si>
    <t>Forecasting and Charting</t>
  </si>
  <si>
    <t>Total Market Potential</t>
  </si>
  <si>
    <t>% remaining captured/period</t>
  </si>
  <si>
    <t>Market growth/period</t>
  </si>
  <si>
    <t>Period</t>
  </si>
  <si>
    <t>New_Clients</t>
  </si>
  <si>
    <t>Total_Clients</t>
  </si>
  <si>
    <t>Scenario 1: Constant Market</t>
  </si>
  <si>
    <t>Scenario 2: Growing Market</t>
  </si>
  <si>
    <t>Total_Market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</si>
</sst>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EB7B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6B606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NumberFormat="1"/>
    <xf numFmtId="2" fontId="0" fillId="0" borderId="0" xfId="0" applyNumberFormat="1"/>
    <xf numFmtId="166" fontId="0" fillId="0" borderId="0" xfId="3" applyNumberFormat="1" applyFont="1"/>
    <xf numFmtId="166" fontId="0" fillId="0" borderId="0" xfId="3" applyNumberFormat="1" applyFont="1" applyAlignment="1">
      <alignment horizontal="right"/>
    </xf>
    <xf numFmtId="0" fontId="0" fillId="0" borderId="0" xfId="0" applyFont="1"/>
    <xf numFmtId="0" fontId="3" fillId="0" borderId="0" xfId="0" applyFont="1"/>
    <xf numFmtId="0" fontId="3" fillId="0" borderId="1" xfId="0" applyFont="1" applyBorder="1"/>
    <xf numFmtId="164" fontId="3" fillId="2" borderId="1" xfId="1" applyNumberFormat="1" applyFont="1" applyFill="1" applyBorder="1"/>
    <xf numFmtId="164" fontId="3" fillId="3" borderId="1" xfId="1" applyNumberFormat="1" applyFont="1" applyFill="1" applyBorder="1"/>
    <xf numFmtId="1" fontId="3" fillId="2" borderId="1" xfId="0" applyNumberFormat="1" applyFont="1" applyFill="1" applyBorder="1"/>
    <xf numFmtId="10" fontId="3" fillId="2" borderId="1" xfId="2" applyNumberFormat="1" applyFont="1" applyFill="1" applyBorder="1"/>
    <xf numFmtId="0" fontId="3" fillId="4" borderId="4" xfId="0" applyFont="1" applyFill="1" applyBorder="1"/>
    <xf numFmtId="10" fontId="3" fillId="0" borderId="5" xfId="0" applyNumberFormat="1" applyFont="1" applyBorder="1"/>
    <xf numFmtId="164" fontId="3" fillId="0" borderId="5" xfId="1" applyNumberFormat="1" applyFont="1" applyBorder="1"/>
    <xf numFmtId="0" fontId="3" fillId="0" borderId="1" xfId="0" applyFont="1" applyBorder="1" applyAlignment="1">
      <alignment horizontal="left" vertical="center"/>
    </xf>
    <xf numFmtId="0" fontId="0" fillId="0" borderId="0" xfId="0" applyFont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10" fontId="0" fillId="4" borderId="1" xfId="2" applyNumberFormat="1" applyFont="1" applyFill="1" applyBorder="1" applyAlignment="1">
      <alignment horizontal="center"/>
    </xf>
    <xf numFmtId="2" fontId="0" fillId="4" borderId="0" xfId="0" applyNumberFormat="1" applyFont="1" applyFill="1"/>
    <xf numFmtId="2" fontId="0" fillId="4" borderId="1" xfId="0" applyNumberFormat="1" applyFont="1" applyFill="1" applyBorder="1"/>
    <xf numFmtId="0" fontId="3" fillId="5" borderId="6" xfId="0" applyFont="1" applyFill="1" applyBorder="1" applyAlignment="1">
      <alignment horizontal="right"/>
    </xf>
    <xf numFmtId="2" fontId="0" fillId="5" borderId="1" xfId="0" applyNumberFormat="1" applyFont="1" applyFill="1" applyBorder="1"/>
    <xf numFmtId="0" fontId="3" fillId="5" borderId="7" xfId="0" applyFont="1" applyFill="1" applyBorder="1" applyAlignment="1">
      <alignment horizontal="right"/>
    </xf>
    <xf numFmtId="0" fontId="0" fillId="5" borderId="4" xfId="0" applyFont="1" applyFill="1" applyBorder="1"/>
    <xf numFmtId="0" fontId="0" fillId="3" borderId="1" xfId="0" applyFont="1" applyFill="1" applyBorder="1"/>
    <xf numFmtId="0" fontId="3" fillId="5" borderId="7" xfId="0" applyFont="1" applyFill="1" applyBorder="1"/>
    <xf numFmtId="0" fontId="0" fillId="5" borderId="5" xfId="0" applyFont="1" applyFill="1" applyBorder="1"/>
    <xf numFmtId="10" fontId="0" fillId="3" borderId="1" xfId="2" applyNumberFormat="1" applyFont="1" applyFill="1" applyBorder="1"/>
    <xf numFmtId="0" fontId="2" fillId="3" borderId="1" xfId="0" applyFont="1" applyFill="1" applyBorder="1"/>
    <xf numFmtId="9" fontId="0" fillId="3" borderId="1" xfId="2" applyFont="1" applyFill="1" applyBorder="1"/>
    <xf numFmtId="0" fontId="3" fillId="5" borderId="5" xfId="0" applyFont="1" applyFill="1" applyBorder="1" applyAlignment="1">
      <alignment horizontal="right"/>
    </xf>
    <xf numFmtId="0" fontId="0" fillId="0" borderId="0" xfId="0" applyNumberFormat="1" applyFont="1"/>
    <xf numFmtId="0" fontId="6" fillId="0" borderId="13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0" borderId="1" xfId="0" applyFont="1" applyBorder="1" applyAlignment="1">
      <alignment horizontal="left"/>
    </xf>
    <xf numFmtId="0" fontId="5" fillId="0" borderId="0" xfId="0" applyFont="1"/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8" borderId="1" xfId="0" applyFont="1" applyFill="1" applyBorder="1"/>
    <xf numFmtId="43" fontId="0" fillId="8" borderId="1" xfId="3" applyFont="1" applyFill="1" applyBorder="1"/>
    <xf numFmtId="0" fontId="0" fillId="8" borderId="1" xfId="0" applyFont="1" applyFill="1" applyBorder="1" applyAlignment="1">
      <alignment horizontal="center"/>
    </xf>
    <xf numFmtId="2" fontId="0" fillId="8" borderId="1" xfId="0" applyNumberFormat="1" applyFont="1" applyFill="1" applyBorder="1"/>
    <xf numFmtId="43" fontId="0" fillId="8" borderId="1" xfId="3" applyFont="1" applyFill="1" applyBorder="1" applyAlignment="1">
      <alignment horizontal="right" wrapText="1"/>
    </xf>
    <xf numFmtId="43" fontId="0" fillId="3" borderId="1" xfId="3" applyFont="1" applyFill="1" applyBorder="1"/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/>
    <xf numFmtId="43" fontId="0" fillId="3" borderId="1" xfId="3" applyFont="1" applyFill="1" applyBorder="1" applyAlignment="1">
      <alignment horizontal="right" wrapText="1"/>
    </xf>
    <xf numFmtId="0" fontId="0" fillId="9" borderId="1" xfId="0" applyFont="1" applyFill="1" applyBorder="1"/>
    <xf numFmtId="43" fontId="0" fillId="9" borderId="4" xfId="3" applyFont="1" applyFill="1" applyBorder="1" applyAlignment="1">
      <alignment horizontal="right"/>
    </xf>
    <xf numFmtId="0" fontId="0" fillId="9" borderId="4" xfId="0" applyFont="1" applyFill="1" applyBorder="1" applyAlignment="1">
      <alignment horizontal="center"/>
    </xf>
    <xf numFmtId="2" fontId="0" fillId="9" borderId="4" xfId="0" applyNumberFormat="1" applyFont="1" applyFill="1" applyBorder="1"/>
    <xf numFmtId="43" fontId="0" fillId="9" borderId="4" xfId="3" applyFont="1" applyFill="1" applyBorder="1" applyAlignment="1">
      <alignment horizontal="right" wrapText="1"/>
    </xf>
    <xf numFmtId="0" fontId="0" fillId="11" borderId="5" xfId="0" applyFont="1" applyFill="1" applyBorder="1" applyAlignment="1">
      <alignment horizontal="right"/>
    </xf>
    <xf numFmtId="43" fontId="0" fillId="11" borderId="5" xfId="3" applyFont="1" applyFill="1" applyBorder="1" applyAlignment="1">
      <alignment horizontal="right" wrapText="1"/>
    </xf>
    <xf numFmtId="0" fontId="0" fillId="0" borderId="0" xfId="0" applyFont="1" applyAlignment="1">
      <alignment horizontal="center" vertical="center"/>
    </xf>
    <xf numFmtId="3" fontId="0" fillId="6" borderId="1" xfId="3" applyNumberFormat="1" applyFont="1" applyFill="1" applyBorder="1"/>
    <xf numFmtId="165" fontId="0" fillId="5" borderId="1" xfId="2" applyNumberFormat="1" applyFont="1" applyFill="1" applyBorder="1"/>
    <xf numFmtId="0" fontId="3" fillId="10" borderId="1" xfId="0" applyFont="1" applyFill="1" applyBorder="1"/>
    <xf numFmtId="0" fontId="3" fillId="10" borderId="1" xfId="0" applyFont="1" applyFill="1" applyBorder="1" applyAlignment="1">
      <alignment horizontal="center" wrapText="1"/>
    </xf>
    <xf numFmtId="0" fontId="0" fillId="0" borderId="1" xfId="0" applyFont="1" applyBorder="1"/>
    <xf numFmtId="166" fontId="0" fillId="9" borderId="1" xfId="3" applyNumberFormat="1" applyFont="1" applyFill="1" applyBorder="1"/>
    <xf numFmtId="166" fontId="0" fillId="0" borderId="1" xfId="3" applyNumberFormat="1" applyFont="1" applyBorder="1"/>
    <xf numFmtId="0" fontId="3" fillId="12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2" fontId="0" fillId="0" borderId="1" xfId="0" applyNumberFormat="1" applyFont="1" applyBorder="1"/>
    <xf numFmtId="10" fontId="3" fillId="10" borderId="1" xfId="0" applyNumberFormat="1" applyFont="1" applyFill="1" applyBorder="1"/>
    <xf numFmtId="166" fontId="0" fillId="0" borderId="0" xfId="3" applyNumberFormat="1" applyFont="1" applyBorder="1"/>
    <xf numFmtId="166" fontId="0" fillId="0" borderId="17" xfId="3" applyNumberFormat="1" applyFont="1" applyBorder="1"/>
    <xf numFmtId="0" fontId="2" fillId="0" borderId="0" xfId="0" applyFont="1"/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43" fontId="0" fillId="10" borderId="14" xfId="3" applyFont="1" applyFill="1" applyBorder="1" applyAlignment="1">
      <alignment wrapText="1"/>
    </xf>
    <xf numFmtId="43" fontId="0" fillId="10" borderId="15" xfId="3" applyFont="1" applyFill="1" applyBorder="1" applyAlignment="1">
      <alignment wrapText="1"/>
    </xf>
    <xf numFmtId="0" fontId="3" fillId="7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0" borderId="1" xfId="0" applyFont="1" applyFill="1" applyBorder="1" applyAlignment="1">
      <alignment horizontal="right"/>
    </xf>
    <xf numFmtId="0" fontId="3" fillId="13" borderId="10" xfId="0" applyFont="1" applyFill="1" applyBorder="1" applyAlignment="1">
      <alignment horizontal="center"/>
    </xf>
    <xf numFmtId="0" fontId="0" fillId="0" borderId="0" xfId="3" applyNumberFormat="1" applyFont="1" applyBorder="1"/>
    <xf numFmtId="0" fontId="0" fillId="0" borderId="0" xfId="3" applyNumberFormat="1" applyFont="1"/>
    <xf numFmtId="0" fontId="0" fillId="0" borderId="0" xfId="3" applyNumberFormat="1" applyFont="1" applyFill="1" applyBorder="1"/>
    <xf numFmtId="166" fontId="0" fillId="2" borderId="1" xfId="3" applyNumberFormat="1" applyFont="1" applyFill="1" applyBorder="1"/>
    <xf numFmtId="49" fontId="0" fillId="0" borderId="8" xfId="3" applyNumberFormat="1" applyFont="1" applyBorder="1"/>
    <xf numFmtId="49" fontId="0" fillId="0" borderId="0" xfId="3" applyNumberFormat="1" applyFont="1" applyBorder="1"/>
    <xf numFmtId="49" fontId="0" fillId="0" borderId="17" xfId="3" applyNumberFormat="1" applyFont="1" applyBorder="1"/>
    <xf numFmtId="49" fontId="3" fillId="0" borderId="1" xfId="0" applyNumberFormat="1" applyFont="1" applyBorder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66FF"/>
      <color rgb="FF3333CC"/>
      <color rgb="FFAFAFFF"/>
      <color rgb="FFB6B606"/>
      <color rgb="FFFEB7B0"/>
      <color rgb="FFFEA2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5-Year</a:t>
            </a:r>
            <a:r>
              <a:rPr lang="en-US" b="1" baseline="0"/>
              <a:t> Client Growth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Constant Market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Forecasting!$A$10:$A$70</c:f>
              <c:numCache>
                <c:formatCode>@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Forecasting!$C$10:$C$70</c:f>
              <c:numCache>
                <c:formatCode>_(* #,##0_);_(* \(#,##0\);_(* "-"??_);_(@_)</c:formatCode>
                <c:ptCount val="61"/>
                <c:pt idx="0" formatCode="General">
                  <c:v>0</c:v>
                </c:pt>
                <c:pt idx="1">
                  <c:v>107000</c:v>
                </c:pt>
                <c:pt idx="2">
                  <c:v>212855.09999999998</c:v>
                </c:pt>
                <c:pt idx="3">
                  <c:v>317577.55042999994</c:v>
                </c:pt>
                <c:pt idx="4">
                  <c:v>421179.47064039891</c:v>
                </c:pt>
                <c:pt idx="5">
                  <c:v>523672.85030454665</c:v>
                </c:pt>
                <c:pt idx="6">
                  <c:v>625069.55080628803</c:v>
                </c:pt>
                <c:pt idx="7">
                  <c:v>725381.30661266076</c:v>
                </c:pt>
                <c:pt idx="8">
                  <c:v>824619.7266319053</c:v>
                </c:pt>
                <c:pt idx="9">
                  <c:v>922796.29555694386</c:v>
                </c:pt>
                <c:pt idx="10">
                  <c:v>1019922.3751944846</c:v>
                </c:pt>
                <c:pt idx="11">
                  <c:v>1116009.2057799036</c:v>
                </c:pt>
                <c:pt idx="12">
                  <c:v>1211067.9072780586</c:v>
                </c:pt>
                <c:pt idx="13">
                  <c:v>1305109.4806701834</c:v>
                </c:pt>
                <c:pt idx="14">
                  <c:v>1398144.8092270126</c:v>
                </c:pt>
                <c:pt idx="15">
                  <c:v>1490184.6597682836</c:v>
                </c:pt>
                <c:pt idx="16">
                  <c:v>1581239.6839087629</c:v>
                </c:pt>
                <c:pt idx="17">
                  <c:v>1671320.4192909391</c:v>
                </c:pt>
                <c:pt idx="18">
                  <c:v>1760437.2908045261</c:v>
                </c:pt>
                <c:pt idx="19">
                  <c:v>1848600.6117929176</c:v>
                </c:pt>
                <c:pt idx="20">
                  <c:v>1935820.5852467334</c:v>
                </c:pt>
                <c:pt idx="21">
                  <c:v>2022107.3049845933</c:v>
                </c:pt>
                <c:pt idx="22">
                  <c:v>2107470.756821258</c:v>
                </c:pt>
                <c:pt idx="23">
                  <c:v>2191920.8197232704</c:v>
                </c:pt>
                <c:pt idx="24">
                  <c:v>2275467.2669522315</c:v>
                </c:pt>
                <c:pt idx="25">
                  <c:v>2358119.7671958427</c:v>
                </c:pt>
                <c:pt idx="26">
                  <c:v>2439887.8856868474</c:v>
                </c:pt>
                <c:pt idx="27">
                  <c:v>2520781.0853099981</c:v>
                </c:pt>
                <c:pt idx="28">
                  <c:v>2600808.727697181</c:v>
                </c:pt>
                <c:pt idx="29">
                  <c:v>2679980.074310821</c:v>
                </c:pt>
                <c:pt idx="30">
                  <c:v>2758304.2875156952</c:v>
                </c:pt>
                <c:pt idx="31">
                  <c:v>2835790.4316392774</c:v>
                </c:pt>
                <c:pt idx="32">
                  <c:v>2912447.4740207372</c:v>
                </c:pt>
                <c:pt idx="33">
                  <c:v>2988284.2860487155</c:v>
                </c:pt>
                <c:pt idx="34">
                  <c:v>3063309.6441879943</c:v>
                </c:pt>
                <c:pt idx="35">
                  <c:v>3137532.2309951829</c:v>
                </c:pt>
                <c:pt idx="36">
                  <c:v>3210960.6361235343</c:v>
                </c:pt>
                <c:pt idx="37">
                  <c:v>3283603.3573170123</c:v>
                </c:pt>
                <c:pt idx="38">
                  <c:v>3355468.8013937203</c:v>
                </c:pt>
                <c:pt idx="39">
                  <c:v>3426565.2852188074</c:v>
                </c:pt>
                <c:pt idx="40">
                  <c:v>3496901.036666966</c:v>
                </c:pt>
                <c:pt idx="41">
                  <c:v>3566484.1955746296</c:v>
                </c:pt>
                <c:pt idx="42">
                  <c:v>3635322.8146819812</c:v>
                </c:pt>
                <c:pt idx="43">
                  <c:v>3703424.8605648838</c:v>
                </c:pt>
                <c:pt idx="44">
                  <c:v>3770798.2145568393</c:v>
                </c:pt>
                <c:pt idx="45">
                  <c:v>3837450.6736610811</c:v>
                </c:pt>
                <c:pt idx="46">
                  <c:v>3903389.9514529076</c:v>
                </c:pt>
                <c:pt idx="47">
                  <c:v>3968623.6789723616</c:v>
                </c:pt>
                <c:pt idx="48">
                  <c:v>4033159.4056073572</c:v>
                </c:pt>
                <c:pt idx="49">
                  <c:v>4097004.5999673586</c:v>
                </c:pt>
                <c:pt idx="50">
                  <c:v>4160166.650747708</c:v>
                </c:pt>
                <c:pt idx="51">
                  <c:v>4222652.8675847072</c:v>
                </c:pt>
                <c:pt idx="52">
                  <c:v>4284470.4819015507</c:v>
                </c:pt>
                <c:pt idx="53">
                  <c:v>4345626.6477452042</c:v>
                </c:pt>
                <c:pt idx="54">
                  <c:v>4406128.4426143309</c:v>
                </c:pt>
                <c:pt idx="55">
                  <c:v>4465982.8682783572</c:v>
                </c:pt>
                <c:pt idx="56">
                  <c:v>4525196.8515877789</c:v>
                </c:pt>
                <c:pt idx="57">
                  <c:v>4583777.2452757899</c:v>
                </c:pt>
                <c:pt idx="58">
                  <c:v>4641730.8287513386</c:v>
                </c:pt>
                <c:pt idx="59">
                  <c:v>4699064.3088836996</c:v>
                </c:pt>
                <c:pt idx="60">
                  <c:v>4755784.3207786437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5-439D-B278-68C72CD6AC1C}"/>
            </c:ext>
          </c:extLst>
        </c:ser>
        <c:ser>
          <c:idx val="1"/>
          <c:order val="1"/>
          <c:tx>
            <c:v>Growing Market</c:v>
          </c:tx>
          <c:spPr>
            <a:ln w="28575" cap="rnd">
              <a:solidFill>
                <a:srgbClr val="6666FF"/>
              </a:solidFill>
              <a:round/>
            </a:ln>
            <a:effectLst/>
          </c:spPr>
          <c:marker>
            <c:symbol val="none"/>
          </c:marker>
          <c:cat>
            <c:numRef>
              <c:f>Forecasting!$A$10:$A$70</c:f>
              <c:numCache>
                <c:formatCode>@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Forecasting!$H$10:$H$70</c:f>
              <c:numCache>
                <c:formatCode>_(* #,##0_);_(* \(#,##0\);_(* "-"??_);_(@_)</c:formatCode>
                <c:ptCount val="61"/>
                <c:pt idx="0" formatCode="General">
                  <c:v>0</c:v>
                </c:pt>
                <c:pt idx="1">
                  <c:v>107000</c:v>
                </c:pt>
                <c:pt idx="2">
                  <c:v>213122.59999999998</c:v>
                </c:pt>
                <c:pt idx="3">
                  <c:v>318377.85693000001</c:v>
                </c:pt>
                <c:pt idx="4">
                  <c:v>422775.72178272402</c:v>
                </c:pt>
                <c:pt idx="5">
                  <c:v>526326.04075132858</c:v>
                </c:pt>
                <c:pt idx="6">
                  <c:v>629038.5563549482</c:v>
                </c:pt>
                <c:pt idx="7">
                  <c:v>730922.90855220822</c:v>
                </c:pt>
                <c:pt idx="8">
                  <c:v>831988.6358428332</c:v>
                </c:pt>
                <c:pt idx="9">
                  <c:v>932245.17635747883</c:v>
                </c:pt>
                <c:pt idx="10">
                  <c:v>1031701.8689359132</c:v>
                </c:pt>
                <c:pt idx="11">
                  <c:v>1130367.9541936719</c:v>
                </c:pt>
                <c:pt idx="12">
                  <c:v>1228252.575577311</c:v>
                </c:pt>
                <c:pt idx="13">
                  <c:v>1325364.7804083789</c:v>
                </c:pt>
                <c:pt idx="14">
                  <c:v>1421713.5209162289</c:v>
                </c:pt>
                <c:pt idx="15">
                  <c:v>1517307.6552597904</c:v>
                </c:pt>
                <c:pt idx="16">
                  <c:v>1612155.9485384191</c:v>
                </c:pt>
                <c:pt idx="17">
                  <c:v>1706267.0737919414</c:v>
                </c:pt>
                <c:pt idx="18">
                  <c:v>1799649.6129900082</c:v>
                </c:pt>
                <c:pt idx="19">
                  <c:v>1892312.0580108748</c:v>
                </c:pt>
                <c:pt idx="20">
                  <c:v>1984262.8116097176</c:v>
                </c:pt>
                <c:pt idx="21">
                  <c:v>2075510.1883766018</c:v>
                </c:pt>
                <c:pt idx="22">
                  <c:v>2166062.4156842078</c:v>
                </c:pt>
                <c:pt idx="23">
                  <c:v>2255927.6346254307</c:v>
                </c:pt>
                <c:pt idx="24">
                  <c:v>2345113.9009409552</c:v>
                </c:pt>
                <c:pt idx="25">
                  <c:v>2433629.1859369185</c:v>
                </c:pt>
                <c:pt idx="26">
                  <c:v>2521481.3773927651</c:v>
                </c:pt>
                <c:pt idx="27">
                  <c:v>2608678.2804593975</c:v>
                </c:pt>
                <c:pt idx="28">
                  <c:v>2695227.6185477288</c:v>
                </c:pt>
                <c:pt idx="29">
                  <c:v>2781137.034207738</c:v>
                </c:pt>
                <c:pt idx="30">
                  <c:v>2866414.0899981316</c:v>
                </c:pt>
                <c:pt idx="31">
                  <c:v>2951066.2693467089</c:v>
                </c:pt>
                <c:pt idx="32">
                  <c:v>3035100.9774015355</c:v>
                </c:pt>
                <c:pt idx="33">
                  <c:v>3118525.5418730173</c:v>
                </c:pt>
                <c:pt idx="34">
                  <c:v>3201347.2138669784</c:v>
                </c:pt>
                <c:pt idx="35">
                  <c:v>3283573.1687088343</c:v>
                </c:pt>
                <c:pt idx="36">
                  <c:v>3365210.5067589576</c:v>
                </c:pt>
                <c:pt idx="37">
                  <c:v>3446266.2542193332</c:v>
                </c:pt>
                <c:pt idx="38">
                  <c:v>3526747.3639315893</c:v>
                </c:pt>
                <c:pt idx="39">
                  <c:v>3606660.7161665051</c:v>
                </c:pt>
                <c:pt idx="40">
                  <c:v>3686013.1194050801</c:v>
                </c:pt>
                <c:pt idx="41">
                  <c:v>3764811.311111256</c:v>
                </c:pt>
                <c:pt idx="42">
                  <c:v>3843061.9584963853</c:v>
                </c:pt>
                <c:pt idx="43">
                  <c:v>3920771.659275529</c:v>
                </c:pt>
                <c:pt idx="44">
                  <c:v>3997946.9424156733</c:v>
                </c:pt>
                <c:pt idx="45">
                  <c:v>4074594.2688759542</c:v>
                </c:pt>
                <c:pt idx="46">
                  <c:v>4150720.0323399701</c:v>
                </c:pt>
                <c:pt idx="47">
                  <c:v>4226330.5599402739</c:v>
                </c:pt>
                <c:pt idx="48">
                  <c:v>4301432.1129751205</c:v>
                </c:pt>
                <c:pt idx="49">
                  <c:v>4376030.8876175592</c:v>
                </c:pt>
                <c:pt idx="50">
                  <c:v>4450133.0156169524</c:v>
                </c:pt>
                <c:pt idx="51">
                  <c:v>4523744.5649929941</c:v>
                </c:pt>
                <c:pt idx="52">
                  <c:v>4596871.5407223199</c:v>
                </c:pt>
                <c:pt idx="53">
                  <c:v>4669519.885417779</c:v>
                </c:pt>
                <c:pt idx="54">
                  <c:v>4741695.4800004493</c:v>
                </c:pt>
                <c:pt idx="55">
                  <c:v>4813404.1443644771</c:v>
                </c:pt>
                <c:pt idx="56">
                  <c:v>4884651.6380348094</c:v>
                </c:pt>
                <c:pt idx="57">
                  <c:v>4955443.6608179072</c:v>
                </c:pt>
                <c:pt idx="58">
                  <c:v>5025785.8534455011</c:v>
                </c:pt>
                <c:pt idx="59">
                  <c:v>5095683.7982114749</c:v>
                </c:pt>
                <c:pt idx="60">
                  <c:v>5165143.0196019476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5-439D-B278-68C72CD6A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595184"/>
        <c:axId val="1721388672"/>
      </c:lineChart>
      <c:catAx>
        <c:axId val="187859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3886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213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59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120650</xdr:rowOff>
    </xdr:from>
    <xdr:to>
      <xdr:col>9</xdr:col>
      <xdr:colOff>368300</xdr:colOff>
      <xdr:row>13</xdr:row>
      <xdr:rowOff>21996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E9BA7-317E-4DAB-9C81-5E7D12404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3DD473-97E5-4073-8F28-975B294CA4BB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Title" tableColumnId="2"/>
      <queryTableField id="3" name="Genre" tableColumnId="3"/>
      <queryTableField id="4" name="Director(s)" tableColumnId="4"/>
      <queryTableField id="5" name="Rating" tableColumnId="5"/>
      <queryTableField id="6" name="Yea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8D4282-725B-4A89-87BA-6D7C2CDFCA3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0A55C-20B0-4D50-AB5E-BD0F2CC58A5C}" name="Top10Movies" displayName="Top10Movies" ref="A1:F11" tableType="queryTable" totalsRowShown="0">
  <autoFilter ref="A1:F11" xr:uid="{092D3ADB-BDFC-42AA-8105-DEBA043B42E6}"/>
  <tableColumns count="6">
    <tableColumn id="1" xr3:uid="{C4544088-330B-4AF7-B7E3-BE52922D999E}" uniqueName="1" name="Rank" queryTableFieldId="1"/>
    <tableColumn id="2" xr3:uid="{22DBCCA0-D4B1-4BAC-8166-E0A5B44C1617}" uniqueName="2" name="Title" queryTableFieldId="2" dataDxfId="9"/>
    <tableColumn id="3" xr3:uid="{423B92A3-C77B-4018-B615-1318E6FFFCB8}" uniqueName="3" name="Genre" queryTableFieldId="3" dataDxfId="8"/>
    <tableColumn id="4" xr3:uid="{50801C66-6B84-4951-A710-528C83B28459}" uniqueName="4" name="Director(s)" queryTableFieldId="4" dataDxfId="7"/>
    <tableColumn id="5" xr3:uid="{7863B347-2577-48A9-A995-2577AB5FD70E}" uniqueName="5" name="Rating" queryTableFieldId="5" dataDxfId="6"/>
    <tableColumn id="6" xr3:uid="{DD3A22B2-0401-4B71-BC75-78943FCB3A9D}" uniqueName="6" name="Year" queryTableFieldId="6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93577-542F-4194-8496-D196228253D2}" name="MonthlySales2" displayName="MonthlySales2" ref="A1:C19" tableType="queryTable" totalsRowShown="0" headerRowDxfId="4" dataDxfId="3">
  <autoFilter ref="A1:C19" xr:uid="{37A24DFE-3D35-44E5-8A86-29AD7FE03BF5}"/>
  <tableColumns count="3">
    <tableColumn id="1" xr3:uid="{351909D4-C713-4DF9-9F38-0197A43806A3}" uniqueName="1" name="Name" queryTableFieldId="1" dataDxfId="2"/>
    <tableColumn id="2" xr3:uid="{91855DDB-E870-4D33-BA20-0EAB6B58BA31}" uniqueName="2" name="SalePrice" queryTableFieldId="2" dataDxfId="1"/>
    <tableColumn id="3" xr3:uid="{A4F17C3D-3409-4678-80C1-BC6972A332E7}" uniqueName="3" name="Commission" queryTableFieldId="3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5F63-0F79-4C4E-B641-158B36D98733}">
  <dimension ref="A1:F13"/>
  <sheetViews>
    <sheetView workbookViewId="0">
      <selection activeCell="F11" sqref="F11"/>
    </sheetView>
  </sheetViews>
  <sheetFormatPr defaultRowHeight="14.5" x14ac:dyDescent="0.35"/>
  <cols>
    <col min="1" max="1" width="9" customWidth="1"/>
    <col min="2" max="2" width="17.36328125" customWidth="1"/>
    <col min="3" max="3" width="21.81640625" customWidth="1"/>
    <col min="4" max="4" width="16.36328125" customWidth="1"/>
    <col min="5" max="5" width="18.90625" customWidth="1"/>
    <col min="6" max="6" width="26.7265625" customWidth="1"/>
  </cols>
  <sheetData>
    <row r="1" spans="1:6" ht="18.5" x14ac:dyDescent="0.45">
      <c r="A1" s="5"/>
      <c r="B1" s="74" t="s">
        <v>5</v>
      </c>
      <c r="C1" s="74"/>
      <c r="D1" s="74"/>
      <c r="E1" s="74"/>
      <c r="F1" s="74"/>
    </row>
    <row r="2" spans="1:6" ht="15" thickBot="1" x14ac:dyDescent="0.4">
      <c r="A2" s="5"/>
      <c r="B2" s="5"/>
      <c r="C2" s="5"/>
      <c r="D2" s="5"/>
      <c r="E2" s="5"/>
      <c r="F2" s="5"/>
    </row>
    <row r="3" spans="1:6" x14ac:dyDescent="0.35">
      <c r="A3" s="5"/>
      <c r="B3" s="75" t="s">
        <v>6</v>
      </c>
      <c r="C3" s="76"/>
      <c r="D3" s="6"/>
      <c r="E3" s="77" t="s">
        <v>0</v>
      </c>
      <c r="F3" s="78"/>
    </row>
    <row r="4" spans="1:6" x14ac:dyDescent="0.35">
      <c r="A4" s="5"/>
      <c r="B4" s="7" t="s">
        <v>7</v>
      </c>
      <c r="C4" s="8">
        <v>400000</v>
      </c>
      <c r="D4" s="6"/>
      <c r="E4" s="7" t="s">
        <v>1</v>
      </c>
      <c r="F4" s="9">
        <f>Borrowed_Amount-Deposit</f>
        <v>360000</v>
      </c>
    </row>
    <row r="5" spans="1:6" x14ac:dyDescent="0.35">
      <c r="A5" s="5"/>
      <c r="B5" s="7" t="s">
        <v>8</v>
      </c>
      <c r="C5" s="8">
        <v>40000</v>
      </c>
      <c r="D5" s="6"/>
      <c r="E5" s="7" t="s">
        <v>2</v>
      </c>
      <c r="F5" s="9">
        <f>IFERROR(PMT(Interest_Rate/12,Term*12,-Borrowed_Amount--Deposit),0)</f>
        <v>1286.0764107020495</v>
      </c>
    </row>
    <row r="6" spans="1:6" x14ac:dyDescent="0.35">
      <c r="A6" s="5"/>
      <c r="B6" s="7" t="s">
        <v>9</v>
      </c>
      <c r="C6" s="10">
        <v>30</v>
      </c>
      <c r="D6" s="6"/>
      <c r="E6" s="7" t="s">
        <v>3</v>
      </c>
      <c r="F6" s="9">
        <f>IFERROR(Payment*Term*12,0)</f>
        <v>462987.50785273779</v>
      </c>
    </row>
    <row r="7" spans="1:6" x14ac:dyDescent="0.35">
      <c r="A7" s="5"/>
      <c r="B7" s="7" t="s">
        <v>10</v>
      </c>
      <c r="C7" s="11">
        <v>1.7500000000000002E-2</v>
      </c>
      <c r="D7" s="6"/>
      <c r="E7" s="7" t="s">
        <v>4</v>
      </c>
      <c r="F7" s="9">
        <f>IFERROR(TotalPayments-FM,0)</f>
        <v>102987.50785273779</v>
      </c>
    </row>
    <row r="8" spans="1:6" x14ac:dyDescent="0.35">
      <c r="A8" s="5"/>
      <c r="B8" s="6"/>
      <c r="C8" s="6"/>
      <c r="D8" s="6"/>
      <c r="E8" s="6"/>
      <c r="F8" s="6"/>
    </row>
    <row r="9" spans="1:6" ht="19.5" customHeight="1" x14ac:dyDescent="0.35">
      <c r="A9" s="5"/>
      <c r="B9" s="6"/>
      <c r="C9" s="6"/>
      <c r="D9" s="6"/>
      <c r="E9" s="6"/>
      <c r="F9" s="6"/>
    </row>
    <row r="10" spans="1:6" ht="16.5" customHeight="1" thickBot="1" x14ac:dyDescent="0.4">
      <c r="A10" s="5"/>
      <c r="B10" s="12" t="s">
        <v>10</v>
      </c>
      <c r="C10" s="12" t="s">
        <v>11</v>
      </c>
      <c r="D10" s="12" t="s">
        <v>3</v>
      </c>
      <c r="E10" s="12" t="s">
        <v>4</v>
      </c>
      <c r="F10" s="6"/>
    </row>
    <row r="11" spans="1:6" x14ac:dyDescent="0.35">
      <c r="A11" s="5"/>
      <c r="B11" s="13">
        <f>Interest_Rate</f>
        <v>1.7500000000000002E-2</v>
      </c>
      <c r="C11" s="14">
        <f>Payment</f>
        <v>1286.0764107020495</v>
      </c>
      <c r="D11" s="14">
        <f>Total_Payments</f>
        <v>462987.50785273779</v>
      </c>
      <c r="E11" s="14">
        <f>Total_Interests</f>
        <v>102987.50785273779</v>
      </c>
      <c r="F11" s="6"/>
    </row>
    <row r="12" spans="1:6" x14ac:dyDescent="0.35">
      <c r="A12" s="5"/>
      <c r="B12" s="5"/>
      <c r="C12" s="5"/>
      <c r="D12" s="5"/>
      <c r="E12" s="5"/>
      <c r="F12" s="5"/>
    </row>
    <row r="13" spans="1:6" x14ac:dyDescent="0.35">
      <c r="A13" s="5"/>
      <c r="B13" s="5"/>
      <c r="C13" s="5"/>
      <c r="D13" s="5"/>
      <c r="E13" s="5"/>
      <c r="F13" s="5"/>
    </row>
  </sheetData>
  <mergeCells count="3">
    <mergeCell ref="B1:F1"/>
    <mergeCell ref="B3:C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E7A7-A9DF-4962-877C-5838E8649127}">
  <dimension ref="A1:I16"/>
  <sheetViews>
    <sheetView workbookViewId="0">
      <selection activeCell="H8" sqref="H8"/>
    </sheetView>
  </sheetViews>
  <sheetFormatPr defaultRowHeight="14.5" x14ac:dyDescent="0.35"/>
  <cols>
    <col min="2" max="2" width="14.90625" customWidth="1"/>
    <col min="3" max="3" width="22.6328125" customWidth="1"/>
    <col min="4" max="4" width="14" customWidth="1"/>
    <col min="6" max="6" width="13.90625" customWidth="1"/>
    <col min="7" max="7" width="11.08984375" customWidth="1"/>
  </cols>
  <sheetData>
    <row r="1" spans="1:9" x14ac:dyDescent="0.35">
      <c r="A1" s="6" t="s">
        <v>12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5"/>
      <c r="B2" s="5"/>
      <c r="C2" s="5"/>
      <c r="D2" s="5"/>
      <c r="E2" s="5"/>
      <c r="F2" s="5"/>
      <c r="G2" s="5"/>
      <c r="H2" s="5"/>
      <c r="I2" s="5"/>
    </row>
    <row r="3" spans="1:9" x14ac:dyDescent="0.35">
      <c r="A3" s="5"/>
      <c r="B3" s="15" t="s">
        <v>13</v>
      </c>
      <c r="C3" s="16"/>
      <c r="D3" s="16"/>
      <c r="E3" s="16"/>
      <c r="F3" s="16"/>
      <c r="G3" s="16"/>
      <c r="H3" s="5"/>
      <c r="I3" s="5"/>
    </row>
    <row r="4" spans="1:9" ht="29" x14ac:dyDescent="0.35">
      <c r="A4" s="5"/>
      <c r="B4" s="17" t="s">
        <v>14</v>
      </c>
      <c r="C4" s="18" t="s">
        <v>19</v>
      </c>
      <c r="D4" s="19" t="s">
        <v>22</v>
      </c>
      <c r="E4" s="18" t="s">
        <v>20</v>
      </c>
      <c r="F4" s="19" t="s">
        <v>23</v>
      </c>
      <c r="G4" s="18" t="s">
        <v>21</v>
      </c>
      <c r="H4" s="5"/>
      <c r="I4" s="5"/>
    </row>
    <row r="5" spans="1:9" x14ac:dyDescent="0.35">
      <c r="A5" s="5"/>
      <c r="B5" s="20" t="s">
        <v>15</v>
      </c>
      <c r="C5" s="20">
        <v>36</v>
      </c>
      <c r="D5" s="20">
        <v>38.99</v>
      </c>
      <c r="E5" s="21" t="str">
        <f>IF(Quantity&gt;=Discount_Threshold,Discount_Rate,"")</f>
        <v/>
      </c>
      <c r="F5" s="20">
        <f>IF(ISNUMBER(E5),D5-(D5*E5),D5)</f>
        <v>38.99</v>
      </c>
      <c r="G5" s="20">
        <f>Quantity*Sales_Price__Unit</f>
        <v>1403.64</v>
      </c>
      <c r="H5" s="5"/>
      <c r="I5" s="5"/>
    </row>
    <row r="6" spans="1:9" x14ac:dyDescent="0.35">
      <c r="A6" s="5"/>
      <c r="B6" s="20" t="s">
        <v>16</v>
      </c>
      <c r="C6" s="20">
        <v>50</v>
      </c>
      <c r="D6" s="20">
        <v>9.2899999999999991</v>
      </c>
      <c r="E6" s="21">
        <f>IF(Quantity&gt;=Discount_Threshold,Discount_Rate,"")</f>
        <v>3.3000000000000002E-2</v>
      </c>
      <c r="F6" s="22">
        <f>IF(ISNUMBER(E6),D6-(D6*E6),D6)</f>
        <v>8.9834299999999985</v>
      </c>
      <c r="G6" s="23">
        <f>Quantity*Sales_Price__Unit</f>
        <v>449.17149999999992</v>
      </c>
      <c r="H6" s="5"/>
      <c r="I6" s="5"/>
    </row>
    <row r="7" spans="1:9" x14ac:dyDescent="0.35">
      <c r="A7" s="5"/>
      <c r="B7" s="20" t="s">
        <v>17</v>
      </c>
      <c r="C7" s="20">
        <v>200</v>
      </c>
      <c r="D7" s="20">
        <v>27.99</v>
      </c>
      <c r="E7" s="21">
        <f>IF(Quantity&gt;=Discount_Threshold,Discount_Rate,"")</f>
        <v>3.3000000000000002E-2</v>
      </c>
      <c r="F7" s="23">
        <f>IF(ISNUMBER(E7),D7-(D7*E7),D7)</f>
        <v>27.066329999999997</v>
      </c>
      <c r="G7" s="23">
        <f>Quantity*Sales_Price__Unit</f>
        <v>5413.2659999999996</v>
      </c>
      <c r="H7" s="5"/>
      <c r="I7" s="5"/>
    </row>
    <row r="8" spans="1:9" x14ac:dyDescent="0.35">
      <c r="A8" s="5"/>
      <c r="B8" s="20" t="s">
        <v>18</v>
      </c>
      <c r="C8" s="20">
        <v>48</v>
      </c>
      <c r="D8" s="20">
        <v>12.99</v>
      </c>
      <c r="E8" s="21">
        <f>IF(Quantity&gt;=Discount_Threshold,Discount_Rate,"")</f>
        <v>3.3000000000000002E-2</v>
      </c>
      <c r="F8" s="23">
        <f>IF(ISNUMBER(E8),D8-(D8*E8),D8)</f>
        <v>12.56133</v>
      </c>
      <c r="G8" s="23">
        <f>Quantity*Sales_Price__Unit</f>
        <v>602.94384000000002</v>
      </c>
      <c r="H8" s="5"/>
      <c r="I8" s="5"/>
    </row>
    <row r="9" spans="1:9" x14ac:dyDescent="0.35">
      <c r="A9" s="5"/>
      <c r="B9" s="20"/>
      <c r="C9" s="20"/>
      <c r="D9" s="20"/>
      <c r="E9" s="21"/>
      <c r="F9" s="20"/>
      <c r="G9" s="20"/>
      <c r="H9" s="5"/>
      <c r="I9" s="5"/>
    </row>
    <row r="10" spans="1:9" x14ac:dyDescent="0.35">
      <c r="A10" s="5"/>
      <c r="B10" s="20"/>
      <c r="C10" s="20"/>
      <c r="D10" s="20"/>
      <c r="E10" s="20"/>
      <c r="F10" s="20"/>
      <c r="G10" s="20"/>
      <c r="H10" s="5"/>
      <c r="I10" s="5"/>
    </row>
    <row r="11" spans="1:9" x14ac:dyDescent="0.35">
      <c r="A11" s="5"/>
      <c r="B11" s="81"/>
      <c r="C11" s="82"/>
      <c r="D11" s="82"/>
      <c r="E11" s="79"/>
      <c r="F11" s="24" t="s">
        <v>27</v>
      </c>
      <c r="G11" s="25">
        <f>SUM(Total)</f>
        <v>7869.0213399999993</v>
      </c>
      <c r="H11" s="5"/>
      <c r="I11" s="5"/>
    </row>
    <row r="12" spans="1:9" ht="15" thickBot="1" x14ac:dyDescent="0.4">
      <c r="A12" s="5"/>
      <c r="B12" s="83"/>
      <c r="C12" s="79"/>
      <c r="D12" s="79"/>
      <c r="E12" s="79"/>
      <c r="F12" s="26" t="s">
        <v>28</v>
      </c>
      <c r="G12" s="27">
        <f>Subtotal*HST_Rate</f>
        <v>1022.9727742</v>
      </c>
      <c r="H12" s="5"/>
      <c r="I12" s="5"/>
    </row>
    <row r="13" spans="1:9" x14ac:dyDescent="0.35">
      <c r="A13" s="5"/>
      <c r="B13" s="28" t="s">
        <v>26</v>
      </c>
      <c r="C13" s="28" t="s">
        <v>24</v>
      </c>
      <c r="D13" s="28" t="s">
        <v>25</v>
      </c>
      <c r="E13" s="79"/>
      <c r="F13" s="29"/>
      <c r="G13" s="30"/>
      <c r="H13" s="5"/>
      <c r="I13" s="5"/>
    </row>
    <row r="14" spans="1:9" x14ac:dyDescent="0.35">
      <c r="A14" s="5"/>
      <c r="B14" s="31">
        <v>3.3000000000000002E-2</v>
      </c>
      <c r="C14" s="32">
        <v>48</v>
      </c>
      <c r="D14" s="33">
        <v>0.13</v>
      </c>
      <c r="E14" s="80"/>
      <c r="F14" s="34" t="s">
        <v>29</v>
      </c>
      <c r="G14" s="25">
        <f>SUM(G11:G12)</f>
        <v>8891.9941141999989</v>
      </c>
      <c r="H14" s="5"/>
      <c r="I14" s="5"/>
    </row>
    <row r="15" spans="1:9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5">
      <c r="A16" s="5"/>
      <c r="B16" s="5"/>
      <c r="C16" s="5"/>
      <c r="D16" s="5"/>
      <c r="E16" s="5"/>
      <c r="F16" s="5"/>
      <c r="G16" s="5"/>
      <c r="H16" s="5"/>
      <c r="I16" s="5"/>
    </row>
  </sheetData>
  <mergeCells count="2">
    <mergeCell ref="E11:E14"/>
    <mergeCell ref="B11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868B-105C-4460-B7DD-6BA7B285A98C}">
  <dimension ref="A1:H22"/>
  <sheetViews>
    <sheetView zoomScale="62" workbookViewId="0">
      <selection activeCell="I13" sqref="I13"/>
    </sheetView>
  </sheetViews>
  <sheetFormatPr defaultRowHeight="14.5" x14ac:dyDescent="0.35"/>
  <cols>
    <col min="1" max="1" width="7.26953125" bestFit="1" customWidth="1"/>
    <col min="2" max="2" width="38.36328125" bestFit="1" customWidth="1"/>
    <col min="3" max="3" width="23.6328125" bestFit="1" customWidth="1"/>
    <col min="4" max="4" width="24.453125" customWidth="1"/>
    <col min="5" max="5" width="30.36328125" customWidth="1"/>
    <col min="6" max="6" width="42.90625" customWidth="1"/>
  </cols>
  <sheetData>
    <row r="1" spans="1:8" x14ac:dyDescent="0.35">
      <c r="A1" t="s">
        <v>30</v>
      </c>
      <c r="B1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/>
      <c r="H1" s="5"/>
    </row>
    <row r="2" spans="1:8" x14ac:dyDescent="0.35">
      <c r="A2">
        <v>1</v>
      </c>
      <c r="B2" s="1" t="s">
        <v>36</v>
      </c>
      <c r="C2" s="35" t="s">
        <v>37</v>
      </c>
      <c r="D2" s="35" t="s">
        <v>38</v>
      </c>
      <c r="E2" s="5">
        <v>9.3000000000000007</v>
      </c>
      <c r="F2" s="5">
        <v>1994</v>
      </c>
      <c r="G2" s="5"/>
      <c r="H2" s="5"/>
    </row>
    <row r="3" spans="1:8" x14ac:dyDescent="0.35">
      <c r="A3">
        <v>2</v>
      </c>
      <c r="B3" s="1" t="s">
        <v>39</v>
      </c>
      <c r="C3" s="35" t="s">
        <v>37</v>
      </c>
      <c r="D3" s="35" t="s">
        <v>40</v>
      </c>
      <c r="E3" s="5">
        <v>9.1999999999999993</v>
      </c>
      <c r="F3" s="5">
        <v>1972</v>
      </c>
      <c r="G3" s="5"/>
      <c r="H3" s="5"/>
    </row>
    <row r="4" spans="1:8" x14ac:dyDescent="0.35">
      <c r="A4">
        <v>3</v>
      </c>
      <c r="B4" s="1" t="s">
        <v>41</v>
      </c>
      <c r="C4" s="35" t="s">
        <v>37</v>
      </c>
      <c r="D4" s="35" t="s">
        <v>40</v>
      </c>
      <c r="E4" s="5">
        <v>9</v>
      </c>
      <c r="F4" s="5">
        <v>1974</v>
      </c>
      <c r="G4" s="5"/>
      <c r="H4" s="5"/>
    </row>
    <row r="5" spans="1:8" x14ac:dyDescent="0.35">
      <c r="A5">
        <v>4</v>
      </c>
      <c r="B5" s="1" t="s">
        <v>42</v>
      </c>
      <c r="C5" s="35" t="s">
        <v>43</v>
      </c>
      <c r="D5" s="35" t="s">
        <v>44</v>
      </c>
      <c r="E5" s="5">
        <v>9</v>
      </c>
      <c r="F5" s="5">
        <v>2008</v>
      </c>
      <c r="G5" s="5"/>
      <c r="H5" s="5"/>
    </row>
    <row r="6" spans="1:8" x14ac:dyDescent="0.35">
      <c r="A6">
        <v>5</v>
      </c>
      <c r="B6" s="1" t="s">
        <v>45</v>
      </c>
      <c r="C6" s="35" t="s">
        <v>46</v>
      </c>
      <c r="D6" s="35" t="s">
        <v>47</v>
      </c>
      <c r="E6" s="5">
        <v>8.9</v>
      </c>
      <c r="F6" s="5">
        <v>1957</v>
      </c>
      <c r="G6" s="5"/>
      <c r="H6" s="5"/>
    </row>
    <row r="7" spans="1:8" x14ac:dyDescent="0.35">
      <c r="A7">
        <v>6</v>
      </c>
      <c r="B7" s="1" t="s">
        <v>48</v>
      </c>
      <c r="C7" s="35" t="s">
        <v>49</v>
      </c>
      <c r="D7" s="35" t="s">
        <v>50</v>
      </c>
      <c r="E7" s="5">
        <v>8.9</v>
      </c>
      <c r="F7" s="5">
        <v>1993</v>
      </c>
      <c r="G7" s="5"/>
      <c r="H7" s="5"/>
    </row>
    <row r="8" spans="1:8" x14ac:dyDescent="0.35">
      <c r="A8">
        <v>7</v>
      </c>
      <c r="B8" s="1" t="s">
        <v>51</v>
      </c>
      <c r="C8" s="35" t="s">
        <v>52</v>
      </c>
      <c r="D8" s="35" t="s">
        <v>53</v>
      </c>
      <c r="E8" s="5">
        <v>8.9</v>
      </c>
      <c r="F8" s="5">
        <v>2003</v>
      </c>
      <c r="G8" s="5"/>
      <c r="H8" s="5"/>
    </row>
    <row r="9" spans="1:8" x14ac:dyDescent="0.35">
      <c r="A9">
        <v>8</v>
      </c>
      <c r="B9" s="1" t="s">
        <v>54</v>
      </c>
      <c r="C9" s="35" t="s">
        <v>37</v>
      </c>
      <c r="D9" s="35" t="s">
        <v>55</v>
      </c>
      <c r="E9" s="5">
        <v>8.9</v>
      </c>
      <c r="F9" s="5">
        <v>1994</v>
      </c>
      <c r="G9" s="5"/>
      <c r="H9" s="5"/>
    </row>
    <row r="10" spans="1:8" x14ac:dyDescent="0.35">
      <c r="A10">
        <v>9</v>
      </c>
      <c r="B10" s="1" t="s">
        <v>56</v>
      </c>
      <c r="C10" s="35" t="s">
        <v>57</v>
      </c>
      <c r="D10" s="35" t="s">
        <v>58</v>
      </c>
      <c r="E10" s="5">
        <v>8.8000000000000007</v>
      </c>
      <c r="F10" s="5">
        <v>1966</v>
      </c>
      <c r="G10" s="5"/>
      <c r="H10" s="5"/>
    </row>
    <row r="11" spans="1:8" x14ac:dyDescent="0.35">
      <c r="A11">
        <v>10</v>
      </c>
      <c r="B11" s="1" t="s">
        <v>59</v>
      </c>
      <c r="C11" s="35" t="s">
        <v>46</v>
      </c>
      <c r="D11" s="35" t="s">
        <v>60</v>
      </c>
      <c r="E11" s="5">
        <v>8.8000000000000007</v>
      </c>
      <c r="F11" s="5">
        <v>1999</v>
      </c>
      <c r="G11" s="5"/>
      <c r="H11" s="5"/>
    </row>
    <row r="12" spans="1:8" x14ac:dyDescent="0.35">
      <c r="C12" s="5"/>
      <c r="D12" s="5"/>
      <c r="E12" s="5"/>
      <c r="F12" s="5"/>
      <c r="G12" s="5"/>
      <c r="H12" s="5"/>
    </row>
    <row r="13" spans="1:8" x14ac:dyDescent="0.35">
      <c r="C13" s="5"/>
      <c r="D13" s="5"/>
      <c r="E13" s="5"/>
      <c r="F13" s="5"/>
      <c r="G13" s="5"/>
      <c r="H13" s="5"/>
    </row>
    <row r="14" spans="1:8" ht="32.5" customHeight="1" x14ac:dyDescent="0.35">
      <c r="C14" s="5"/>
      <c r="D14" s="5"/>
      <c r="E14" s="36" t="s">
        <v>61</v>
      </c>
      <c r="F14" s="37">
        <v>8</v>
      </c>
      <c r="G14" s="5"/>
      <c r="H14" s="5"/>
    </row>
    <row r="15" spans="1:8" ht="12.5" customHeight="1" x14ac:dyDescent="0.35">
      <c r="C15" s="5"/>
      <c r="D15" s="5"/>
      <c r="E15" s="84" t="s">
        <v>62</v>
      </c>
      <c r="F15" s="85"/>
      <c r="G15" s="5"/>
      <c r="H15" s="5"/>
    </row>
    <row r="16" spans="1:8" ht="18" customHeight="1" x14ac:dyDescent="0.35">
      <c r="C16" s="5"/>
      <c r="D16" s="5"/>
      <c r="E16" s="38" t="s">
        <v>31</v>
      </c>
      <c r="F16" s="39" t="str">
        <f>VLOOKUP($F$14,Top10Movies[],MATCH(E16,Top10Movies[#Headers],0),FALSE)</f>
        <v>Pulp Fiction</v>
      </c>
      <c r="G16" s="5"/>
      <c r="H16" s="5"/>
    </row>
    <row r="17" spans="3:8" ht="18.5" customHeight="1" x14ac:dyDescent="0.35">
      <c r="C17" s="5"/>
      <c r="D17" s="5"/>
      <c r="E17" s="38" t="s">
        <v>34</v>
      </c>
      <c r="F17" s="39">
        <f>VLOOKUP($F$14,Top10Movies[],MATCH(E17,Top10Movies[#Headers],0),FALSE)</f>
        <v>8.9</v>
      </c>
      <c r="G17" s="5"/>
      <c r="H17" s="5"/>
    </row>
    <row r="18" spans="3:8" ht="18.5" customHeight="1" x14ac:dyDescent="0.35">
      <c r="C18" s="5"/>
      <c r="D18" s="5"/>
      <c r="E18" s="38" t="s">
        <v>35</v>
      </c>
      <c r="F18" s="39">
        <f>VLOOKUP($F$14,Top10Movies[],MATCH(E18,Top10Movies[#Headers],0),FALSE)</f>
        <v>1994</v>
      </c>
      <c r="G18" s="5"/>
      <c r="H18" s="5"/>
    </row>
    <row r="19" spans="3:8" ht="21" customHeight="1" x14ac:dyDescent="0.35">
      <c r="C19" s="5"/>
      <c r="D19" s="5"/>
      <c r="E19" s="38" t="s">
        <v>32</v>
      </c>
      <c r="F19" s="39" t="str">
        <f>VLOOKUP($F$14,Top10Movies[],MATCH(E19,Top10Movies[#Headers],0),FALSE)</f>
        <v>Crime, Drama</v>
      </c>
      <c r="G19" s="5"/>
      <c r="H19" s="5"/>
    </row>
    <row r="20" spans="3:8" ht="23.5" customHeight="1" x14ac:dyDescent="0.35">
      <c r="C20" s="5"/>
      <c r="D20" s="5"/>
      <c r="E20" s="38" t="s">
        <v>33</v>
      </c>
      <c r="F20" s="39" t="str">
        <f>VLOOKUP($F$14,Top10Movies[],MATCH(E20,Top10Movies[#Headers],0),FALSE)</f>
        <v>Quentin Tarantino</v>
      </c>
      <c r="G20" s="5"/>
      <c r="H20" s="5"/>
    </row>
    <row r="21" spans="3:8" x14ac:dyDescent="0.35">
      <c r="C21" s="5"/>
      <c r="D21" s="5"/>
      <c r="E21" s="5"/>
      <c r="F21" s="5"/>
      <c r="G21" s="5"/>
      <c r="H21" s="5"/>
    </row>
    <row r="22" spans="3:8" x14ac:dyDescent="0.35">
      <c r="C22" s="5"/>
      <c r="D22" s="5"/>
      <c r="E22" s="5"/>
      <c r="F22" s="5"/>
      <c r="G22" s="5"/>
      <c r="H22" s="5"/>
    </row>
  </sheetData>
  <mergeCells count="1">
    <mergeCell ref="E15:F1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8D8D-DDE2-4552-86C8-DC55E8D9A3E9}">
  <dimension ref="A1:H10"/>
  <sheetViews>
    <sheetView workbookViewId="0">
      <selection activeCell="C7" sqref="C7:D7"/>
    </sheetView>
  </sheetViews>
  <sheetFormatPr defaultRowHeight="14.5" x14ac:dyDescent="0.35"/>
  <cols>
    <col min="1" max="1" width="24.453125" customWidth="1"/>
    <col min="3" max="3" width="13.54296875" customWidth="1"/>
    <col min="4" max="4" width="3.81640625" customWidth="1"/>
    <col min="5" max="5" width="16.54296875" customWidth="1"/>
    <col min="6" max="6" width="18.90625" customWidth="1"/>
  </cols>
  <sheetData>
    <row r="1" spans="1:8" ht="18.5" x14ac:dyDescent="0.45">
      <c r="A1" s="40" t="s">
        <v>72</v>
      </c>
      <c r="B1" s="5"/>
      <c r="C1" s="5"/>
      <c r="D1" s="5"/>
      <c r="E1" s="5"/>
      <c r="F1" s="5"/>
      <c r="G1" s="5"/>
      <c r="H1" s="5"/>
    </row>
    <row r="2" spans="1:8" ht="40.5" customHeight="1" x14ac:dyDescent="0.35">
      <c r="A2" s="6"/>
      <c r="B2" s="6"/>
      <c r="C2" s="6"/>
      <c r="D2" s="6"/>
      <c r="E2" s="41" t="s">
        <v>64</v>
      </c>
      <c r="F2" s="41">
        <v>7900</v>
      </c>
      <c r="G2" s="5"/>
      <c r="H2" s="5"/>
    </row>
    <row r="3" spans="1:8" x14ac:dyDescent="0.35">
      <c r="A3" s="7" t="s">
        <v>63</v>
      </c>
      <c r="B3" s="7"/>
      <c r="C3" s="7" t="s">
        <v>68</v>
      </c>
      <c r="D3" s="42"/>
      <c r="E3" s="7" t="s">
        <v>70</v>
      </c>
      <c r="F3" s="7" t="s">
        <v>21</v>
      </c>
      <c r="G3" s="5"/>
      <c r="H3" s="5"/>
    </row>
    <row r="4" spans="1:8" x14ac:dyDescent="0.35">
      <c r="A4" s="43" t="s">
        <v>74</v>
      </c>
      <c r="B4" s="43" t="s">
        <v>65</v>
      </c>
      <c r="C4" s="44">
        <f>IF(Ordered&lt; 1000,Ordered,1000)</f>
        <v>1000</v>
      </c>
      <c r="D4" s="45" t="s">
        <v>69</v>
      </c>
      <c r="E4" s="46">
        <v>9.1999999999999993</v>
      </c>
      <c r="F4" s="47">
        <f>C4*E4</f>
        <v>9200</v>
      </c>
      <c r="G4" s="5"/>
      <c r="H4" s="5"/>
    </row>
    <row r="5" spans="1:8" x14ac:dyDescent="0.35">
      <c r="A5" s="28" t="s">
        <v>75</v>
      </c>
      <c r="B5" s="28" t="s">
        <v>66</v>
      </c>
      <c r="C5" s="48">
        <f>IF(Ordered&lt;=1000,0,IF(AND(Ordered&gt; 1000,Ordered&lt; 4000),(Ordered-1000),3000))</f>
        <v>3000</v>
      </c>
      <c r="D5" s="49" t="s">
        <v>69</v>
      </c>
      <c r="E5" s="50">
        <v>8.8000000000000007</v>
      </c>
      <c r="F5" s="51">
        <f>C5*E5</f>
        <v>26400.000000000004</v>
      </c>
      <c r="G5" s="5"/>
      <c r="H5" s="5"/>
    </row>
    <row r="6" spans="1:8" ht="15" thickBot="1" x14ac:dyDescent="0.4">
      <c r="A6" s="52" t="s">
        <v>76</v>
      </c>
      <c r="B6" s="52" t="s">
        <v>67</v>
      </c>
      <c r="C6" s="53">
        <f>IF(Ordered&lt;=4000,0,(Ordered-4000))</f>
        <v>3900</v>
      </c>
      <c r="D6" s="54" t="s">
        <v>69</v>
      </c>
      <c r="E6" s="55">
        <v>8.5</v>
      </c>
      <c r="F6" s="56">
        <f>C6*E6</f>
        <v>33150</v>
      </c>
      <c r="G6" s="5"/>
      <c r="H6" s="5"/>
    </row>
    <row r="7" spans="1:8" ht="31" customHeight="1" x14ac:dyDescent="0.35">
      <c r="A7" s="5"/>
      <c r="B7" s="5" t="s">
        <v>73</v>
      </c>
      <c r="C7" s="86">
        <f>SUM(Qty)</f>
        <v>7900</v>
      </c>
      <c r="D7" s="87"/>
      <c r="E7" s="57" t="s">
        <v>71</v>
      </c>
      <c r="F7" s="58">
        <f>SUM(TotalEstimates)</f>
        <v>68750</v>
      </c>
      <c r="G7" s="5"/>
      <c r="H7" s="5"/>
    </row>
    <row r="8" spans="1:8" x14ac:dyDescent="0.35">
      <c r="A8" s="5"/>
      <c r="B8" s="5"/>
      <c r="C8" s="5"/>
      <c r="D8" s="5"/>
      <c r="E8" s="5"/>
      <c r="F8" s="5"/>
      <c r="G8" s="5"/>
      <c r="H8" s="5"/>
    </row>
    <row r="9" spans="1:8" x14ac:dyDescent="0.35">
      <c r="A9" s="5"/>
      <c r="B9" s="5"/>
      <c r="C9" s="5"/>
      <c r="D9" s="5"/>
      <c r="E9" s="5"/>
      <c r="F9" s="5"/>
      <c r="G9" s="5"/>
      <c r="H9" s="5"/>
    </row>
    <row r="10" spans="1:8" x14ac:dyDescent="0.35">
      <c r="A10" s="5"/>
      <c r="B10" s="5"/>
      <c r="C10" s="5"/>
      <c r="D10" s="5"/>
      <c r="E10" s="5"/>
      <c r="F10" s="5"/>
      <c r="G10" s="59"/>
      <c r="H10" s="5"/>
    </row>
  </sheetData>
  <mergeCells count="1">
    <mergeCell ref="C7:D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00AF-A7EF-423D-9BBC-511FC58D1C1F}">
  <dimension ref="A1:G36"/>
  <sheetViews>
    <sheetView topLeftCell="A3" zoomScale="77" zoomScaleNormal="77" workbookViewId="0">
      <selection activeCell="F32" sqref="F32"/>
    </sheetView>
  </sheetViews>
  <sheetFormatPr defaultRowHeight="14.5" x14ac:dyDescent="0.35"/>
  <cols>
    <col min="1" max="1" width="15" customWidth="1"/>
    <col min="2" max="2" width="14.7265625" customWidth="1"/>
    <col min="3" max="3" width="26.7265625" customWidth="1"/>
    <col min="4" max="4" width="17.08984375" customWidth="1"/>
    <col min="5" max="5" width="19.7265625" customWidth="1"/>
    <col min="6" max="6" width="13.6328125" customWidth="1"/>
    <col min="7" max="7" width="10" bestFit="1" customWidth="1"/>
    <col min="8" max="8" width="25.1796875" customWidth="1"/>
  </cols>
  <sheetData>
    <row r="1" spans="1:7" ht="17.5" customHeight="1" x14ac:dyDescent="0.35">
      <c r="A1" s="5" t="s">
        <v>82</v>
      </c>
      <c r="B1" s="5" t="s">
        <v>83</v>
      </c>
      <c r="C1" s="5" t="s">
        <v>84</v>
      </c>
      <c r="D1" s="5"/>
      <c r="E1" s="5"/>
      <c r="F1" s="5"/>
    </row>
    <row r="2" spans="1:7" x14ac:dyDescent="0.35">
      <c r="A2" s="35" t="s">
        <v>80</v>
      </c>
      <c r="B2" s="35" t="s">
        <v>81</v>
      </c>
      <c r="C2" s="35" t="s">
        <v>81</v>
      </c>
      <c r="D2" s="5"/>
      <c r="E2" s="88" t="s">
        <v>77</v>
      </c>
      <c r="F2" s="88"/>
    </row>
    <row r="3" spans="1:7" x14ac:dyDescent="0.35">
      <c r="A3" s="35" t="s">
        <v>82</v>
      </c>
      <c r="B3" s="35" t="s">
        <v>83</v>
      </c>
      <c r="C3" s="35" t="s">
        <v>84</v>
      </c>
      <c r="D3" s="5"/>
      <c r="E3" s="7" t="s">
        <v>78</v>
      </c>
      <c r="F3" s="7" t="s">
        <v>79</v>
      </c>
    </row>
    <row r="4" spans="1:7" x14ac:dyDescent="0.35">
      <c r="A4" s="35" t="s">
        <v>85</v>
      </c>
      <c r="B4" s="3">
        <v>790000</v>
      </c>
      <c r="C4" s="3">
        <f>VLOOKUP(MonthlySales2[[#This Row],[SalePrice]],CommissionLookup,2,1)*MonthlySales2[[#This Row],[SalePrice]]</f>
        <v>19750</v>
      </c>
      <c r="D4" s="5"/>
      <c r="E4" s="60">
        <v>0</v>
      </c>
      <c r="F4" s="61">
        <v>0.01</v>
      </c>
    </row>
    <row r="5" spans="1:7" x14ac:dyDescent="0.35">
      <c r="A5" s="35" t="s">
        <v>86</v>
      </c>
      <c r="B5" s="3">
        <v>889000</v>
      </c>
      <c r="C5" s="3">
        <f>VLOOKUP(MonthlySales2[[#This Row],[SalePrice]],CommissionLookup,2,1)*MonthlySales2[[#This Row],[SalePrice]]</f>
        <v>26670</v>
      </c>
      <c r="D5" s="5"/>
      <c r="E5" s="60">
        <v>100000</v>
      </c>
      <c r="F5" s="61">
        <v>0.02</v>
      </c>
    </row>
    <row r="6" spans="1:7" x14ac:dyDescent="0.35">
      <c r="A6" s="35" t="s">
        <v>87</v>
      </c>
      <c r="B6" s="3">
        <v>923000</v>
      </c>
      <c r="C6" s="3">
        <f>VLOOKUP(MonthlySales2[[#This Row],[SalePrice]],CommissionLookup,2,1)*MonthlySales2[[#This Row],[SalePrice]]</f>
        <v>27690</v>
      </c>
      <c r="D6" s="5"/>
      <c r="E6" s="60">
        <v>400000</v>
      </c>
      <c r="F6" s="61">
        <v>2.5000000000000001E-2</v>
      </c>
    </row>
    <row r="7" spans="1:7" x14ac:dyDescent="0.35">
      <c r="A7" s="35" t="s">
        <v>87</v>
      </c>
      <c r="B7" s="3">
        <v>973000</v>
      </c>
      <c r="C7" s="3">
        <f>VLOOKUP(MonthlySales2[[#This Row],[SalePrice]],CommissionLookup,2,1)*MonthlySales2[[#This Row],[SalePrice]]</f>
        <v>29190</v>
      </c>
      <c r="D7" s="5"/>
      <c r="E7" s="60">
        <v>800000</v>
      </c>
      <c r="F7" s="61">
        <v>0.03</v>
      </c>
    </row>
    <row r="8" spans="1:7" x14ac:dyDescent="0.35">
      <c r="A8" s="35" t="s">
        <v>88</v>
      </c>
      <c r="B8" s="3">
        <v>280000</v>
      </c>
      <c r="C8" s="3">
        <f>VLOOKUP(MonthlySales2[[#This Row],[SalePrice]],CommissionLookup,2,1)*MonthlySales2[[#This Row],[SalePrice]]</f>
        <v>5600</v>
      </c>
      <c r="D8" s="5"/>
      <c r="E8" s="60">
        <v>1000000</v>
      </c>
      <c r="F8" s="61">
        <v>3.5000000000000003E-2</v>
      </c>
    </row>
    <row r="9" spans="1:7" x14ac:dyDescent="0.35">
      <c r="A9" s="35" t="s">
        <v>89</v>
      </c>
      <c r="B9" s="4">
        <v>1339000</v>
      </c>
      <c r="C9" s="3">
        <f>VLOOKUP(MonthlySales2[[#This Row],[SalePrice]],CommissionLookup,2,1)*MonthlySales2[[#This Row],[SalePrice]]</f>
        <v>46865.000000000007</v>
      </c>
      <c r="D9" s="5"/>
      <c r="E9" s="60">
        <v>1500000</v>
      </c>
      <c r="F9" s="61">
        <v>0.04</v>
      </c>
    </row>
    <row r="10" spans="1:7" x14ac:dyDescent="0.35">
      <c r="A10" s="35" t="s">
        <v>88</v>
      </c>
      <c r="B10" s="3">
        <v>485000</v>
      </c>
      <c r="C10" s="3">
        <f>VLOOKUP(MonthlySales2[[#This Row],[SalePrice]],CommissionLookup,2,1)*MonthlySales2[[#This Row],[SalePrice]]</f>
        <v>12125</v>
      </c>
      <c r="D10" s="5"/>
      <c r="E10" s="60">
        <v>2000000</v>
      </c>
      <c r="F10" s="61">
        <v>4.4999999999999998E-2</v>
      </c>
    </row>
    <row r="11" spans="1:7" x14ac:dyDescent="0.35">
      <c r="A11" s="35" t="s">
        <v>86</v>
      </c>
      <c r="B11" s="3">
        <v>551000</v>
      </c>
      <c r="C11" s="3">
        <f>VLOOKUP(MonthlySales2[[#This Row],[SalePrice]],CommissionLookup,2,1)*MonthlySales2[[#This Row],[SalePrice]]</f>
        <v>13775</v>
      </c>
      <c r="D11" s="5"/>
      <c r="E11" s="5"/>
      <c r="F11" s="5"/>
    </row>
    <row r="12" spans="1:7" x14ac:dyDescent="0.35">
      <c r="A12" s="35" t="s">
        <v>87</v>
      </c>
      <c r="B12" s="3">
        <v>1240000</v>
      </c>
      <c r="C12" s="3">
        <f>VLOOKUP(MonthlySales2[[#This Row],[SalePrice]],CommissionLookup,2,1)*MonthlySales2[[#This Row],[SalePrice]]</f>
        <v>43400.000000000007</v>
      </c>
      <c r="D12" s="5"/>
      <c r="E12" s="5"/>
      <c r="F12" s="5"/>
    </row>
    <row r="13" spans="1:7" x14ac:dyDescent="0.35">
      <c r="A13" s="35" t="s">
        <v>85</v>
      </c>
      <c r="B13" s="3">
        <v>991000</v>
      </c>
      <c r="C13" s="3">
        <f>VLOOKUP(MonthlySales2[[#This Row],[SalePrice]],CommissionLookup,2,1)*MonthlySales2[[#This Row],[SalePrice]]</f>
        <v>29730</v>
      </c>
      <c r="D13" s="5"/>
      <c r="E13" s="5"/>
      <c r="F13" s="5"/>
    </row>
    <row r="14" spans="1:7" x14ac:dyDescent="0.35">
      <c r="A14" s="35" t="s">
        <v>86</v>
      </c>
      <c r="B14" s="3">
        <v>1277000</v>
      </c>
      <c r="C14" s="3">
        <f>VLOOKUP(MonthlySales2[[#This Row],[SalePrice]],CommissionLookup,2,1)*MonthlySales2[[#This Row],[SalePrice]]</f>
        <v>44695.000000000007</v>
      </c>
      <c r="D14" s="5"/>
      <c r="E14" s="5"/>
      <c r="F14" s="5"/>
      <c r="G14" s="2"/>
    </row>
    <row r="15" spans="1:7" x14ac:dyDescent="0.35">
      <c r="A15" s="35" t="s">
        <v>87</v>
      </c>
      <c r="B15" s="3">
        <v>777000</v>
      </c>
      <c r="C15" s="3">
        <f>VLOOKUP(MonthlySales2[[#This Row],[SalePrice]],CommissionLookup,2,1)*MonthlySales2[[#This Row],[SalePrice]]</f>
        <v>19425</v>
      </c>
      <c r="D15" s="5"/>
      <c r="E15" s="5"/>
      <c r="F15" s="5"/>
    </row>
    <row r="16" spans="1:7" x14ac:dyDescent="0.35">
      <c r="A16" s="35" t="s">
        <v>86</v>
      </c>
      <c r="B16" s="3">
        <v>2262000</v>
      </c>
      <c r="C16" s="3">
        <f>VLOOKUP(MonthlySales2[[#This Row],[SalePrice]],CommissionLookup,2,1)*MonthlySales2[[#This Row],[SalePrice]]</f>
        <v>101790</v>
      </c>
      <c r="D16" s="5"/>
      <c r="E16" s="5"/>
      <c r="F16" s="5"/>
    </row>
    <row r="17" spans="1:6" x14ac:dyDescent="0.35">
      <c r="A17" s="35" t="s">
        <v>89</v>
      </c>
      <c r="B17" s="3">
        <v>669000</v>
      </c>
      <c r="C17" s="3">
        <f>VLOOKUP(MonthlySales2[[#This Row],[SalePrice]],CommissionLookup,2,1)*MonthlySales2[[#This Row],[SalePrice]]</f>
        <v>16725</v>
      </c>
      <c r="D17" s="5"/>
      <c r="E17" s="5"/>
      <c r="F17" s="5"/>
    </row>
    <row r="18" spans="1:6" x14ac:dyDescent="0.35">
      <c r="A18" s="35" t="s">
        <v>89</v>
      </c>
      <c r="B18" s="3">
        <v>700000</v>
      </c>
      <c r="C18" s="3">
        <f>VLOOKUP(MonthlySales2[[#This Row],[SalePrice]],CommissionLookup,2,1)*MonthlySales2[[#This Row],[SalePrice]]</f>
        <v>17500</v>
      </c>
      <c r="D18" s="5"/>
      <c r="E18" s="5"/>
      <c r="F18" s="5"/>
    </row>
    <row r="19" spans="1:6" x14ac:dyDescent="0.35">
      <c r="A19" s="35" t="s">
        <v>88</v>
      </c>
      <c r="B19" s="3">
        <v>1399000</v>
      </c>
      <c r="C19" s="3">
        <f>VLOOKUP(MonthlySales2[[#This Row],[SalePrice]],CommissionLookup,2,1)*MonthlySales2[[#This Row],[SalePrice]]</f>
        <v>48965.000000000007</v>
      </c>
      <c r="D19" s="5"/>
      <c r="E19" s="5"/>
      <c r="F19" s="5"/>
    </row>
    <row r="20" spans="1:6" x14ac:dyDescent="0.35">
      <c r="A20" s="5"/>
      <c r="B20" s="5"/>
      <c r="C20" s="5"/>
      <c r="D20" s="5"/>
      <c r="E20" s="5"/>
      <c r="F20" s="5"/>
    </row>
    <row r="21" spans="1:6" x14ac:dyDescent="0.35">
      <c r="A21" s="5"/>
      <c r="B21" s="5"/>
      <c r="C21" s="5"/>
      <c r="D21" s="5"/>
      <c r="E21" s="5"/>
      <c r="F21" s="5"/>
    </row>
    <row r="22" spans="1:6" x14ac:dyDescent="0.35">
      <c r="A22" s="89" t="s">
        <v>90</v>
      </c>
      <c r="B22" s="90"/>
      <c r="C22" s="90"/>
      <c r="D22" s="91"/>
      <c r="E22" s="5"/>
      <c r="F22" s="5"/>
    </row>
    <row r="23" spans="1:6" ht="29" x14ac:dyDescent="0.35">
      <c r="A23" s="62" t="s">
        <v>91</v>
      </c>
      <c r="B23" s="63" t="s">
        <v>93</v>
      </c>
      <c r="C23" s="63" t="s">
        <v>94</v>
      </c>
      <c r="D23" s="63" t="s">
        <v>95</v>
      </c>
      <c r="E23" s="5"/>
      <c r="F23" s="5"/>
    </row>
    <row r="24" spans="1:6" x14ac:dyDescent="0.35">
      <c r="A24" s="52" t="s">
        <v>86</v>
      </c>
      <c r="B24" s="64">
        <f>COUNTIF(Name,A24)</f>
        <v>4</v>
      </c>
      <c r="C24" s="65">
        <f>SUMIF(Name,A24,SalePrice)</f>
        <v>4979000</v>
      </c>
      <c r="D24" s="66">
        <f>SUMIF(Name,A24,Commission)</f>
        <v>186930</v>
      </c>
      <c r="E24" s="5"/>
      <c r="F24" s="5"/>
    </row>
    <row r="25" spans="1:6" x14ac:dyDescent="0.35">
      <c r="A25" s="52" t="s">
        <v>88</v>
      </c>
      <c r="B25" s="64">
        <f>COUNTIF(Name,A25)</f>
        <v>3</v>
      </c>
      <c r="C25" s="65">
        <f>SUMIF(Name,A25,SalePrice)</f>
        <v>2164000</v>
      </c>
      <c r="D25" s="66">
        <f>SUMIF(Name,A25,Commission)</f>
        <v>66690</v>
      </c>
      <c r="E25" s="5"/>
      <c r="F25" s="5"/>
    </row>
    <row r="26" spans="1:6" x14ac:dyDescent="0.35">
      <c r="A26" s="52" t="s">
        <v>87</v>
      </c>
      <c r="B26" s="64">
        <f>COUNTIF(Name,A26)</f>
        <v>4</v>
      </c>
      <c r="C26" s="65">
        <f>SUMIF(Name,A26,SalePrice)</f>
        <v>3913000</v>
      </c>
      <c r="D26" s="66">
        <f>SUMIF(Name,A26,Commission)</f>
        <v>119705</v>
      </c>
      <c r="E26" s="5"/>
      <c r="F26" s="5"/>
    </row>
    <row r="27" spans="1:6" x14ac:dyDescent="0.35">
      <c r="A27" s="52" t="s">
        <v>89</v>
      </c>
      <c r="B27" s="64">
        <f>COUNTIF(Name,A27)</f>
        <v>3</v>
      </c>
      <c r="C27" s="65">
        <f>SUMIF(Name,A27,SalePrice)</f>
        <v>2708000</v>
      </c>
      <c r="D27" s="66">
        <f>SUMIF(Name,A27,Commission)</f>
        <v>81090</v>
      </c>
      <c r="E27" s="5"/>
      <c r="F27" s="5"/>
    </row>
    <row r="28" spans="1:6" x14ac:dyDescent="0.35">
      <c r="A28" s="52" t="s">
        <v>85</v>
      </c>
      <c r="B28" s="64">
        <f>COUNTIF(Name,A28)</f>
        <v>2</v>
      </c>
      <c r="C28" s="65">
        <f>SUMIF(Name,A28,SalePrice)</f>
        <v>1781000</v>
      </c>
      <c r="D28" s="66">
        <f>SUMIF(Name,A28,Commission)</f>
        <v>49480</v>
      </c>
      <c r="E28" s="5"/>
      <c r="F28" s="5"/>
    </row>
    <row r="29" spans="1:6" x14ac:dyDescent="0.35">
      <c r="A29" s="5"/>
      <c r="B29" s="5"/>
      <c r="C29" s="5"/>
      <c r="D29" s="5"/>
      <c r="E29" s="5"/>
      <c r="F29" s="5"/>
    </row>
    <row r="30" spans="1:6" x14ac:dyDescent="0.35">
      <c r="A30" s="89" t="s">
        <v>92</v>
      </c>
      <c r="B30" s="90"/>
      <c r="C30" s="90"/>
      <c r="D30" s="91"/>
      <c r="E30" s="5"/>
      <c r="F30" s="5"/>
    </row>
    <row r="31" spans="1:6" ht="29" x14ac:dyDescent="0.35">
      <c r="A31" s="67" t="s">
        <v>94</v>
      </c>
      <c r="B31" s="68" t="s">
        <v>91</v>
      </c>
      <c r="C31" s="67" t="s">
        <v>96</v>
      </c>
      <c r="D31" s="67" t="s">
        <v>95</v>
      </c>
      <c r="E31" s="5"/>
      <c r="F31" s="5"/>
    </row>
    <row r="32" spans="1:6" ht="51.5" customHeight="1" x14ac:dyDescent="0.35">
      <c r="A32" s="99">
        <f>MAX(TotalSales)</f>
        <v>4979000</v>
      </c>
      <c r="B32" s="64" t="str">
        <f>INDEX(Associate,MATCH(Performer_Total__Sales,TotalSales,0))</f>
        <v>Enders</v>
      </c>
      <c r="C32" s="69">
        <f>INDEX(PropertiesSold,MATCH(TOP_Associate,Associate,0))</f>
        <v>4</v>
      </c>
      <c r="D32" s="66">
        <f>INDEX(CommissionEarned,MATCH(TOP_Associate,Associate,0))</f>
        <v>186930</v>
      </c>
      <c r="E32" s="5"/>
      <c r="F32" s="5"/>
    </row>
    <row r="33" spans="1:6" x14ac:dyDescent="0.35">
      <c r="A33" s="5"/>
      <c r="B33" s="5"/>
      <c r="C33" s="5"/>
      <c r="D33" s="5"/>
      <c r="E33" s="5"/>
      <c r="F33" s="5"/>
    </row>
    <row r="34" spans="1:6" x14ac:dyDescent="0.35">
      <c r="A34" s="5"/>
      <c r="B34" s="5"/>
      <c r="C34" s="5"/>
      <c r="D34" s="5"/>
      <c r="E34" s="5"/>
      <c r="F34" s="5"/>
    </row>
    <row r="35" spans="1:6" x14ac:dyDescent="0.35">
      <c r="A35" s="5"/>
      <c r="B35" s="5"/>
      <c r="C35" s="5"/>
      <c r="D35" s="5"/>
      <c r="E35" s="5"/>
      <c r="F35" s="5"/>
    </row>
    <row r="36" spans="1:6" x14ac:dyDescent="0.35">
      <c r="A36" s="5"/>
      <c r="B36" s="5"/>
      <c r="C36" s="5"/>
      <c r="D36" s="5"/>
      <c r="E36" s="5"/>
      <c r="F36" s="5"/>
    </row>
  </sheetData>
  <mergeCells count="3">
    <mergeCell ref="E2:F2"/>
    <mergeCell ref="A22:D22"/>
    <mergeCell ref="A30:D30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0E68-E7B9-4E61-8272-A4A0115F6C25}">
  <dimension ref="A1:I70"/>
  <sheetViews>
    <sheetView topLeftCell="A76" zoomScale="62" zoomScaleNormal="63" workbookViewId="0">
      <selection activeCell="M43" sqref="M43"/>
    </sheetView>
  </sheetViews>
  <sheetFormatPr defaultRowHeight="14.5" x14ac:dyDescent="0.35"/>
  <cols>
    <col min="2" max="2" width="21.36328125" customWidth="1"/>
    <col min="3" max="3" width="17.26953125" customWidth="1"/>
    <col min="4" max="4" width="17.6328125" customWidth="1"/>
    <col min="6" max="6" width="16.08984375" customWidth="1"/>
    <col min="7" max="7" width="30.08984375" customWidth="1"/>
    <col min="8" max="8" width="18.08984375" customWidth="1"/>
    <col min="13" max="13" width="23.08984375" customWidth="1"/>
  </cols>
  <sheetData>
    <row r="1" spans="1:8" x14ac:dyDescent="0.35">
      <c r="A1" s="93" t="s">
        <v>97</v>
      </c>
      <c r="B1" s="93"/>
      <c r="C1" s="93"/>
      <c r="D1" s="6"/>
      <c r="E1" s="5"/>
    </row>
    <row r="2" spans="1:8" x14ac:dyDescent="0.35">
      <c r="A2" s="6"/>
      <c r="B2" s="6"/>
      <c r="C2" s="6"/>
      <c r="D2" s="6"/>
      <c r="E2" s="5"/>
    </row>
    <row r="3" spans="1:8" x14ac:dyDescent="0.35">
      <c r="A3" s="94" t="s">
        <v>98</v>
      </c>
      <c r="B3" s="94"/>
      <c r="C3" s="94"/>
      <c r="D3" s="62">
        <v>10000000</v>
      </c>
      <c r="E3" s="5"/>
    </row>
    <row r="4" spans="1:8" x14ac:dyDescent="0.35">
      <c r="A4" s="94" t="s">
        <v>99</v>
      </c>
      <c r="B4" s="94"/>
      <c r="C4" s="94"/>
      <c r="D4" s="70">
        <v>1.0699999999999999E-2</v>
      </c>
      <c r="E4" s="5"/>
    </row>
    <row r="5" spans="1:8" x14ac:dyDescent="0.35">
      <c r="A5" s="94" t="s">
        <v>100</v>
      </c>
      <c r="B5" s="94"/>
      <c r="C5" s="94"/>
      <c r="D5" s="70">
        <v>2.5000000000000001E-3</v>
      </c>
      <c r="E5" s="5"/>
    </row>
    <row r="6" spans="1:8" x14ac:dyDescent="0.35">
      <c r="A6" s="5"/>
      <c r="B6" s="5"/>
      <c r="C6" s="5"/>
      <c r="D6" s="5"/>
      <c r="E6" s="5"/>
    </row>
    <row r="7" spans="1:8" x14ac:dyDescent="0.35">
      <c r="A7" s="5"/>
      <c r="B7" s="5"/>
      <c r="C7" s="5"/>
      <c r="D7" s="5"/>
      <c r="E7" s="5"/>
    </row>
    <row r="8" spans="1:8" x14ac:dyDescent="0.35">
      <c r="A8" s="95" t="s">
        <v>104</v>
      </c>
      <c r="B8" s="95"/>
      <c r="C8" s="95"/>
      <c r="E8" s="92" t="s">
        <v>105</v>
      </c>
      <c r="F8" s="92"/>
      <c r="G8" s="92"/>
      <c r="H8" s="92"/>
    </row>
    <row r="9" spans="1:8" x14ac:dyDescent="0.35">
      <c r="A9" s="103" t="s">
        <v>101</v>
      </c>
      <c r="B9" s="7" t="s">
        <v>102</v>
      </c>
      <c r="C9" s="7" t="s">
        <v>103</v>
      </c>
      <c r="E9" s="7" t="s">
        <v>101</v>
      </c>
      <c r="F9" s="7" t="s">
        <v>106</v>
      </c>
      <c r="G9" s="7" t="s">
        <v>102</v>
      </c>
      <c r="H9" s="7" t="s">
        <v>103</v>
      </c>
    </row>
    <row r="10" spans="1:8" x14ac:dyDescent="0.35">
      <c r="A10" s="100">
        <v>0</v>
      </c>
      <c r="B10" s="96">
        <v>0</v>
      </c>
      <c r="C10" s="96">
        <v>0</v>
      </c>
      <c r="D10" s="97"/>
      <c r="E10" s="101">
        <v>0</v>
      </c>
      <c r="F10" s="98">
        <v>0</v>
      </c>
      <c r="G10" s="98">
        <v>0</v>
      </c>
      <c r="H10" s="98">
        <v>0</v>
      </c>
    </row>
    <row r="11" spans="1:8" x14ac:dyDescent="0.35">
      <c r="A11" s="101">
        <v>1</v>
      </c>
      <c r="B11" s="71">
        <f t="shared" ref="B11:B42" si="0">Captured*(TotalMarketPotential-C10)</f>
        <v>107000</v>
      </c>
      <c r="C11" s="71">
        <f>B11+C10</f>
        <v>107000</v>
      </c>
      <c r="D11" s="3"/>
      <c r="E11" s="101">
        <v>1</v>
      </c>
      <c r="F11" s="71">
        <f>TotalMarketPotential</f>
        <v>10000000</v>
      </c>
      <c r="G11" s="71">
        <f>(F11-H10)*Captured_Period</f>
        <v>107000</v>
      </c>
      <c r="H11" s="71">
        <f>G11+H10</f>
        <v>107000</v>
      </c>
    </row>
    <row r="12" spans="1:8" x14ac:dyDescent="0.35">
      <c r="A12" s="101">
        <v>2</v>
      </c>
      <c r="B12" s="71">
        <f t="shared" si="0"/>
        <v>105855.09999999999</v>
      </c>
      <c r="C12" s="71">
        <f>B12+C11</f>
        <v>212855.09999999998</v>
      </c>
      <c r="D12" s="3"/>
      <c r="E12" s="101">
        <v>2</v>
      </c>
      <c r="F12" s="71">
        <f t="shared" ref="F12:F43" si="1">(F11*(1+MarketGrowth))</f>
        <v>10025000</v>
      </c>
      <c r="G12" s="71">
        <f>(F12-H11)*Captured_Period</f>
        <v>106122.59999999999</v>
      </c>
      <c r="H12" s="71">
        <f>G12+H11</f>
        <v>213122.59999999998</v>
      </c>
    </row>
    <row r="13" spans="1:8" x14ac:dyDescent="0.35">
      <c r="A13" s="101">
        <v>3</v>
      </c>
      <c r="B13" s="71">
        <f t="shared" si="0"/>
        <v>104722.45043</v>
      </c>
      <c r="C13" s="71">
        <f t="shared" ref="C13:C47" si="2">B13+C12</f>
        <v>317577.55042999994</v>
      </c>
      <c r="D13" s="3"/>
      <c r="E13" s="101">
        <v>3</v>
      </c>
      <c r="F13" s="71">
        <f t="shared" si="1"/>
        <v>10050062.5</v>
      </c>
      <c r="G13" s="71">
        <f>(F13-H12)*Captured_Period</f>
        <v>105255.25693</v>
      </c>
      <c r="H13" s="71">
        <f>G13+H12</f>
        <v>318377.85693000001</v>
      </c>
    </row>
    <row r="14" spans="1:8" x14ac:dyDescent="0.35">
      <c r="A14" s="101">
        <v>4</v>
      </c>
      <c r="B14" s="71">
        <f t="shared" si="0"/>
        <v>103601.920210399</v>
      </c>
      <c r="C14" s="71">
        <f t="shared" si="2"/>
        <v>421179.47064039891</v>
      </c>
      <c r="D14" s="3"/>
      <c r="E14" s="101">
        <v>4</v>
      </c>
      <c r="F14" s="71">
        <f t="shared" si="1"/>
        <v>10075187.65625</v>
      </c>
      <c r="G14" s="71">
        <f>(F14-H13)*Captured_Period</f>
        <v>104397.86485272399</v>
      </c>
      <c r="H14" s="71">
        <f>G14+H13</f>
        <v>422775.72178272402</v>
      </c>
    </row>
    <row r="15" spans="1:8" x14ac:dyDescent="0.35">
      <c r="A15" s="101">
        <v>5</v>
      </c>
      <c r="B15" s="71">
        <f t="shared" si="0"/>
        <v>102493.37966414772</v>
      </c>
      <c r="C15" s="71">
        <f t="shared" si="2"/>
        <v>523672.85030454665</v>
      </c>
      <c r="D15" s="3"/>
      <c r="E15" s="101">
        <v>5</v>
      </c>
      <c r="F15" s="71">
        <f t="shared" si="1"/>
        <v>10100375.625390625</v>
      </c>
      <c r="G15" s="71">
        <f>(F15-H14)*Captured_Period</f>
        <v>103550.31896860454</v>
      </c>
      <c r="H15" s="71">
        <f t="shared" ref="H13:H24" si="3">G15+H14</f>
        <v>526326.04075132858</v>
      </c>
    </row>
    <row r="16" spans="1:8" x14ac:dyDescent="0.35">
      <c r="A16" s="101">
        <v>6</v>
      </c>
      <c r="B16" s="71">
        <f t="shared" si="0"/>
        <v>101396.70050174136</v>
      </c>
      <c r="C16" s="71">
        <f t="shared" si="2"/>
        <v>625069.55080628803</v>
      </c>
      <c r="D16" s="3"/>
      <c r="E16" s="101">
        <v>6</v>
      </c>
      <c r="F16" s="71">
        <f t="shared" si="1"/>
        <v>10125626.564454101</v>
      </c>
      <c r="G16" s="71">
        <f>(F16-H15)*Captured_Period</f>
        <v>102712.51560361966</v>
      </c>
      <c r="H16" s="71">
        <f t="shared" si="3"/>
        <v>629038.5563549482</v>
      </c>
    </row>
    <row r="17" spans="1:9" x14ac:dyDescent="0.35">
      <c r="A17" s="101">
        <v>7</v>
      </c>
      <c r="B17" s="71">
        <f t="shared" si="0"/>
        <v>100311.75580637272</v>
      </c>
      <c r="C17" s="71">
        <f t="shared" si="2"/>
        <v>725381.30661266076</v>
      </c>
      <c r="D17" s="3"/>
      <c r="E17" s="101">
        <v>7</v>
      </c>
      <c r="F17" s="71">
        <f t="shared" si="1"/>
        <v>10150940.630865235</v>
      </c>
      <c r="G17" s="71">
        <f>(F17-H16)*Captured_Period</f>
        <v>101884.35219726007</v>
      </c>
      <c r="H17" s="71">
        <f t="shared" si="3"/>
        <v>730922.90855220822</v>
      </c>
    </row>
    <row r="18" spans="1:9" x14ac:dyDescent="0.35">
      <c r="A18" s="101">
        <v>8</v>
      </c>
      <c r="B18" s="71">
        <f t="shared" si="0"/>
        <v>99238.420019244528</v>
      </c>
      <c r="C18" s="71">
        <f t="shared" si="2"/>
        <v>824619.7266319053</v>
      </c>
      <c r="D18" s="3"/>
      <c r="E18" s="101">
        <v>8</v>
      </c>
      <c r="F18" s="71">
        <f t="shared" si="1"/>
        <v>10176317.982442398</v>
      </c>
      <c r="G18" s="71">
        <f>(F18-H17)*Captured_Period</f>
        <v>101065.72729062501</v>
      </c>
      <c r="H18" s="71">
        <f t="shared" si="3"/>
        <v>831988.6358428332</v>
      </c>
    </row>
    <row r="19" spans="1:9" x14ac:dyDescent="0.35">
      <c r="A19" s="101">
        <v>9</v>
      </c>
      <c r="B19" s="71">
        <f t="shared" si="0"/>
        <v>98176.568925038606</v>
      </c>
      <c r="C19" s="71">
        <f t="shared" si="2"/>
        <v>922796.29555694386</v>
      </c>
      <c r="D19" s="3"/>
      <c r="E19" s="101">
        <v>9</v>
      </c>
      <c r="F19" s="71">
        <f t="shared" si="1"/>
        <v>10201758.777398502</v>
      </c>
      <c r="G19" s="71">
        <f>(F19-H18)*Captured_Period</f>
        <v>100256.54051464565</v>
      </c>
      <c r="H19" s="71">
        <f t="shared" si="3"/>
        <v>932245.17635747883</v>
      </c>
    </row>
    <row r="20" spans="1:9" x14ac:dyDescent="0.35">
      <c r="A20" s="101">
        <v>10</v>
      </c>
      <c r="B20" s="71">
        <f t="shared" si="0"/>
        <v>97126.079637540694</v>
      </c>
      <c r="C20" s="71">
        <f t="shared" si="2"/>
        <v>1019922.3751944846</v>
      </c>
      <c r="D20" s="3"/>
      <c r="E20" s="101">
        <v>10</v>
      </c>
      <c r="F20" s="71">
        <f t="shared" si="1"/>
        <v>10227263.174341999</v>
      </c>
      <c r="G20" s="71">
        <f>(F20-H19)*Captured_Period</f>
        <v>99456.692578434377</v>
      </c>
      <c r="H20" s="71">
        <f t="shared" si="3"/>
        <v>1031701.8689359132</v>
      </c>
    </row>
    <row r="21" spans="1:9" x14ac:dyDescent="0.35">
      <c r="A21" s="101">
        <v>11</v>
      </c>
      <c r="B21" s="71">
        <f t="shared" si="0"/>
        <v>96086.830585419011</v>
      </c>
      <c r="C21" s="71">
        <f t="shared" si="2"/>
        <v>1116009.2057799036</v>
      </c>
      <c r="D21" s="3"/>
      <c r="E21" s="101">
        <v>11</v>
      </c>
      <c r="F21" s="71">
        <f t="shared" si="1"/>
        <v>10252831.332277853</v>
      </c>
      <c r="G21" s="71">
        <f>(F21-H20)*Captured_Period</f>
        <v>98666.08525775875</v>
      </c>
      <c r="H21" s="71">
        <f t="shared" si="3"/>
        <v>1130367.9541936719</v>
      </c>
    </row>
    <row r="22" spans="1:9" x14ac:dyDescent="0.35">
      <c r="A22" s="101">
        <v>12</v>
      </c>
      <c r="B22" s="71">
        <f t="shared" si="0"/>
        <v>95058.701498155031</v>
      </c>
      <c r="C22" s="71">
        <f t="shared" si="2"/>
        <v>1211067.9072780586</v>
      </c>
      <c r="D22" s="3"/>
      <c r="E22" s="101">
        <v>12</v>
      </c>
      <c r="F22" s="71">
        <f t="shared" si="1"/>
        <v>10278463.410608547</v>
      </c>
      <c r="G22" s="71">
        <f>(F22-H21)*Captured_Period</f>
        <v>97884.621383639154</v>
      </c>
      <c r="H22" s="71">
        <f t="shared" si="3"/>
        <v>1228252.575577311</v>
      </c>
    </row>
    <row r="23" spans="1:9" x14ac:dyDescent="0.35">
      <c r="A23" s="101">
        <v>13</v>
      </c>
      <c r="B23" s="71">
        <f t="shared" si="0"/>
        <v>94041.573392124759</v>
      </c>
      <c r="C23" s="71">
        <f t="shared" si="2"/>
        <v>1305109.4806701834</v>
      </c>
      <c r="D23" s="3"/>
      <c r="E23" s="101">
        <v>13</v>
      </c>
      <c r="F23" s="71">
        <f t="shared" si="1"/>
        <v>10304159.569135068</v>
      </c>
      <c r="G23" s="71">
        <f>(F23-H22)*Captured_Period</f>
        <v>97112.204831067997</v>
      </c>
      <c r="H23" s="71">
        <f t="shared" si="3"/>
        <v>1325364.7804083789</v>
      </c>
    </row>
    <row r="24" spans="1:9" x14ac:dyDescent="0.35">
      <c r="A24" s="101">
        <v>14</v>
      </c>
      <c r="B24" s="71">
        <f t="shared" si="0"/>
        <v>93035.32855682903</v>
      </c>
      <c r="C24" s="71">
        <f t="shared" si="2"/>
        <v>1398144.8092270126</v>
      </c>
      <c r="D24" s="3"/>
      <c r="E24" s="101">
        <v>14</v>
      </c>
      <c r="F24" s="71">
        <f t="shared" si="1"/>
        <v>10329919.968057904</v>
      </c>
      <c r="G24" s="71">
        <f>(F24-H23)*Captured_Period</f>
        <v>96348.740507849914</v>
      </c>
      <c r="H24" s="71">
        <f t="shared" si="3"/>
        <v>1421713.5209162289</v>
      </c>
    </row>
    <row r="25" spans="1:9" x14ac:dyDescent="0.35">
      <c r="A25" s="101">
        <v>15</v>
      </c>
      <c r="B25" s="71">
        <f t="shared" si="0"/>
        <v>92039.850541270964</v>
      </c>
      <c r="C25" s="71">
        <f t="shared" si="2"/>
        <v>1490184.6597682836</v>
      </c>
      <c r="D25" s="3"/>
      <c r="E25" s="101">
        <v>15</v>
      </c>
      <c r="F25" s="71">
        <f t="shared" si="1"/>
        <v>10355744.767978048</v>
      </c>
      <c r="G25" s="71">
        <f>(F25-H24)*Captured_Period</f>
        <v>95594.134343561454</v>
      </c>
      <c r="H25" s="71">
        <f>G25+H24</f>
        <v>1517307.6552597904</v>
      </c>
      <c r="I25" s="73"/>
    </row>
    <row r="26" spans="1:9" x14ac:dyDescent="0.35">
      <c r="A26" s="101">
        <v>16</v>
      </c>
      <c r="B26" s="71">
        <f t="shared" si="0"/>
        <v>91055.024140479363</v>
      </c>
      <c r="C26" s="71">
        <f t="shared" si="2"/>
        <v>1581239.6839087629</v>
      </c>
      <c r="D26" s="3"/>
      <c r="E26" s="101">
        <v>16</v>
      </c>
      <c r="F26" s="71">
        <f t="shared" si="1"/>
        <v>10381634.129897993</v>
      </c>
      <c r="G26" s="71">
        <f>(F26-H25)*Captured_Period</f>
        <v>94848.293278628771</v>
      </c>
      <c r="H26" s="71">
        <f t="shared" ref="H26:H70" si="4">G26+H25</f>
        <v>1612155.9485384191</v>
      </c>
    </row>
    <row r="27" spans="1:9" x14ac:dyDescent="0.35">
      <c r="A27" s="101">
        <v>17</v>
      </c>
      <c r="B27" s="71">
        <f t="shared" si="0"/>
        <v>90080.735382176237</v>
      </c>
      <c r="C27" s="71">
        <f t="shared" si="2"/>
        <v>1671320.4192909391</v>
      </c>
      <c r="D27" s="3"/>
      <c r="E27" s="101">
        <v>17</v>
      </c>
      <c r="F27" s="71">
        <f t="shared" si="1"/>
        <v>10407588.215222737</v>
      </c>
      <c r="G27" s="71">
        <f>(F27-H26)*Captured_Period</f>
        <v>94111.125253522201</v>
      </c>
      <c r="H27" s="71">
        <f t="shared" si="4"/>
        <v>1706267.0737919414</v>
      </c>
    </row>
    <row r="28" spans="1:9" x14ac:dyDescent="0.35">
      <c r="A28" s="101">
        <v>18</v>
      </c>
      <c r="B28" s="71">
        <f t="shared" si="0"/>
        <v>89116.871513586942</v>
      </c>
      <c r="C28" s="71">
        <f t="shared" si="2"/>
        <v>1760437.2908045261</v>
      </c>
      <c r="D28" s="3"/>
      <c r="E28" s="101">
        <v>18</v>
      </c>
      <c r="F28" s="71">
        <f t="shared" si="1"/>
        <v>10433607.185760792</v>
      </c>
      <c r="G28" s="71">
        <f>(F28-H27)*Captured_Period</f>
        <v>93382.539198066705</v>
      </c>
      <c r="H28" s="71">
        <f t="shared" si="4"/>
        <v>1799649.6129900082</v>
      </c>
    </row>
    <row r="29" spans="1:9" x14ac:dyDescent="0.35">
      <c r="A29" s="101">
        <v>19</v>
      </c>
      <c r="B29" s="71">
        <f t="shared" si="0"/>
        <v>88163.32098839157</v>
      </c>
      <c r="C29" s="71">
        <f t="shared" si="2"/>
        <v>1848600.6117929176</v>
      </c>
      <c r="D29" s="3"/>
      <c r="E29" s="101">
        <v>19</v>
      </c>
      <c r="F29" s="71">
        <f t="shared" si="1"/>
        <v>10459691.203725195</v>
      </c>
      <c r="G29" s="71">
        <f>(F29-H28)*Captured_Period</f>
        <v>92662.445020866478</v>
      </c>
      <c r="H29" s="71">
        <f t="shared" si="4"/>
        <v>1892312.0580108748</v>
      </c>
    </row>
    <row r="30" spans="1:9" x14ac:dyDescent="0.35">
      <c r="A30" s="101">
        <v>20</v>
      </c>
      <c r="B30" s="71">
        <f t="shared" si="0"/>
        <v>87219.973453815779</v>
      </c>
      <c r="C30" s="71">
        <f t="shared" si="2"/>
        <v>1935820.5852467334</v>
      </c>
      <c r="D30" s="3"/>
      <c r="E30" s="101">
        <v>20</v>
      </c>
      <c r="F30" s="71">
        <f t="shared" si="1"/>
        <v>10485840.431734508</v>
      </c>
      <c r="G30" s="71">
        <f>(F30-H29)*Captured_Period</f>
        <v>91950.753598842872</v>
      </c>
      <c r="H30" s="71">
        <f t="shared" si="4"/>
        <v>1984262.8116097176</v>
      </c>
    </row>
    <row r="31" spans="1:9" x14ac:dyDescent="0.35">
      <c r="A31" s="101">
        <v>21</v>
      </c>
      <c r="B31" s="71">
        <f t="shared" si="0"/>
        <v>86286.719737859952</v>
      </c>
      <c r="C31" s="71">
        <f t="shared" si="2"/>
        <v>2022107.3049845933</v>
      </c>
      <c r="D31" s="3"/>
      <c r="E31" s="101">
        <v>21</v>
      </c>
      <c r="F31" s="71">
        <f t="shared" si="1"/>
        <v>10512055.032813843</v>
      </c>
      <c r="G31" s="71">
        <f>(F31-H30)*Captured_Period</f>
        <v>91247.376766884146</v>
      </c>
      <c r="H31" s="71">
        <f t="shared" si="4"/>
        <v>2075510.1883766018</v>
      </c>
    </row>
    <row r="32" spans="1:9" x14ac:dyDescent="0.35">
      <c r="A32" s="101">
        <v>22</v>
      </c>
      <c r="B32" s="71">
        <f t="shared" si="0"/>
        <v>85363.451836664841</v>
      </c>
      <c r="C32" s="71">
        <f t="shared" si="2"/>
        <v>2107470.756821258</v>
      </c>
      <c r="D32" s="3"/>
      <c r="E32" s="101">
        <v>22</v>
      </c>
      <c r="F32" s="71">
        <f t="shared" si="1"/>
        <v>10538335.170395877</v>
      </c>
      <c r="G32" s="71">
        <f>(F32-H31)*Captured_Period</f>
        <v>90552.227307606241</v>
      </c>
      <c r="H32" s="71">
        <f t="shared" si="4"/>
        <v>2166062.4156842078</v>
      </c>
    </row>
    <row r="33" spans="1:8" x14ac:dyDescent="0.35">
      <c r="A33" s="101">
        <v>23</v>
      </c>
      <c r="B33" s="71">
        <f t="shared" si="0"/>
        <v>84450.062902012534</v>
      </c>
      <c r="C33" s="71">
        <f t="shared" si="2"/>
        <v>2191920.8197232704</v>
      </c>
      <c r="D33" s="3"/>
      <c r="E33" s="101">
        <v>23</v>
      </c>
      <c r="F33" s="71">
        <f t="shared" si="1"/>
        <v>10564681.008321866</v>
      </c>
      <c r="G33" s="71">
        <f>(F33-H32)*Captured_Period</f>
        <v>89865.218941222935</v>
      </c>
      <c r="H33" s="71">
        <f t="shared" si="4"/>
        <v>2255927.6346254307</v>
      </c>
    </row>
    <row r="34" spans="1:8" x14ac:dyDescent="0.35">
      <c r="A34" s="101">
        <v>24</v>
      </c>
      <c r="B34" s="71">
        <f t="shared" si="0"/>
        <v>83546.447228960998</v>
      </c>
      <c r="C34" s="71">
        <f t="shared" si="2"/>
        <v>2275467.2669522315</v>
      </c>
      <c r="D34" s="3"/>
      <c r="E34" s="101">
        <v>24</v>
      </c>
      <c r="F34" s="71">
        <f t="shared" si="1"/>
        <v>10591092.710842671</v>
      </c>
      <c r="G34" s="71">
        <f>(F34-H33)*Captured_Period</f>
        <v>89186.266315524466</v>
      </c>
      <c r="H34" s="71">
        <f t="shared" si="4"/>
        <v>2345113.9009409552</v>
      </c>
    </row>
    <row r="35" spans="1:8" x14ac:dyDescent="0.35">
      <c r="A35" s="101">
        <v>25</v>
      </c>
      <c r="B35" s="71">
        <f t="shared" si="0"/>
        <v>82652.500243611124</v>
      </c>
      <c r="C35" s="71">
        <f t="shared" si="2"/>
        <v>2358119.7671958427</v>
      </c>
      <c r="D35" s="3"/>
      <c r="E35" s="101">
        <v>25</v>
      </c>
      <c r="F35" s="71">
        <f t="shared" si="1"/>
        <v>10617570.442619776</v>
      </c>
      <c r="G35" s="71">
        <f>(F35-H34)*Captured_Period</f>
        <v>88515.28499596339</v>
      </c>
      <c r="H35" s="71">
        <f t="shared" si="4"/>
        <v>2433629.1859369185</v>
      </c>
    </row>
    <row r="36" spans="1:8" x14ac:dyDescent="0.35">
      <c r="A36" s="101">
        <v>26</v>
      </c>
      <c r="B36" s="71">
        <f t="shared" si="0"/>
        <v>81768.118491004469</v>
      </c>
      <c r="C36" s="71">
        <f t="shared" si="2"/>
        <v>2439887.8856868474</v>
      </c>
      <c r="D36" s="3"/>
      <c r="E36" s="101">
        <v>26</v>
      </c>
      <c r="F36" s="71">
        <f t="shared" si="1"/>
        <v>10644114.368726326</v>
      </c>
      <c r="G36" s="71">
        <f>(F36-H35)*Captured_Period</f>
        <v>87852.191455846652</v>
      </c>
      <c r="H36" s="71">
        <f t="shared" si="4"/>
        <v>2521481.3773927651</v>
      </c>
    </row>
    <row r="37" spans="1:8" x14ac:dyDescent="0.35">
      <c r="A37" s="101">
        <v>27</v>
      </c>
      <c r="B37" s="71">
        <f t="shared" si="0"/>
        <v>80893.199623150722</v>
      </c>
      <c r="C37" s="71">
        <f t="shared" si="2"/>
        <v>2520781.0853099981</v>
      </c>
      <c r="D37" s="3"/>
      <c r="E37" s="101">
        <v>27</v>
      </c>
      <c r="F37" s="71">
        <f t="shared" si="1"/>
        <v>10670724.654648142</v>
      </c>
      <c r="G37" s="71">
        <f>(F37-H36)*Captured_Period</f>
        <v>87196.903066632527</v>
      </c>
      <c r="H37" s="71">
        <f t="shared" si="4"/>
        <v>2608678.2804593975</v>
      </c>
    </row>
    <row r="38" spans="1:8" x14ac:dyDescent="0.35">
      <c r="A38" s="101">
        <v>28</v>
      </c>
      <c r="B38" s="71">
        <f t="shared" si="0"/>
        <v>80027.642387183019</v>
      </c>
      <c r="C38" s="71">
        <f t="shared" si="2"/>
        <v>2600808.727697181</v>
      </c>
      <c r="D38" s="3"/>
      <c r="E38" s="101">
        <v>28</v>
      </c>
      <c r="F38" s="71">
        <f t="shared" si="1"/>
        <v>10697401.466284761</v>
      </c>
      <c r="G38" s="71">
        <f>(F38-H37)*Captured_Period</f>
        <v>86549.33808833138</v>
      </c>
      <c r="H38" s="71">
        <f t="shared" si="4"/>
        <v>2695227.6185477288</v>
      </c>
    </row>
    <row r="39" spans="1:8" x14ac:dyDescent="0.35">
      <c r="A39" s="101">
        <v>29</v>
      </c>
      <c r="B39" s="71">
        <f t="shared" si="0"/>
        <v>79171.346613640169</v>
      </c>
      <c r="C39" s="71">
        <f t="shared" si="2"/>
        <v>2679980.074310821</v>
      </c>
      <c r="D39" s="3"/>
      <c r="E39" s="101">
        <v>29</v>
      </c>
      <c r="F39" s="71">
        <f t="shared" si="1"/>
        <v>10724144.969950473</v>
      </c>
      <c r="G39" s="71">
        <f>(F39-H38)*Captured_Period</f>
        <v>85909.41566000937</v>
      </c>
      <c r="H39" s="71">
        <f t="shared" si="4"/>
        <v>2781137.034207738</v>
      </c>
    </row>
    <row r="40" spans="1:8" x14ac:dyDescent="0.35">
      <c r="A40" s="101">
        <v>30</v>
      </c>
      <c r="B40" s="71">
        <f t="shared" si="0"/>
        <v>78324.213204874221</v>
      </c>
      <c r="C40" s="71">
        <f t="shared" si="2"/>
        <v>2758304.2875156952</v>
      </c>
      <c r="D40" s="3"/>
      <c r="E40" s="101">
        <v>30</v>
      </c>
      <c r="F40" s="71">
        <f t="shared" si="1"/>
        <v>10750955.332375349</v>
      </c>
      <c r="G40" s="71">
        <f>(F40-H39)*Captured_Period</f>
        <v>85277.055790393439</v>
      </c>
      <c r="H40" s="71">
        <f t="shared" si="4"/>
        <v>2866414.0899981316</v>
      </c>
    </row>
    <row r="41" spans="1:8" x14ac:dyDescent="0.35">
      <c r="A41" s="101">
        <v>31</v>
      </c>
      <c r="B41" s="71">
        <f t="shared" si="0"/>
        <v>77486.144123582053</v>
      </c>
      <c r="C41" s="71">
        <f t="shared" si="2"/>
        <v>2835790.4316392774</v>
      </c>
      <c r="D41" s="3"/>
      <c r="E41" s="101">
        <v>31</v>
      </c>
      <c r="F41" s="71">
        <f t="shared" si="1"/>
        <v>10777832.720706288</v>
      </c>
      <c r="G41" s="71">
        <f>(F41-H40)*Captured_Period</f>
        <v>84652.179348577265</v>
      </c>
      <c r="H41" s="71">
        <f t="shared" si="4"/>
        <v>2951066.2693467089</v>
      </c>
    </row>
    <row r="42" spans="1:8" x14ac:dyDescent="0.35">
      <c r="A42" s="101">
        <v>32</v>
      </c>
      <c r="B42" s="71">
        <f t="shared" si="0"/>
        <v>76657.042381459731</v>
      </c>
      <c r="C42" s="71">
        <f t="shared" si="2"/>
        <v>2912447.4740207372</v>
      </c>
      <c r="D42" s="3"/>
      <c r="E42" s="101">
        <v>32</v>
      </c>
      <c r="F42" s="71">
        <f t="shared" si="1"/>
        <v>10804777.302508052</v>
      </c>
      <c r="G42" s="71">
        <f>(F42-H41)*Captured_Period</f>
        <v>84034.708054826377</v>
      </c>
      <c r="H42" s="71">
        <f t="shared" si="4"/>
        <v>3035100.9774015355</v>
      </c>
    </row>
    <row r="43" spans="1:8" x14ac:dyDescent="0.35">
      <c r="A43" s="101">
        <v>33</v>
      </c>
      <c r="B43" s="71">
        <f t="shared" ref="B43:B70" si="5">Captured*(TotalMarketPotential-C42)</f>
        <v>75836.812027978114</v>
      </c>
      <c r="C43" s="71">
        <f t="shared" si="2"/>
        <v>2988284.2860487155</v>
      </c>
      <c r="D43" s="3"/>
      <c r="E43" s="101">
        <v>33</v>
      </c>
      <c r="F43" s="71">
        <f t="shared" si="1"/>
        <v>10831789.245764323</v>
      </c>
      <c r="G43" s="71">
        <f>(F43-H42)*Captured_Period</f>
        <v>83424.564471481819</v>
      </c>
      <c r="H43" s="71">
        <f t="shared" si="4"/>
        <v>3118525.5418730173</v>
      </c>
    </row>
    <row r="44" spans="1:8" x14ac:dyDescent="0.35">
      <c r="A44" s="101">
        <v>34</v>
      </c>
      <c r="B44" s="71">
        <f t="shared" si="5"/>
        <v>75025.358139278731</v>
      </c>
      <c r="C44" s="71">
        <f t="shared" si="2"/>
        <v>3063309.6441879943</v>
      </c>
      <c r="D44" s="3"/>
      <c r="E44" s="101">
        <v>34</v>
      </c>
      <c r="F44" s="71">
        <f t="shared" ref="F44:F70" si="6">(F43*(1+MarketGrowth))</f>
        <v>10858868.718878733</v>
      </c>
      <c r="G44" s="71">
        <f>(F44-H43)*Captured_Period</f>
        <v>82821.67199396115</v>
      </c>
      <c r="H44" s="71">
        <f>G44+H43</f>
        <v>3201347.2138669784</v>
      </c>
    </row>
    <row r="45" spans="1:8" x14ac:dyDescent="0.35">
      <c r="A45" s="101">
        <v>35</v>
      </c>
      <c r="B45" s="71">
        <f t="shared" si="5"/>
        <v>74222.586807188462</v>
      </c>
      <c r="C45" s="71">
        <f t="shared" si="2"/>
        <v>3137532.2309951829</v>
      </c>
      <c r="D45" s="3"/>
      <c r="E45" s="101">
        <v>35</v>
      </c>
      <c r="F45" s="71">
        <f t="shared" si="6"/>
        <v>10886015.890675928</v>
      </c>
      <c r="G45" s="71">
        <f>(F45-H44)*Captured_Period</f>
        <v>82225.954841855753</v>
      </c>
      <c r="H45" s="71">
        <f t="shared" si="4"/>
        <v>3283573.1687088343</v>
      </c>
    </row>
    <row r="46" spans="1:8" x14ac:dyDescent="0.35">
      <c r="A46" s="101">
        <v>36</v>
      </c>
      <c r="B46" s="71">
        <f t="shared" si="5"/>
        <v>73428.405128351544</v>
      </c>
      <c r="C46" s="71">
        <f t="shared" si="2"/>
        <v>3210960.6361235343</v>
      </c>
      <c r="D46" s="3"/>
      <c r="E46" s="101">
        <v>36</v>
      </c>
      <c r="F46" s="71">
        <f t="shared" si="6"/>
        <v>10913230.930402618</v>
      </c>
      <c r="G46" s="71">
        <f>(F46-H45)*Captured_Period</f>
        <v>81637.338050123479</v>
      </c>
      <c r="H46" s="71">
        <f t="shared" si="4"/>
        <v>3365210.5067589576</v>
      </c>
    </row>
    <row r="47" spans="1:8" x14ac:dyDescent="0.35">
      <c r="A47" s="101">
        <v>37</v>
      </c>
      <c r="B47" s="71">
        <f t="shared" si="5"/>
        <v>72642.721193478181</v>
      </c>
      <c r="C47" s="71">
        <f t="shared" si="2"/>
        <v>3283603.3573170123</v>
      </c>
      <c r="D47" s="3"/>
      <c r="E47" s="101">
        <v>37</v>
      </c>
      <c r="F47" s="71">
        <f t="shared" si="6"/>
        <v>10940514.007728623</v>
      </c>
      <c r="G47" s="71">
        <f>(F47-H46)*Captured_Period</f>
        <v>81055.747460375409</v>
      </c>
      <c r="H47" s="71">
        <f t="shared" si="4"/>
        <v>3446266.2542193332</v>
      </c>
    </row>
    <row r="48" spans="1:8" x14ac:dyDescent="0.35">
      <c r="A48" s="101">
        <v>38</v>
      </c>
      <c r="B48" s="71">
        <f t="shared" si="5"/>
        <v>71865.444076707965</v>
      </c>
      <c r="C48" s="71">
        <f>B48+C47</f>
        <v>3355468.8013937203</v>
      </c>
      <c r="D48" s="3"/>
      <c r="E48" s="101">
        <v>38</v>
      </c>
      <c r="F48" s="71">
        <f t="shared" si="6"/>
        <v>10967865.292747945</v>
      </c>
      <c r="G48" s="71">
        <f>(F48-H47)*Captured_Period</f>
        <v>80481.109712256148</v>
      </c>
      <c r="H48" s="71">
        <f t="shared" si="4"/>
        <v>3526747.3639315893</v>
      </c>
    </row>
    <row r="49" spans="1:8" x14ac:dyDescent="0.35">
      <c r="A49" s="101">
        <v>39</v>
      </c>
      <c r="B49" s="71">
        <f t="shared" si="5"/>
        <v>71096.483825087184</v>
      </c>
      <c r="C49" s="71">
        <f>B49+C48</f>
        <v>3426565.2852188074</v>
      </c>
      <c r="D49" s="3"/>
      <c r="E49" s="101">
        <v>39</v>
      </c>
      <c r="F49" s="71">
        <f t="shared" si="6"/>
        <v>10995284.955979815</v>
      </c>
      <c r="G49" s="71">
        <f>(F49-H48)*Captured_Period</f>
        <v>79913.352234916019</v>
      </c>
      <c r="H49" s="71">
        <f t="shared" si="4"/>
        <v>3606660.7161665051</v>
      </c>
    </row>
    <row r="50" spans="1:8" x14ac:dyDescent="0.35">
      <c r="A50" s="101">
        <v>40</v>
      </c>
      <c r="B50" s="71">
        <f t="shared" si="5"/>
        <v>70335.751448158757</v>
      </c>
      <c r="C50" s="71">
        <f t="shared" ref="C50:C60" si="7">B50+C49</f>
        <v>3496901.036666966</v>
      </c>
      <c r="D50" s="3"/>
      <c r="E50" s="101">
        <v>40</v>
      </c>
      <c r="F50" s="71">
        <f t="shared" si="6"/>
        <v>11022773.168369764</v>
      </c>
      <c r="G50" s="71">
        <f>(F50-H49)*Captured_Period</f>
        <v>79352.403238574872</v>
      </c>
      <c r="H50" s="71">
        <f t="shared" si="4"/>
        <v>3686013.1194050801</v>
      </c>
    </row>
    <row r="51" spans="1:8" x14ac:dyDescent="0.35">
      <c r="A51" s="101">
        <v>41</v>
      </c>
      <c r="B51" s="71">
        <f t="shared" si="5"/>
        <v>69583.158907663455</v>
      </c>
      <c r="C51" s="71">
        <f t="shared" si="7"/>
        <v>3566484.1955746296</v>
      </c>
      <c r="D51" s="3"/>
      <c r="E51" s="101">
        <v>41</v>
      </c>
      <c r="F51" s="71">
        <f t="shared" si="6"/>
        <v>11050330.101290688</v>
      </c>
      <c r="G51" s="71">
        <f>(F51-H50)*Captured_Period</f>
        <v>78798.191706176003</v>
      </c>
      <c r="H51" s="71">
        <f t="shared" si="4"/>
        <v>3764811.311111256</v>
      </c>
    </row>
    <row r="52" spans="1:8" x14ac:dyDescent="0.35">
      <c r="A52" s="101">
        <v>42</v>
      </c>
      <c r="B52" s="71">
        <f t="shared" si="5"/>
        <v>68838.619107351449</v>
      </c>
      <c r="C52" s="71">
        <f t="shared" si="7"/>
        <v>3635322.8146819812</v>
      </c>
      <c r="D52" s="3"/>
      <c r="E52" s="101">
        <v>42</v>
      </c>
      <c r="F52" s="71">
        <f t="shared" si="6"/>
        <v>11077955.926543914</v>
      </c>
      <c r="G52" s="71">
        <f>(F52-H51)*Captured_Period</f>
        <v>78250.647385129429</v>
      </c>
      <c r="H52" s="71">
        <f t="shared" si="4"/>
        <v>3843061.9584963853</v>
      </c>
    </row>
    <row r="53" spans="1:8" x14ac:dyDescent="0.35">
      <c r="A53" s="101">
        <v>43</v>
      </c>
      <c r="B53" s="71">
        <f t="shared" si="5"/>
        <v>68102.045882902807</v>
      </c>
      <c r="C53" s="71">
        <f t="shared" si="7"/>
        <v>3703424.8605648838</v>
      </c>
      <c r="D53" s="3"/>
      <c r="E53" s="101">
        <v>43</v>
      </c>
      <c r="F53" s="71">
        <f t="shared" si="6"/>
        <v>11105650.816360272</v>
      </c>
      <c r="G53" s="71">
        <f>(F53-H52)*Captured_Period</f>
        <v>77709.70077914359</v>
      </c>
      <c r="H53" s="71">
        <f t="shared" si="4"/>
        <v>3920771.659275529</v>
      </c>
    </row>
    <row r="54" spans="1:8" x14ac:dyDescent="0.35">
      <c r="A54" s="101">
        <v>44</v>
      </c>
      <c r="B54" s="71">
        <f t="shared" si="5"/>
        <v>67373.353991955737</v>
      </c>
      <c r="C54" s="71">
        <f t="shared" si="7"/>
        <v>3770798.2145568393</v>
      </c>
      <c r="D54" s="3"/>
      <c r="E54" s="101">
        <v>44</v>
      </c>
      <c r="F54" s="71">
        <f t="shared" si="6"/>
        <v>11133414.943401173</v>
      </c>
      <c r="G54" s="71">
        <f>(F54-H53)*Captured_Period</f>
        <v>77175.283140144384</v>
      </c>
      <c r="H54" s="71">
        <f t="shared" si="4"/>
        <v>3997946.9424156733</v>
      </c>
    </row>
    <row r="55" spans="1:8" x14ac:dyDescent="0.35">
      <c r="A55" s="101">
        <v>45</v>
      </c>
      <c r="B55" s="71">
        <f t="shared" si="5"/>
        <v>66652.459104241818</v>
      </c>
      <c r="C55" s="71">
        <f t="shared" si="7"/>
        <v>3837450.6736610811</v>
      </c>
      <c r="D55" s="3"/>
      <c r="E55" s="101">
        <v>45</v>
      </c>
      <c r="F55" s="71">
        <f t="shared" si="6"/>
        <v>11161248.480759675</v>
      </c>
      <c r="G55" s="71">
        <f>(F55-H54)*Captured_Period</f>
        <v>76647.326460280805</v>
      </c>
      <c r="H55" s="71">
        <f t="shared" si="4"/>
        <v>4074594.2688759542</v>
      </c>
    </row>
    <row r="56" spans="1:8" x14ac:dyDescent="0.35">
      <c r="A56" s="101">
        <v>46</v>
      </c>
      <c r="B56" s="71">
        <f t="shared" si="5"/>
        <v>65939.277791826433</v>
      </c>
      <c r="C56" s="71">
        <f t="shared" si="7"/>
        <v>3903389.9514529076</v>
      </c>
      <c r="D56" s="3"/>
      <c r="E56" s="101">
        <v>46</v>
      </c>
      <c r="F56" s="71">
        <f t="shared" si="6"/>
        <v>11189151.601961574</v>
      </c>
      <c r="G56" s="71">
        <f>(F56-H55)*Captured_Period</f>
        <v>76125.763464016112</v>
      </c>
      <c r="H56" s="71">
        <f t="shared" si="4"/>
        <v>4150720.0323399701</v>
      </c>
    </row>
    <row r="57" spans="1:8" x14ac:dyDescent="0.35">
      <c r="A57" s="101">
        <v>47</v>
      </c>
      <c r="B57" s="71">
        <f t="shared" si="5"/>
        <v>65233.727519453889</v>
      </c>
      <c r="C57" s="71">
        <f t="shared" si="7"/>
        <v>3968623.6789723616</v>
      </c>
      <c r="D57" s="3"/>
      <c r="E57" s="101">
        <v>47</v>
      </c>
      <c r="F57" s="71">
        <f t="shared" si="6"/>
        <v>11217124.480966477</v>
      </c>
      <c r="G57" s="71">
        <f>(F57-H56)*Captured_Period</f>
        <v>75610.527600303627</v>
      </c>
      <c r="H57" s="71">
        <f t="shared" si="4"/>
        <v>4226330.5599402739</v>
      </c>
    </row>
    <row r="58" spans="1:8" x14ac:dyDescent="0.35">
      <c r="A58" s="101">
        <v>48</v>
      </c>
      <c r="B58" s="71">
        <f t="shared" si="5"/>
        <v>64535.726634995728</v>
      </c>
      <c r="C58" s="71">
        <f t="shared" si="7"/>
        <v>4033159.4056073572</v>
      </c>
      <c r="D58" s="3"/>
      <c r="E58" s="101">
        <v>48</v>
      </c>
      <c r="F58" s="71">
        <f t="shared" si="6"/>
        <v>11245167.292168893</v>
      </c>
      <c r="G58" s="71">
        <f>(F58-H57)*Captured_Period</f>
        <v>75101.55303484622</v>
      </c>
      <c r="H58" s="71">
        <f t="shared" si="4"/>
        <v>4301432.1129751205</v>
      </c>
    </row>
    <row r="59" spans="1:8" x14ac:dyDescent="0.35">
      <c r="A59" s="101">
        <v>49</v>
      </c>
      <c r="B59" s="71">
        <f t="shared" si="5"/>
        <v>63845.194360001267</v>
      </c>
      <c r="C59" s="71">
        <f t="shared" si="7"/>
        <v>4097004.5999673586</v>
      </c>
      <c r="D59" s="3"/>
      <c r="E59" s="101">
        <v>49</v>
      </c>
      <c r="F59" s="71">
        <f t="shared" si="6"/>
        <v>11273280.210399315</v>
      </c>
      <c r="G59" s="71">
        <f>(F59-H58)*Captured_Period</f>
        <v>74598.774642438875</v>
      </c>
      <c r="H59" s="71">
        <f t="shared" si="4"/>
        <v>4376030.8876175592</v>
      </c>
    </row>
    <row r="60" spans="1:8" x14ac:dyDescent="0.35">
      <c r="A60" s="101">
        <v>50</v>
      </c>
      <c r="B60" s="71">
        <f t="shared" si="5"/>
        <v>63162.050780349258</v>
      </c>
      <c r="C60" s="71">
        <f t="shared" si="7"/>
        <v>4160166.650747708</v>
      </c>
      <c r="D60" s="3"/>
      <c r="E60" s="101">
        <v>50</v>
      </c>
      <c r="F60" s="71">
        <f t="shared" si="6"/>
        <v>11301463.410925312</v>
      </c>
      <c r="G60" s="71">
        <f>(F60-H59)*Captured_Period</f>
        <v>74102.127999392949</v>
      </c>
      <c r="H60" s="71">
        <f t="shared" si="4"/>
        <v>4450133.0156169524</v>
      </c>
    </row>
    <row r="61" spans="1:8" x14ac:dyDescent="0.35">
      <c r="A61" s="101">
        <v>51</v>
      </c>
      <c r="B61" s="71">
        <f t="shared" si="5"/>
        <v>62486.21683699952</v>
      </c>
      <c r="C61" s="71">
        <f>B61+C60</f>
        <v>4222652.8675847072</v>
      </c>
      <c r="D61" s="3"/>
      <c r="E61" s="101">
        <v>51</v>
      </c>
      <c r="F61" s="71">
        <f t="shared" si="6"/>
        <v>11329717.069452625</v>
      </c>
      <c r="G61" s="71">
        <f>(F61-H60)*Captured_Period</f>
        <v>73611.549376041687</v>
      </c>
      <c r="H61" s="71">
        <f t="shared" si="4"/>
        <v>4523744.5649929941</v>
      </c>
    </row>
    <row r="62" spans="1:8" x14ac:dyDescent="0.35">
      <c r="A62" s="101">
        <v>52</v>
      </c>
      <c r="B62" s="71">
        <f t="shared" si="5"/>
        <v>61817.614316843632</v>
      </c>
      <c r="C62" s="71">
        <f>B62+C61</f>
        <v>4284470.4819015507</v>
      </c>
      <c r="D62" s="3"/>
      <c r="E62" s="101">
        <v>52</v>
      </c>
      <c r="F62" s="71">
        <f t="shared" si="6"/>
        <v>11358041.362126255</v>
      </c>
      <c r="G62" s="71">
        <f>(F62-H61)*Captured_Period</f>
        <v>73126.975729325888</v>
      </c>
      <c r="H62" s="71">
        <f t="shared" si="4"/>
        <v>4596871.5407223199</v>
      </c>
    </row>
    <row r="63" spans="1:8" x14ac:dyDescent="0.35">
      <c r="A63" s="101">
        <v>53</v>
      </c>
      <c r="B63" s="71">
        <f t="shared" si="5"/>
        <v>61156.165843653405</v>
      </c>
      <c r="C63" s="71">
        <f t="shared" ref="C63:C70" si="8">B63+C62</f>
        <v>4345626.6477452042</v>
      </c>
      <c r="D63" s="3"/>
      <c r="E63" s="101">
        <v>53</v>
      </c>
      <c r="F63" s="71">
        <f t="shared" si="6"/>
        <v>11386436.465531571</v>
      </c>
      <c r="G63" s="71">
        <f>(F63-H62)*Captured_Period</f>
        <v>72648.344695458974</v>
      </c>
      <c r="H63" s="71">
        <f>G63+H62</f>
        <v>4669519.885417779</v>
      </c>
    </row>
    <row r="64" spans="1:8" x14ac:dyDescent="0.35">
      <c r="A64" s="101">
        <v>54</v>
      </c>
      <c r="B64" s="71">
        <f t="shared" si="5"/>
        <v>60501.794869126315</v>
      </c>
      <c r="C64" s="71">
        <f t="shared" si="8"/>
        <v>4406128.4426143309</v>
      </c>
      <c r="D64" s="3"/>
      <c r="E64" s="101">
        <v>54</v>
      </c>
      <c r="F64" s="71">
        <f t="shared" si="6"/>
        <v>11414902.5566954</v>
      </c>
      <c r="G64" s="71">
        <f>(F64-H63)*Captured_Period</f>
        <v>72175.594582670543</v>
      </c>
      <c r="H64" s="71">
        <f t="shared" si="4"/>
        <v>4741695.4800004493</v>
      </c>
    </row>
    <row r="65" spans="1:8" x14ac:dyDescent="0.35">
      <c r="A65" s="101">
        <v>55</v>
      </c>
      <c r="B65" s="71">
        <f t="shared" si="5"/>
        <v>59854.425664026654</v>
      </c>
      <c r="C65" s="71">
        <f t="shared" si="8"/>
        <v>4465982.8682783572</v>
      </c>
      <c r="D65" s="3"/>
      <c r="E65" s="101">
        <v>55</v>
      </c>
      <c r="F65" s="71">
        <f t="shared" si="6"/>
        <v>11443439.813087137</v>
      </c>
      <c r="G65" s="71">
        <f>(F65-H64)*Captured_Period</f>
        <v>71708.664364027558</v>
      </c>
      <c r="H65" s="71">
        <f t="shared" si="4"/>
        <v>4813404.1443644771</v>
      </c>
    </row>
    <row r="66" spans="1:8" x14ac:dyDescent="0.35">
      <c r="A66" s="101">
        <v>56</v>
      </c>
      <c r="B66" s="71">
        <f t="shared" si="5"/>
        <v>59213.983309421572</v>
      </c>
      <c r="C66" s="71">
        <f t="shared" si="8"/>
        <v>4525196.8515877789</v>
      </c>
      <c r="D66" s="3"/>
      <c r="E66" s="101">
        <v>56</v>
      </c>
      <c r="F66" s="71">
        <f t="shared" si="6"/>
        <v>11472048.412619855</v>
      </c>
      <c r="G66" s="71">
        <f>(F66-H65)*Captured_Period</f>
        <v>71247.493670332537</v>
      </c>
      <c r="H66" s="71">
        <f t="shared" si="4"/>
        <v>4884651.6380348094</v>
      </c>
    </row>
    <row r="67" spans="1:8" x14ac:dyDescent="0.35">
      <c r="A67" s="101">
        <v>57</v>
      </c>
      <c r="B67" s="71">
        <f t="shared" si="5"/>
        <v>58580.393688010765</v>
      </c>
      <c r="C67" s="71">
        <f t="shared" si="8"/>
        <v>4583777.2452757899</v>
      </c>
      <c r="D67" s="3"/>
      <c r="E67" s="101">
        <v>57</v>
      </c>
      <c r="F67" s="71">
        <f t="shared" si="6"/>
        <v>11500728.533651404</v>
      </c>
      <c r="G67" s="71">
        <f>(F67-H66)*Captured_Period</f>
        <v>70792.022783097564</v>
      </c>
      <c r="H67" s="71">
        <f t="shared" si="4"/>
        <v>4955443.6608179072</v>
      </c>
    </row>
    <row r="68" spans="1:8" x14ac:dyDescent="0.35">
      <c r="A68" s="101">
        <v>58</v>
      </c>
      <c r="B68" s="71">
        <f t="shared" si="5"/>
        <v>57953.583475549043</v>
      </c>
      <c r="C68" s="71">
        <f t="shared" si="8"/>
        <v>4641730.8287513386</v>
      </c>
      <c r="D68" s="3"/>
      <c r="E68" s="101">
        <v>58</v>
      </c>
      <c r="F68" s="71">
        <f t="shared" si="6"/>
        <v>11529480.354985531</v>
      </c>
      <c r="G68" s="71">
        <f>(F68-H67)*Captured_Period</f>
        <v>70342.192627593569</v>
      </c>
      <c r="H68" s="71">
        <f t="shared" si="4"/>
        <v>5025785.8534455011</v>
      </c>
    </row>
    <row r="69" spans="1:8" x14ac:dyDescent="0.35">
      <c r="A69" s="101">
        <v>59</v>
      </c>
      <c r="B69" s="71">
        <f t="shared" si="5"/>
        <v>57333.480132360673</v>
      </c>
      <c r="C69" s="71">
        <f t="shared" si="8"/>
        <v>4699064.3088836996</v>
      </c>
      <c r="D69" s="3"/>
      <c r="E69" s="101">
        <v>59</v>
      </c>
      <c r="F69" s="71">
        <f t="shared" si="6"/>
        <v>11558304.055872995</v>
      </c>
      <c r="G69" s="71">
        <f>(F69-H68)*Captured_Period</f>
        <v>69897.944765974185</v>
      </c>
      <c r="H69" s="71">
        <f t="shared" si="4"/>
        <v>5095683.7982114749</v>
      </c>
    </row>
    <row r="70" spans="1:8" ht="15" thickBot="1" x14ac:dyDescent="0.4">
      <c r="A70" s="102">
        <v>60</v>
      </c>
      <c r="B70" s="72">
        <f t="shared" si="5"/>
        <v>56720.011894944415</v>
      </c>
      <c r="C70" s="72">
        <f t="shared" si="8"/>
        <v>4755784.3207786437</v>
      </c>
      <c r="D70" s="3"/>
      <c r="E70" s="102">
        <v>60</v>
      </c>
      <c r="F70" s="72">
        <f t="shared" si="6"/>
        <v>11587199.816012677</v>
      </c>
      <c r="G70" s="72">
        <f>(F70-H69)*Captured_Period</f>
        <v>69459.221390472856</v>
      </c>
      <c r="H70" s="72">
        <f t="shared" si="4"/>
        <v>5165143.0196019476</v>
      </c>
    </row>
  </sheetData>
  <mergeCells count="6">
    <mergeCell ref="E8:H8"/>
    <mergeCell ref="A1:C1"/>
    <mergeCell ref="A3:C3"/>
    <mergeCell ref="A4:C4"/>
    <mergeCell ref="A5:C5"/>
    <mergeCell ref="A8:C8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FD68-A6FB-45E2-8982-3E1E43435F76}">
  <dimension ref="A1"/>
  <sheetViews>
    <sheetView tabSelected="1" workbookViewId="0">
      <selection activeCell="L13" sqref="L13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FAD24-BBA2-47A4-8DF2-C73A7B4C15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52</vt:i4>
      </vt:variant>
    </vt:vector>
  </HeadingPairs>
  <TitlesOfParts>
    <vt:vector size="59" baseType="lpstr">
      <vt:lpstr>Mortgage</vt:lpstr>
      <vt:lpstr>Invoice</vt:lpstr>
      <vt:lpstr>Movies</vt:lpstr>
      <vt:lpstr>Estimates</vt:lpstr>
      <vt:lpstr>Commissions</vt:lpstr>
      <vt:lpstr>Forecasting</vt:lpstr>
      <vt:lpstr>Charting</vt:lpstr>
      <vt:lpstr>Associate</vt:lpstr>
      <vt:lpstr>Borrowed_Amount</vt:lpstr>
      <vt:lpstr>BorrowedAmount</vt:lpstr>
      <vt:lpstr>Captured</vt:lpstr>
      <vt:lpstr>Captured_Period</vt:lpstr>
      <vt:lpstr>Commission</vt:lpstr>
      <vt:lpstr>CommissionEarned</vt:lpstr>
      <vt:lpstr>CommissionLookup</vt:lpstr>
      <vt:lpstr>Deposit</vt:lpstr>
      <vt:lpstr>Discount</vt:lpstr>
      <vt:lpstr>Discount_Rate</vt:lpstr>
      <vt:lpstr>Discount_Threshold</vt:lpstr>
      <vt:lpstr>Enders</vt:lpstr>
      <vt:lpstr>FM</vt:lpstr>
      <vt:lpstr>Forrest</vt:lpstr>
      <vt:lpstr>HST_Rate</vt:lpstr>
      <vt:lpstr>Interest_Rate</vt:lpstr>
      <vt:lpstr>InterestRt</vt:lpstr>
      <vt:lpstr>Irons</vt:lpstr>
      <vt:lpstr>Karim</vt:lpstr>
      <vt:lpstr>List_Price__Unit</vt:lpstr>
      <vt:lpstr>MarketGrowth</vt:lpstr>
      <vt:lpstr>Name</vt:lpstr>
      <vt:lpstr>New_Clients</vt:lpstr>
      <vt:lpstr>Ordered</vt:lpstr>
      <vt:lpstr>P.Associate</vt:lpstr>
      <vt:lpstr>P.TotalSales</vt:lpstr>
      <vt:lpstr>Payment</vt:lpstr>
      <vt:lpstr>Performer_Total__Sales</vt:lpstr>
      <vt:lpstr>Period</vt:lpstr>
      <vt:lpstr>POMTotalSales</vt:lpstr>
      <vt:lpstr>Price</vt:lpstr>
      <vt:lpstr>PropertiesSold</vt:lpstr>
      <vt:lpstr>Qiu</vt:lpstr>
      <vt:lpstr>Qty</vt:lpstr>
      <vt:lpstr>Quantity</vt:lpstr>
      <vt:lpstr>SalePrice</vt:lpstr>
      <vt:lpstr>Sales_Price__Unit</vt:lpstr>
      <vt:lpstr>Subtotal</vt:lpstr>
      <vt:lpstr>Table_Headings</vt:lpstr>
      <vt:lpstr>Term</vt:lpstr>
      <vt:lpstr>Term__Yrs</vt:lpstr>
      <vt:lpstr>TOP_Associate</vt:lpstr>
      <vt:lpstr>Total</vt:lpstr>
      <vt:lpstr>Total_Clients</vt:lpstr>
      <vt:lpstr>Total_Interests</vt:lpstr>
      <vt:lpstr>Total_Payments</vt:lpstr>
      <vt:lpstr>TotalEstimates</vt:lpstr>
      <vt:lpstr>TotalMarketPotential</vt:lpstr>
      <vt:lpstr>TotalPayments</vt:lpstr>
      <vt:lpstr>TotalSales</vt:lpstr>
      <vt:lpstr>TotInterests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</dc:creator>
  <cp:lastModifiedBy>Farzana</cp:lastModifiedBy>
  <dcterms:created xsi:type="dcterms:W3CDTF">2020-03-21T16:15:32Z</dcterms:created>
  <dcterms:modified xsi:type="dcterms:W3CDTF">2020-03-25T20:48:15Z</dcterms:modified>
</cp:coreProperties>
</file>