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 (Personal)/Hardman/EIS VCT IHT Products/Blackfinch/VCT reporting/"/>
    </mc:Choice>
  </mc:AlternateContent>
  <xr:revisionPtr revIDLastSave="0" documentId="13_ncr:1_{3BBDCD46-DDF6-E448-B7DE-4CC5936EB0FC}" xr6:coauthVersionLast="45" xr6:coauthVersionMax="45" xr10:uidLastSave="{00000000-0000-0000-0000-000000000000}"/>
  <bookViews>
    <workbookView xWindow="18740" yWindow="460" windowWidth="23400" windowHeight="21140" activeTab="4" xr2:uid="{B4568611-568E-AD47-86EA-D55F11193BF8}"/>
  </bookViews>
  <sheets>
    <sheet name="Income" sheetId="1" r:id="rId1"/>
    <sheet name="Balance Sheet" sheetId="2" r:id="rId2"/>
    <sheet name="NAV" sheetId="4" r:id="rId3"/>
    <sheet name="Portfolio" sheetId="3" r:id="rId4"/>
    <sheet name="Publlsh" sheetId="5" r:id="rId5"/>
  </sheets>
  <definedNames>
    <definedName name="NAV">Portfolio!$C$25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C10" i="5"/>
  <c r="C9" i="5"/>
  <c r="I21" i="3" l="1"/>
  <c r="C22" i="3"/>
  <c r="E21" i="3"/>
  <c r="B22" i="3"/>
  <c r="E52" i="5"/>
  <c r="F52" i="5"/>
  <c r="G52" i="5"/>
  <c r="H52" i="5"/>
  <c r="D52" i="5"/>
  <c r="F50" i="5"/>
  <c r="G50" i="5"/>
  <c r="H50" i="5"/>
  <c r="D50" i="5"/>
  <c r="E50" i="5"/>
  <c r="C50" i="5"/>
  <c r="D42" i="5"/>
  <c r="D41" i="5"/>
  <c r="D40" i="5"/>
  <c r="D39" i="5"/>
  <c r="C39" i="5"/>
  <c r="C40" i="5"/>
  <c r="C41" i="5"/>
  <c r="C42" i="5"/>
  <c r="B42" i="5"/>
  <c r="B40" i="5"/>
  <c r="B41" i="5"/>
  <c r="B39" i="5"/>
  <c r="D37" i="5"/>
  <c r="D35" i="5"/>
  <c r="D36" i="5"/>
  <c r="D34" i="5"/>
  <c r="D32" i="5"/>
  <c r="D31" i="5"/>
  <c r="C31" i="5"/>
  <c r="C32" i="5"/>
  <c r="C34" i="5"/>
  <c r="C35" i="5"/>
  <c r="C36" i="5"/>
  <c r="C37" i="5"/>
  <c r="B35" i="5"/>
  <c r="B36" i="5"/>
  <c r="B37" i="5"/>
  <c r="B34" i="5"/>
  <c r="B32" i="5"/>
  <c r="B31" i="5"/>
  <c r="C7" i="5"/>
  <c r="C8" i="5" s="1"/>
  <c r="C18" i="5"/>
  <c r="D18" i="5"/>
  <c r="D24" i="5" s="1"/>
  <c r="B18" i="5"/>
  <c r="D17" i="5"/>
  <c r="C11" i="5" s="1"/>
  <c r="C17" i="5"/>
  <c r="B17" i="5"/>
  <c r="G29" i="5"/>
  <c r="H49" i="5" s="1"/>
  <c r="F29" i="5"/>
  <c r="G49" i="5" s="1"/>
  <c r="E29" i="5"/>
  <c r="F49" i="5" s="1"/>
  <c r="D29" i="5"/>
  <c r="E49" i="5" s="1"/>
  <c r="C29" i="5"/>
  <c r="D49" i="5" s="1"/>
  <c r="B29" i="5"/>
  <c r="C49" i="5" s="1"/>
  <c r="F24" i="5"/>
  <c r="B24" i="5"/>
  <c r="G23" i="5"/>
  <c r="F23" i="5"/>
  <c r="E23" i="5"/>
  <c r="D23" i="5"/>
  <c r="C23" i="5"/>
  <c r="B23" i="5"/>
  <c r="F20" i="5"/>
  <c r="G24" i="5"/>
  <c r="F19" i="5"/>
  <c r="F25" i="5" s="1"/>
  <c r="E24" i="5"/>
  <c r="C24" i="5"/>
  <c r="G19" i="5"/>
  <c r="G25" i="5" s="1"/>
  <c r="C19" i="5"/>
  <c r="C25" i="5" s="1"/>
  <c r="B19" i="5" l="1"/>
  <c r="B25" i="5" s="1"/>
  <c r="E20" i="5"/>
  <c r="E54" i="5"/>
  <c r="E53" i="5"/>
  <c r="F54" i="5"/>
  <c r="D53" i="5"/>
  <c r="H53" i="5"/>
  <c r="G54" i="5"/>
  <c r="C53" i="5"/>
  <c r="G53" i="5"/>
  <c r="D54" i="5"/>
  <c r="H54" i="5"/>
  <c r="D20" i="5"/>
  <c r="F53" i="5"/>
  <c r="D19" i="5"/>
  <c r="D25" i="5" s="1"/>
  <c r="C20" i="5"/>
  <c r="G20" i="5"/>
  <c r="E19" i="5"/>
  <c r="E25" i="5" s="1"/>
  <c r="E10" i="4" l="1"/>
  <c r="D30" i="3" l="1"/>
  <c r="I35" i="2"/>
  <c r="C32" i="3"/>
  <c r="C31" i="3" s="1"/>
  <c r="C30" i="3"/>
  <c r="B30" i="3"/>
  <c r="B31" i="3"/>
  <c r="B33" i="3"/>
  <c r="B32" i="3"/>
  <c r="C35" i="2"/>
  <c r="B35" i="2"/>
  <c r="S13" i="3"/>
  <c r="R13" i="3"/>
  <c r="I26" i="2"/>
  <c r="I28" i="2"/>
  <c r="I24" i="2"/>
  <c r="B28" i="2"/>
  <c r="B3" i="2"/>
  <c r="D8" i="4"/>
  <c r="D10" i="4"/>
  <c r="L4" i="2"/>
  <c r="L6" i="2"/>
  <c r="L3" i="2"/>
  <c r="K9" i="1"/>
  <c r="K10" i="1"/>
  <c r="K11" i="1"/>
  <c r="K12" i="1"/>
  <c r="K8" i="1"/>
  <c r="K13" i="1"/>
  <c r="G20" i="3" l="1"/>
  <c r="G13" i="3"/>
  <c r="G8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E23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B25" i="3"/>
  <c r="E22" i="3" l="1"/>
  <c r="C25" i="3"/>
  <c r="H9" i="2"/>
  <c r="I9" i="2"/>
  <c r="H5" i="2"/>
  <c r="I5" i="2"/>
  <c r="L5" i="2" s="1"/>
  <c r="I19" i="2"/>
  <c r="I34" i="2"/>
  <c r="E25" i="3" l="1"/>
  <c r="D21" i="3"/>
  <c r="D5" i="3"/>
  <c r="D9" i="3"/>
  <c r="D13" i="3"/>
  <c r="D17" i="3"/>
  <c r="D6" i="3"/>
  <c r="D10" i="3"/>
  <c r="D14" i="3"/>
  <c r="D23" i="3"/>
  <c r="D7" i="3"/>
  <c r="D11" i="3"/>
  <c r="D15" i="3"/>
  <c r="D19" i="3"/>
  <c r="D4" i="3"/>
  <c r="D8" i="3"/>
  <c r="D12" i="3"/>
  <c r="D16" i="3"/>
  <c r="D20" i="3"/>
  <c r="D18" i="3"/>
  <c r="D22" i="3"/>
  <c r="C26" i="2"/>
  <c r="C9" i="2"/>
  <c r="C28" i="1" s="1"/>
  <c r="H20" i="3" l="1"/>
  <c r="H8" i="3"/>
  <c r="H13" i="3"/>
  <c r="I32" i="2" s="1"/>
  <c r="C19" i="2"/>
  <c r="B19" i="2"/>
  <c r="D31" i="3" l="1"/>
  <c r="D32" i="3"/>
  <c r="C12" i="2"/>
  <c r="C5" i="2"/>
  <c r="C12" i="1"/>
  <c r="B11" i="1"/>
  <c r="C11" i="1"/>
  <c r="C29" i="1" s="1"/>
</calcChain>
</file>

<file path=xl/sharedStrings.xml><?xml version="1.0" encoding="utf-8"?>
<sst xmlns="http://schemas.openxmlformats.org/spreadsheetml/2006/main" count="172" uniqueCount="140">
  <si>
    <t>Net profit</t>
  </si>
  <si>
    <t>eps (p)</t>
  </si>
  <si>
    <t>16 mths</t>
  </si>
  <si>
    <t>Investments</t>
  </si>
  <si>
    <t>Cash</t>
  </si>
  <si>
    <t>NAV</t>
  </si>
  <si>
    <t>NAV per share (p)</t>
  </si>
  <si>
    <t>Number of shares</t>
  </si>
  <si>
    <t>Interims</t>
  </si>
  <si>
    <t>Other expenses</t>
  </si>
  <si>
    <t>Manager fee</t>
  </si>
  <si>
    <t xml:space="preserve">Realised gains/losses </t>
  </si>
  <si>
    <t>Unrealised gains/losses</t>
  </si>
  <si>
    <t>Other</t>
  </si>
  <si>
    <t>Cost</t>
  </si>
  <si>
    <t>Unrealised</t>
  </si>
  <si>
    <t>Valuation</t>
  </si>
  <si>
    <t>Proceeds from share issue</t>
  </si>
  <si>
    <t>Cost of buybacks</t>
  </si>
  <si>
    <t>Issue costs</t>
  </si>
  <si>
    <t>Gross realisations</t>
  </si>
  <si>
    <t>Gross realised gains</t>
  </si>
  <si>
    <t>Gross realised losses</t>
  </si>
  <si>
    <t>Investment income</t>
  </si>
  <si>
    <t>Dividends paid during year</t>
  </si>
  <si>
    <t>Divi coverage</t>
  </si>
  <si>
    <t>Realisations</t>
  </si>
  <si>
    <t>Gains</t>
  </si>
  <si>
    <t>All</t>
  </si>
  <si>
    <t>Profile of investments</t>
  </si>
  <si>
    <t>Debt</t>
  </si>
  <si>
    <t>Quoted equity</t>
  </si>
  <si>
    <t>Unquoted equity</t>
  </si>
  <si>
    <t>Total</t>
  </si>
  <si>
    <t>Fees</t>
  </si>
  <si>
    <t>Fees/av NAV</t>
  </si>
  <si>
    <t>All expenses/ av NAV</t>
  </si>
  <si>
    <t>Concentration</t>
  </si>
  <si>
    <t>Top 10</t>
  </si>
  <si>
    <t>Top 20</t>
  </si>
  <si>
    <t>Number active</t>
  </si>
  <si>
    <t>Qualifying %age</t>
  </si>
  <si>
    <t>Additional disclosed</t>
  </si>
  <si>
    <t>Regular (p)</t>
  </si>
  <si>
    <t>Special (p)</t>
  </si>
  <si>
    <t>Cost of dividends</t>
  </si>
  <si>
    <t>Av NAV</t>
  </si>
  <si>
    <t>Net Cash + other</t>
  </si>
  <si>
    <t>Portfolio (valuation)</t>
  </si>
  <si>
    <t>Total return</t>
  </si>
  <si>
    <t>£m, Dec y/e</t>
  </si>
  <si>
    <t>Company</t>
  </si>
  <si>
    <t>% of net assets</t>
  </si>
  <si>
    <t>Brooklyn Supply Chain Solutions</t>
  </si>
  <si>
    <t>Client Share</t>
  </si>
  <si>
    <t>Cultureshift Communications</t>
  </si>
  <si>
    <t>Cylcr Systems</t>
  </si>
  <si>
    <t>Edozo</t>
  </si>
  <si>
    <t>Illuma Technology</t>
  </si>
  <si>
    <t>Kokoon</t>
  </si>
  <si>
    <t>Measure Protocol</t>
  </si>
  <si>
    <t>Movebubble</t>
  </si>
  <si>
    <t>Odore</t>
  </si>
  <si>
    <t>Spotless Water</t>
  </si>
  <si>
    <t>Staffcircle</t>
  </si>
  <si>
    <t>Startpulsing</t>
  </si>
  <si>
    <t>Tended</t>
  </si>
  <si>
    <t>Transreport</t>
  </si>
  <si>
    <t>Watchmycompetitor.com</t>
  </si>
  <si>
    <t>Cash / current assets</t>
  </si>
  <si>
    <t>£,000</t>
  </si>
  <si>
    <t>Net assets</t>
  </si>
  <si>
    <t>Placed Recruitmenr</t>
  </si>
  <si>
    <t>Uplift</t>
  </si>
  <si>
    <t>Top</t>
  </si>
  <si>
    <t>Count</t>
  </si>
  <si>
    <t>Date</t>
  </si>
  <si>
    <t>Dividends in period</t>
  </si>
  <si>
    <t>+514,683</t>
  </si>
  <si>
    <t>FY</t>
  </si>
  <si>
    <t>Total investments</t>
  </si>
  <si>
    <t>Property</t>
  </si>
  <si>
    <t>Water</t>
  </si>
  <si>
    <t>Transport</t>
  </si>
  <si>
    <t>Supply chain</t>
  </si>
  <si>
    <t>Governance</t>
  </si>
  <si>
    <t>Cyclr Systems</t>
  </si>
  <si>
    <t>Software</t>
  </si>
  <si>
    <t>Marketing</t>
  </si>
  <si>
    <t>Kokoon Technology</t>
  </si>
  <si>
    <t>Sleep</t>
  </si>
  <si>
    <t>Wearables</t>
  </si>
  <si>
    <t>Advertising</t>
  </si>
  <si>
    <t>HR</t>
  </si>
  <si>
    <t>WatchMy Competitor</t>
  </si>
  <si>
    <t>Market intelligence</t>
  </si>
  <si>
    <t>Portfolio development</t>
  </si>
  <si>
    <t>All investments</t>
  </si>
  <si>
    <t>1H'22</t>
  </si>
  <si>
    <t>Second 10</t>
  </si>
  <si>
    <t>Rolling</t>
  </si>
  <si>
    <t>12mths</t>
  </si>
  <si>
    <t>Publish</t>
  </si>
  <si>
    <t>Price</t>
  </si>
  <si>
    <t>Shares</t>
  </si>
  <si>
    <t>12m High</t>
  </si>
  <si>
    <t>12m Low</t>
  </si>
  <si>
    <t>Mkt Cap (£m)</t>
  </si>
  <si>
    <t>NAV (£m)</t>
  </si>
  <si>
    <t>Discount</t>
  </si>
  <si>
    <t>NAV/share</t>
  </si>
  <si>
    <t>Financial summary</t>
  </si>
  <si>
    <t>Dividend paid (p)</t>
  </si>
  <si>
    <t>NAV/share (p)</t>
  </si>
  <si>
    <t>Return</t>
  </si>
  <si>
    <t>n/a</t>
  </si>
  <si>
    <t>EPIC</t>
  </si>
  <si>
    <t>NAV Yield</t>
  </si>
  <si>
    <t>For chart</t>
  </si>
  <si>
    <t>Dividend paid (RHS, p)</t>
  </si>
  <si>
    <t>NAV yield</t>
  </si>
  <si>
    <t>Financial performance</t>
  </si>
  <si>
    <t>Realised gains/losses</t>
  </si>
  <si>
    <t>Return on activities</t>
  </si>
  <si>
    <t>Return on activities (p)</t>
  </si>
  <si>
    <t>NAV per share</t>
  </si>
  <si>
    <t>Declared dividend (p)</t>
  </si>
  <si>
    <t>Declared dividend / NAV</t>
  </si>
  <si>
    <t>Divi coverage (realised gains)</t>
  </si>
  <si>
    <t>Divi coverage (return)</t>
  </si>
  <si>
    <t>Returns</t>
  </si>
  <si>
    <t>Share price</t>
  </si>
  <si>
    <t>Dividend paid</t>
  </si>
  <si>
    <t>NAV return</t>
  </si>
  <si>
    <t>Share price return</t>
  </si>
  <si>
    <t>Management fee</t>
  </si>
  <si>
    <t>Balance Sheet</t>
  </si>
  <si>
    <t>BFSP</t>
  </si>
  <si>
    <t>Currensea</t>
  </si>
  <si>
    <t>pro 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</si>
</sst>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mmm\'yy"/>
    <numFmt numFmtId="166" formatCode="0.000"/>
    <numFmt numFmtId="167" formatCode="#,##0.0"/>
    <numFmt numFmtId="168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3323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4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4" fontId="0" fillId="0" borderId="0" xfId="0" applyNumberFormat="1"/>
    <xf numFmtId="14" fontId="0" fillId="0" borderId="0" xfId="0" applyNumberFormat="1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 wrapText="1"/>
    </xf>
    <xf numFmtId="10" fontId="3" fillId="2" borderId="0" xfId="0" applyNumberFormat="1" applyFont="1" applyFill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9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7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NAV!$B$2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NAV!$A$3:$A$11</c:f>
              <c:numCache>
                <c:formatCode>mmm\'yy</c:formatCode>
                <c:ptCount val="9"/>
                <c:pt idx="0">
                  <c:v>44104</c:v>
                </c:pt>
                <c:pt idx="1">
                  <c:v>44561</c:v>
                </c:pt>
                <c:pt idx="2">
                  <c:v>44286</c:v>
                </c:pt>
                <c:pt idx="3">
                  <c:v>44377</c:v>
                </c:pt>
                <c:pt idx="4">
                  <c:v>44469</c:v>
                </c:pt>
                <c:pt idx="5">
                  <c:v>44561</c:v>
                </c:pt>
                <c:pt idx="6">
                  <c:v>44651</c:v>
                </c:pt>
                <c:pt idx="7">
                  <c:v>44742</c:v>
                </c:pt>
                <c:pt idx="8" formatCode="mmm\-yy">
                  <c:v>44805</c:v>
                </c:pt>
              </c:numCache>
            </c:numRef>
          </c:cat>
          <c:val>
            <c:numRef>
              <c:f>NAV!$B$3:$B$11</c:f>
              <c:numCache>
                <c:formatCode>General</c:formatCode>
                <c:ptCount val="9"/>
                <c:pt idx="0">
                  <c:v>94.91</c:v>
                </c:pt>
                <c:pt idx="1">
                  <c:v>94.08</c:v>
                </c:pt>
                <c:pt idx="2" formatCode="0.00">
                  <c:v>91.5</c:v>
                </c:pt>
                <c:pt idx="3" formatCode="0.00">
                  <c:v>90.6</c:v>
                </c:pt>
                <c:pt idx="4">
                  <c:v>89.46</c:v>
                </c:pt>
                <c:pt idx="5">
                  <c:v>93.08</c:v>
                </c:pt>
                <c:pt idx="6">
                  <c:v>93.15</c:v>
                </c:pt>
                <c:pt idx="7">
                  <c:v>93.19</c:v>
                </c:pt>
                <c:pt idx="8">
                  <c:v>89.13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9-2542-9408-52EEC89FE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835631"/>
        <c:axId val="973555871"/>
      </c:lineChart>
      <c:dateAx>
        <c:axId val="973835631"/>
        <c:scaling>
          <c:orientation val="minMax"/>
        </c:scaling>
        <c:delete val="0"/>
        <c:axPos val="b"/>
        <c:numFmt formatCode="mmm\'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55871"/>
        <c:crosses val="autoZero"/>
        <c:auto val="1"/>
        <c:lblOffset val="100"/>
        <c:baseTimeUnit val="days"/>
        <c:majorUnit val="3"/>
        <c:majorTimeUnit val="months"/>
      </c:dateAx>
      <c:valAx>
        <c:axId val="9735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3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Portfolio!$A$30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Portfolio!$B$29:$D$29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1H'22</c:v>
                </c:pt>
              </c:strCache>
            </c:strRef>
          </c:cat>
          <c:val>
            <c:numRef>
              <c:f>Portfolio!$B$30:$D$30</c:f>
              <c:numCache>
                <c:formatCode>0%</c:formatCode>
                <c:ptCount val="3"/>
                <c:pt idx="0">
                  <c:v>0.65784187486703172</c:v>
                </c:pt>
                <c:pt idx="1">
                  <c:v>0.40803092054751605</c:v>
                </c:pt>
                <c:pt idx="2">
                  <c:v>0.32383471484755039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D-0343-B1E3-21C18E3B7C13}"/>
            </c:ext>
          </c:extLst>
        </c:ser>
        <c:ser>
          <c:idx val="1"/>
          <c:order val="1"/>
          <c:tx>
            <c:strRef>
              <c:f>Portfolio!$A$31</c:f>
              <c:strCache>
                <c:ptCount val="1"/>
                <c:pt idx="0">
                  <c:v>All investments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Portfolio!$B$29:$D$29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1H'22</c:v>
                </c:pt>
              </c:strCache>
            </c:strRef>
          </c:cat>
          <c:val>
            <c:numRef>
              <c:f>Portfolio!$B$31:$D$31</c:f>
              <c:numCache>
                <c:formatCode>0%</c:formatCode>
                <c:ptCount val="3"/>
                <c:pt idx="0">
                  <c:v>0.34215812513296828</c:v>
                </c:pt>
                <c:pt idx="1">
                  <c:v>7.9969079452483882E-2</c:v>
                </c:pt>
                <c:pt idx="2">
                  <c:v>0.13174034759602882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D-0343-B1E3-21C18E3B7C13}"/>
            </c:ext>
          </c:extLst>
        </c:ser>
        <c:ser>
          <c:idx val="2"/>
          <c:order val="2"/>
          <c:tx>
            <c:strRef>
              <c:f>Portfolio!$A$32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Portfolio!$B$29:$D$29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1H'22</c:v>
                </c:pt>
              </c:strCache>
            </c:strRef>
          </c:cat>
          <c:val>
            <c:numRef>
              <c:f>Portfolio!$B$32:$D$32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0.51200000000000001</c:v>
                </c:pt>
                <c:pt idx="2">
                  <c:v>0.54442493755642085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D-0343-B1E3-21C18E3B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297471"/>
        <c:axId val="974945727"/>
      </c:barChart>
      <c:catAx>
        <c:axId val="90729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45727"/>
        <c:crosses val="autoZero"/>
        <c:auto val="1"/>
        <c:lblAlgn val="ctr"/>
        <c:lblOffset val="100"/>
        <c:noMultiLvlLbl val="0"/>
      </c:catAx>
      <c:valAx>
        <c:axId val="9749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184150</xdr:rowOff>
    </xdr:from>
    <xdr:to>
      <xdr:col>11</xdr:col>
      <xdr:colOff>438150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F0B4A-B31A-4745-87C4-D70A65972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25</xdr:row>
      <xdr:rowOff>6350</xdr:rowOff>
    </xdr:from>
    <xdr:to>
      <xdr:col>11</xdr:col>
      <xdr:colOff>450850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E2C0D-9816-E94B-B1C9-1F727DA6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9E76-638F-1148-AA3B-FF86499879A9}">
  <dimension ref="A1:K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7" sqref="I7"/>
    </sheetView>
  </sheetViews>
  <sheetFormatPr baseColWidth="10" defaultRowHeight="16" x14ac:dyDescent="0.2"/>
  <cols>
    <col min="1" max="1" width="20.83203125" bestFit="1" customWidth="1"/>
  </cols>
  <sheetData>
    <row r="1" spans="1:11" x14ac:dyDescent="0.2">
      <c r="A1" t="s">
        <v>50</v>
      </c>
      <c r="B1" t="s">
        <v>2</v>
      </c>
      <c r="H1" t="s">
        <v>8</v>
      </c>
    </row>
    <row r="2" spans="1:11" s="3" customFormat="1" x14ac:dyDescent="0.2">
      <c r="B2" s="3">
        <v>2020</v>
      </c>
      <c r="C2" s="3">
        <v>2021</v>
      </c>
      <c r="D2" s="3">
        <v>2022</v>
      </c>
      <c r="H2" s="3">
        <v>2021</v>
      </c>
      <c r="I2" s="3">
        <v>2022</v>
      </c>
    </row>
    <row r="3" spans="1:11" s="4" customFormat="1" x14ac:dyDescent="0.2">
      <c r="A3" s="4" t="s">
        <v>20</v>
      </c>
    </row>
    <row r="4" spans="1:11" s="4" customFormat="1" x14ac:dyDescent="0.2">
      <c r="A4" s="4" t="s">
        <v>21</v>
      </c>
    </row>
    <row r="5" spans="1:11" s="4" customFormat="1" x14ac:dyDescent="0.2">
      <c r="A5" s="4" t="s">
        <v>22</v>
      </c>
    </row>
    <row r="6" spans="1:11" s="4" customFormat="1" x14ac:dyDescent="0.2"/>
    <row r="7" spans="1:11" s="4" customFormat="1" x14ac:dyDescent="0.2">
      <c r="A7" s="4" t="s">
        <v>11</v>
      </c>
      <c r="B7" s="4">
        <v>0</v>
      </c>
      <c r="C7" s="4">
        <v>-0.54900000000000004</v>
      </c>
    </row>
    <row r="8" spans="1:11" x14ac:dyDescent="0.2">
      <c r="A8" t="s">
        <v>12</v>
      </c>
      <c r="B8">
        <v>0</v>
      </c>
      <c r="C8">
        <v>1.1719999999999999</v>
      </c>
      <c r="H8">
        <v>0</v>
      </c>
      <c r="I8" s="1">
        <v>442644</v>
      </c>
      <c r="K8" s="13">
        <f>I8/1000000</f>
        <v>0.44264399999999998</v>
      </c>
    </row>
    <row r="9" spans="1:11" x14ac:dyDescent="0.2">
      <c r="A9" t="s">
        <v>23</v>
      </c>
      <c r="K9" s="13">
        <f t="shared" ref="K9:K12" si="0">I9/1000000</f>
        <v>0</v>
      </c>
    </row>
    <row r="10" spans="1:11" x14ac:dyDescent="0.2">
      <c r="A10" t="s">
        <v>10</v>
      </c>
      <c r="B10">
        <v>-6.8000000000000005E-2</v>
      </c>
      <c r="C10">
        <v>-0.24299999999999999</v>
      </c>
      <c r="I10" s="1">
        <v>-195134</v>
      </c>
      <c r="K10" s="13">
        <f t="shared" si="0"/>
        <v>-0.195134</v>
      </c>
    </row>
    <row r="11" spans="1:11" x14ac:dyDescent="0.2">
      <c r="A11" t="s">
        <v>9</v>
      </c>
      <c r="B11">
        <f>-0.195-0.008</f>
        <v>-0.20300000000000001</v>
      </c>
      <c r="C11">
        <f>-0.29+0.007</f>
        <v>-0.28299999999999997</v>
      </c>
      <c r="H11">
        <v>-0.22</v>
      </c>
      <c r="I11" s="1">
        <v>-152281</v>
      </c>
      <c r="K11" s="13">
        <f t="shared" si="0"/>
        <v>-0.152281</v>
      </c>
    </row>
    <row r="12" spans="1:11" x14ac:dyDescent="0.2">
      <c r="A12" t="s">
        <v>0</v>
      </c>
      <c r="B12">
        <v>-0.27100000000000002</v>
      </c>
      <c r="C12">
        <f>SUM(C7:C11)</f>
        <v>9.699999999999992E-2</v>
      </c>
      <c r="H12">
        <v>-0.22</v>
      </c>
      <c r="I12" s="1">
        <v>95229</v>
      </c>
      <c r="K12" s="13">
        <f t="shared" si="0"/>
        <v>9.5228999999999994E-2</v>
      </c>
    </row>
    <row r="13" spans="1:11" x14ac:dyDescent="0.2">
      <c r="A13" t="s">
        <v>1</v>
      </c>
      <c r="B13" s="2">
        <v>-7.5</v>
      </c>
      <c r="C13" s="2">
        <v>1</v>
      </c>
      <c r="H13">
        <v>-2.86</v>
      </c>
      <c r="I13" s="6">
        <v>0.57999999999999996</v>
      </c>
      <c r="K13" s="2">
        <f t="shared" ref="K13" si="1">I13/1000</f>
        <v>5.8E-4</v>
      </c>
    </row>
    <row r="15" spans="1:11" x14ac:dyDescent="0.2">
      <c r="A15" t="s">
        <v>24</v>
      </c>
    </row>
    <row r="16" spans="1:11" x14ac:dyDescent="0.2">
      <c r="A16" t="s">
        <v>43</v>
      </c>
    </row>
    <row r="17" spans="1:3" x14ac:dyDescent="0.2">
      <c r="A17" t="s">
        <v>44</v>
      </c>
    </row>
    <row r="18" spans="1:3" x14ac:dyDescent="0.2">
      <c r="A18" t="s">
        <v>45</v>
      </c>
    </row>
    <row r="19" spans="1:3" x14ac:dyDescent="0.2">
      <c r="A19" t="s">
        <v>25</v>
      </c>
    </row>
    <row r="20" spans="1:3" x14ac:dyDescent="0.2">
      <c r="A20" t="s">
        <v>26</v>
      </c>
    </row>
    <row r="21" spans="1:3" x14ac:dyDescent="0.2">
      <c r="A21" t="s">
        <v>27</v>
      </c>
    </row>
    <row r="22" spans="1:3" x14ac:dyDescent="0.2">
      <c r="A22" t="s">
        <v>28</v>
      </c>
    </row>
    <row r="23" spans="1:3" x14ac:dyDescent="0.2">
      <c r="A23" t="s">
        <v>49</v>
      </c>
    </row>
    <row r="26" spans="1:3" x14ac:dyDescent="0.2">
      <c r="A26" t="s">
        <v>34</v>
      </c>
    </row>
    <row r="27" spans="1:3" x14ac:dyDescent="0.2">
      <c r="A27" t="s">
        <v>42</v>
      </c>
    </row>
    <row r="28" spans="1:3" x14ac:dyDescent="0.2">
      <c r="A28" t="s">
        <v>35</v>
      </c>
      <c r="C28" s="5">
        <f>-(C10+C27)/'Balance Sheet'!C9</f>
        <v>2.7748782393705889E-8</v>
      </c>
    </row>
    <row r="29" spans="1:3" x14ac:dyDescent="0.2">
      <c r="A29" t="s">
        <v>36</v>
      </c>
      <c r="C29" s="5">
        <f>-(C10+C11)/'Balance Sheet'!C9</f>
        <v>6.0065265592960078E-8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76A8-C6B1-4C45-B647-31799788AD88}">
  <dimension ref="A1:L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2" sqref="I32"/>
    </sheetView>
  </sheetViews>
  <sheetFormatPr baseColWidth="10" defaultRowHeight="16" x14ac:dyDescent="0.2"/>
  <cols>
    <col min="1" max="1" width="23" bestFit="1" customWidth="1"/>
  </cols>
  <sheetData>
    <row r="1" spans="1:12" x14ac:dyDescent="0.2">
      <c r="A1" t="s">
        <v>50</v>
      </c>
      <c r="B1" t="s">
        <v>2</v>
      </c>
      <c r="H1" t="s">
        <v>8</v>
      </c>
    </row>
    <row r="2" spans="1:12" s="3" customFormat="1" x14ac:dyDescent="0.2">
      <c r="B2" s="3">
        <v>2020</v>
      </c>
      <c r="C2" s="3">
        <v>2021</v>
      </c>
      <c r="D2" s="3">
        <v>2022</v>
      </c>
      <c r="H2" s="3">
        <v>2021</v>
      </c>
      <c r="I2" s="3">
        <v>2022</v>
      </c>
    </row>
    <row r="3" spans="1:12" x14ac:dyDescent="0.2">
      <c r="A3" t="s">
        <v>3</v>
      </c>
      <c r="B3" s="1">
        <f>B24</f>
        <v>1259275</v>
      </c>
      <c r="C3" s="1">
        <v>6961525</v>
      </c>
      <c r="H3" s="1">
        <v>3609275</v>
      </c>
      <c r="I3" s="1">
        <v>11874169</v>
      </c>
      <c r="L3" s="2">
        <f>I3/1000000</f>
        <v>11.874169</v>
      </c>
    </row>
    <row r="4" spans="1:12" x14ac:dyDescent="0.2">
      <c r="A4" t="s">
        <v>4</v>
      </c>
      <c r="B4">
        <v>2.4700000000000002</v>
      </c>
      <c r="C4" s="1">
        <v>4966027</v>
      </c>
      <c r="H4" s="1">
        <v>6302042</v>
      </c>
      <c r="I4" s="1">
        <v>5847687</v>
      </c>
      <c r="L4" s="2">
        <f t="shared" ref="L4:L6" si="0">I4/1000000</f>
        <v>5.8476869999999996</v>
      </c>
    </row>
    <row r="5" spans="1:12" x14ac:dyDescent="0.2">
      <c r="A5" t="s">
        <v>13</v>
      </c>
      <c r="C5">
        <f>C6-C3-C4</f>
        <v>-167605</v>
      </c>
      <c r="H5">
        <f>H6-H3-H4</f>
        <v>-117203</v>
      </c>
      <c r="I5">
        <f>I6-I3-I4</f>
        <v>-160811</v>
      </c>
      <c r="L5" s="2">
        <f t="shared" si="0"/>
        <v>-0.16081100000000001</v>
      </c>
    </row>
    <row r="6" spans="1:12" x14ac:dyDescent="0.2">
      <c r="A6" t="s">
        <v>5</v>
      </c>
      <c r="B6" s="1">
        <v>3680389</v>
      </c>
      <c r="C6" s="1">
        <v>11759947</v>
      </c>
      <c r="H6" s="1">
        <v>9794114</v>
      </c>
      <c r="I6" s="1">
        <v>17561045</v>
      </c>
      <c r="L6" s="2">
        <f t="shared" si="0"/>
        <v>17.561045</v>
      </c>
    </row>
    <row r="7" spans="1:12" x14ac:dyDescent="0.2">
      <c r="A7" t="s">
        <v>6</v>
      </c>
      <c r="B7">
        <v>94.08</v>
      </c>
      <c r="C7">
        <v>93.08</v>
      </c>
      <c r="H7">
        <v>90.6</v>
      </c>
      <c r="I7" s="6">
        <v>93.19</v>
      </c>
    </row>
    <row r="8" spans="1:12" x14ac:dyDescent="0.2">
      <c r="A8" t="s">
        <v>7</v>
      </c>
      <c r="B8" s="1">
        <v>3911937</v>
      </c>
      <c r="C8" s="1">
        <v>12633843</v>
      </c>
      <c r="H8" s="1">
        <v>10809654</v>
      </c>
      <c r="I8" s="1">
        <v>18844394</v>
      </c>
      <c r="J8" s="11" t="s">
        <v>78</v>
      </c>
    </row>
    <row r="9" spans="1:12" x14ac:dyDescent="0.2">
      <c r="A9" t="s">
        <v>46</v>
      </c>
      <c r="B9" s="1"/>
      <c r="C9" s="1">
        <f>(B6+2*H6+C6)/4</f>
        <v>8757141</v>
      </c>
      <c r="H9" s="1">
        <f>(B8+H8)/2</f>
        <v>7360795.5</v>
      </c>
      <c r="I9" s="1">
        <f>(C8+I8)/2</f>
        <v>15739118.5</v>
      </c>
    </row>
    <row r="11" spans="1:12" x14ac:dyDescent="0.2">
      <c r="A11" t="s">
        <v>3</v>
      </c>
    </row>
    <row r="12" spans="1:12" x14ac:dyDescent="0.2">
      <c r="A12" t="s">
        <v>14</v>
      </c>
      <c r="C12" s="1">
        <f>C14-C13</f>
        <v>5789278</v>
      </c>
    </row>
    <row r="13" spans="1:12" x14ac:dyDescent="0.2">
      <c r="A13" t="s">
        <v>15</v>
      </c>
      <c r="C13" s="1">
        <v>1172247</v>
      </c>
    </row>
    <row r="14" spans="1:12" x14ac:dyDescent="0.2">
      <c r="A14" t="s">
        <v>16</v>
      </c>
      <c r="C14" s="1">
        <v>6961525</v>
      </c>
    </row>
    <row r="16" spans="1:12" x14ac:dyDescent="0.2">
      <c r="A16" t="s">
        <v>18</v>
      </c>
    </row>
    <row r="17" spans="1:9" x14ac:dyDescent="0.2">
      <c r="A17" t="s">
        <v>17</v>
      </c>
      <c r="B17" s="1">
        <v>3931243</v>
      </c>
      <c r="C17" s="1">
        <v>8113232</v>
      </c>
      <c r="I17" s="1">
        <v>5754096</v>
      </c>
    </row>
    <row r="18" spans="1:9" x14ac:dyDescent="0.2">
      <c r="A18" t="s">
        <v>19</v>
      </c>
      <c r="B18" s="1">
        <v>29432</v>
      </c>
      <c r="C18" s="1">
        <v>80005</v>
      </c>
      <c r="I18" s="1">
        <v>48227</v>
      </c>
    </row>
    <row r="19" spans="1:9" x14ac:dyDescent="0.2">
      <c r="B19" s="5">
        <f>B18/B17</f>
        <v>7.4866905963330175E-3</v>
      </c>
      <c r="C19" s="5">
        <f>C18/C17</f>
        <v>9.8610516745977431E-3</v>
      </c>
      <c r="I19" s="5">
        <f>I18/I17</f>
        <v>8.3813339228264519E-3</v>
      </c>
    </row>
    <row r="22" spans="1:9" x14ac:dyDescent="0.2">
      <c r="A22" t="s">
        <v>29</v>
      </c>
    </row>
    <row r="23" spans="1:9" x14ac:dyDescent="0.2">
      <c r="A23" t="s">
        <v>31</v>
      </c>
    </row>
    <row r="24" spans="1:9" x14ac:dyDescent="0.2">
      <c r="A24" t="s">
        <v>32</v>
      </c>
      <c r="B24" s="1">
        <v>1259275</v>
      </c>
      <c r="C24" s="1">
        <v>6961525</v>
      </c>
      <c r="I24" s="1">
        <f>I3</f>
        <v>11874169</v>
      </c>
    </row>
    <row r="25" spans="1:9" x14ac:dyDescent="0.2">
      <c r="A25" t="s">
        <v>30</v>
      </c>
    </row>
    <row r="26" spans="1:9" x14ac:dyDescent="0.2">
      <c r="A26" t="s">
        <v>47</v>
      </c>
      <c r="B26" s="1">
        <v>2421114</v>
      </c>
      <c r="C26" s="1">
        <f>C28-C24</f>
        <v>4798422</v>
      </c>
      <c r="I26" s="1">
        <f>I28-I24</f>
        <v>5686876</v>
      </c>
    </row>
    <row r="28" spans="1:9" x14ac:dyDescent="0.2">
      <c r="A28" t="s">
        <v>33</v>
      </c>
      <c r="B28" s="1">
        <f>B6</f>
        <v>3680389</v>
      </c>
      <c r="C28" s="1">
        <v>11759947</v>
      </c>
      <c r="I28" s="1">
        <f>I6</f>
        <v>17561045</v>
      </c>
    </row>
    <row r="30" spans="1:9" x14ac:dyDescent="0.2">
      <c r="A30" t="s">
        <v>37</v>
      </c>
    </row>
    <row r="32" spans="1:9" x14ac:dyDescent="0.2">
      <c r="A32" t="s">
        <v>38</v>
      </c>
      <c r="C32" s="20">
        <v>0.51200000000000001</v>
      </c>
      <c r="I32" s="9">
        <f>Portfolio!H13</f>
        <v>0.54442493755642085</v>
      </c>
    </row>
    <row r="33" spans="1:9" x14ac:dyDescent="0.2">
      <c r="A33" t="s">
        <v>39</v>
      </c>
    </row>
    <row r="34" spans="1:9" x14ac:dyDescent="0.2">
      <c r="A34" t="s">
        <v>40</v>
      </c>
      <c r="B34">
        <v>3</v>
      </c>
      <c r="C34">
        <v>14</v>
      </c>
      <c r="I34">
        <f>COUNTIF(I41:I60,"&gt;0")</f>
        <v>16</v>
      </c>
    </row>
    <row r="35" spans="1:9" x14ac:dyDescent="0.2">
      <c r="A35" t="s">
        <v>80</v>
      </c>
      <c r="B35" s="9">
        <f>B24/B28</f>
        <v>0.34215812513296828</v>
      </c>
      <c r="C35" s="9">
        <f>C24/C28</f>
        <v>0.59196907945248389</v>
      </c>
      <c r="I35" s="9">
        <f>I24/I28</f>
        <v>0.67616528515244967</v>
      </c>
    </row>
    <row r="36" spans="1:9" x14ac:dyDescent="0.2">
      <c r="A36" t="s">
        <v>41</v>
      </c>
    </row>
    <row r="40" spans="1:9" x14ac:dyDescent="0.2">
      <c r="A40" t="s">
        <v>48</v>
      </c>
    </row>
    <row r="41" spans="1:9" x14ac:dyDescent="0.2">
      <c r="I41">
        <v>9.56</v>
      </c>
    </row>
    <row r="42" spans="1:9" x14ac:dyDescent="0.2">
      <c r="I42">
        <v>8.84</v>
      </c>
    </row>
    <row r="43" spans="1:9" x14ac:dyDescent="0.2">
      <c r="I43">
        <v>6.33</v>
      </c>
    </row>
    <row r="44" spans="1:9" x14ac:dyDescent="0.2">
      <c r="I44">
        <v>5.86</v>
      </c>
    </row>
    <row r="45" spans="1:9" x14ac:dyDescent="0.2">
      <c r="I45">
        <v>5.7</v>
      </c>
    </row>
    <row r="46" spans="1:9" x14ac:dyDescent="0.2">
      <c r="I46">
        <v>4.54</v>
      </c>
    </row>
    <row r="47" spans="1:9" x14ac:dyDescent="0.2">
      <c r="I47">
        <v>3.99</v>
      </c>
    </row>
    <row r="48" spans="1:9" x14ac:dyDescent="0.2">
      <c r="I48">
        <v>3.99</v>
      </c>
    </row>
    <row r="49" spans="9:9" x14ac:dyDescent="0.2">
      <c r="I49">
        <v>3.63</v>
      </c>
    </row>
    <row r="50" spans="9:9" x14ac:dyDescent="0.2">
      <c r="I50">
        <v>3.54</v>
      </c>
    </row>
    <row r="51" spans="9:9" x14ac:dyDescent="0.2">
      <c r="I51">
        <v>3.42</v>
      </c>
    </row>
    <row r="52" spans="9:9" x14ac:dyDescent="0.2">
      <c r="I52">
        <v>2.4500000000000002</v>
      </c>
    </row>
    <row r="53" spans="9:9" x14ac:dyDescent="0.2">
      <c r="I53">
        <v>2.2799999999999998</v>
      </c>
    </row>
    <row r="54" spans="9:9" x14ac:dyDescent="0.2">
      <c r="I54">
        <v>1.22</v>
      </c>
    </row>
    <row r="55" spans="9:9" x14ac:dyDescent="0.2">
      <c r="I55">
        <v>1.1399999999999999</v>
      </c>
    </row>
    <row r="56" spans="9:9" x14ac:dyDescent="0.2">
      <c r="I56">
        <v>1.1299999999999999</v>
      </c>
    </row>
    <row r="57" spans="9:9" x14ac:dyDescent="0.2">
      <c r="I57">
        <v>0</v>
      </c>
    </row>
  </sheetData>
  <sortState xmlns:xlrd2="http://schemas.microsoft.com/office/spreadsheetml/2017/richdata2" ref="I41:I57">
    <sortCondition descending="1" ref="I41:I57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8E99-031B-1A40-87DF-EBFC8E5C742F}">
  <dimension ref="A1:Q20"/>
  <sheetViews>
    <sheetView workbookViewId="0">
      <selection activeCell="E11" sqref="E11"/>
    </sheetView>
  </sheetViews>
  <sheetFormatPr baseColWidth="10" defaultRowHeight="16" x14ac:dyDescent="0.2"/>
  <sheetData>
    <row r="1" spans="1:15" x14ac:dyDescent="0.2">
      <c r="E1" t="s">
        <v>100</v>
      </c>
    </row>
    <row r="2" spans="1:15" x14ac:dyDescent="0.2">
      <c r="A2" t="s">
        <v>76</v>
      </c>
      <c r="B2" t="s">
        <v>5</v>
      </c>
      <c r="C2" t="s">
        <v>77</v>
      </c>
      <c r="D2" t="s">
        <v>79</v>
      </c>
      <c r="E2" t="s">
        <v>101</v>
      </c>
    </row>
    <row r="3" spans="1:15" x14ac:dyDescent="0.2">
      <c r="A3" s="12">
        <v>44104</v>
      </c>
      <c r="B3">
        <v>94.91</v>
      </c>
      <c r="N3" s="3"/>
    </row>
    <row r="4" spans="1:15" x14ac:dyDescent="0.2">
      <c r="A4" s="12">
        <v>44561</v>
      </c>
      <c r="B4">
        <v>94.08</v>
      </c>
    </row>
    <row r="5" spans="1:15" x14ac:dyDescent="0.2">
      <c r="A5" s="12">
        <v>44286</v>
      </c>
      <c r="B5" s="2">
        <v>91.5</v>
      </c>
    </row>
    <row r="6" spans="1:15" x14ac:dyDescent="0.2">
      <c r="A6" s="12">
        <v>44377</v>
      </c>
      <c r="B6" s="2">
        <v>90.6</v>
      </c>
    </row>
    <row r="7" spans="1:15" x14ac:dyDescent="0.2">
      <c r="A7" s="12">
        <v>44469</v>
      </c>
      <c r="B7">
        <v>89.46</v>
      </c>
      <c r="O7" s="21"/>
    </row>
    <row r="8" spans="1:15" x14ac:dyDescent="0.2">
      <c r="A8" s="12">
        <v>44561</v>
      </c>
      <c r="B8">
        <v>93.08</v>
      </c>
      <c r="D8" s="10">
        <f>B8/B4-1</f>
        <v>-1.0629251700680298E-2</v>
      </c>
      <c r="O8" s="22"/>
    </row>
    <row r="9" spans="1:15" x14ac:dyDescent="0.2">
      <c r="A9" s="12">
        <v>44651</v>
      </c>
      <c r="B9">
        <v>93.15</v>
      </c>
      <c r="O9" s="22"/>
    </row>
    <row r="10" spans="1:15" x14ac:dyDescent="0.2">
      <c r="A10" s="12">
        <v>44742</v>
      </c>
      <c r="B10">
        <v>93.19</v>
      </c>
      <c r="D10" s="10">
        <f>B10/B8-1</f>
        <v>1.1817791147399337E-3</v>
      </c>
      <c r="E10" s="10">
        <f>B10/B6-1</f>
        <v>2.8587196467991127E-2</v>
      </c>
    </row>
    <row r="11" spans="1:15" x14ac:dyDescent="0.2">
      <c r="A11" s="23">
        <v>44805</v>
      </c>
      <c r="B11">
        <v>89.13</v>
      </c>
      <c r="E11" s="10">
        <f>B11/B7-1</f>
        <v>-3.6887994634473564E-3</v>
      </c>
      <c r="O11" s="10"/>
    </row>
    <row r="19" spans="15:17" x14ac:dyDescent="0.2">
      <c r="O19" s="10"/>
      <c r="P19" s="10"/>
      <c r="Q19" s="10"/>
    </row>
    <row r="20" spans="15:17" x14ac:dyDescent="0.2">
      <c r="P20" s="10"/>
      <c r="Q20" s="10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4332-0DED-0C4C-887F-E0FADA3F7A7A}">
  <dimension ref="A1:S33"/>
  <sheetViews>
    <sheetView workbookViewId="0">
      <selection activeCell="G21" sqref="G21:H21"/>
    </sheetView>
  </sheetViews>
  <sheetFormatPr baseColWidth="10" defaultRowHeight="16" x14ac:dyDescent="0.2"/>
  <cols>
    <col min="1" max="1" width="27.5" bestFit="1" customWidth="1"/>
    <col min="12" max="12" width="27.5" bestFit="1" customWidth="1"/>
  </cols>
  <sheetData>
    <row r="1" spans="1:19" x14ac:dyDescent="0.2">
      <c r="A1" t="s">
        <v>70</v>
      </c>
      <c r="B1" s="7">
        <v>44805</v>
      </c>
      <c r="C1" t="s">
        <v>139</v>
      </c>
      <c r="L1" s="7">
        <v>44377</v>
      </c>
    </row>
    <row r="3" spans="1:19" x14ac:dyDescent="0.2">
      <c r="A3" t="s">
        <v>51</v>
      </c>
      <c r="B3" t="s">
        <v>14</v>
      </c>
      <c r="C3" t="s">
        <v>16</v>
      </c>
      <c r="D3" t="s">
        <v>52</v>
      </c>
      <c r="E3" t="s">
        <v>73</v>
      </c>
      <c r="G3" t="s">
        <v>74</v>
      </c>
      <c r="I3" t="s">
        <v>75</v>
      </c>
    </row>
    <row r="4" spans="1:19" x14ac:dyDescent="0.2">
      <c r="A4" t="s">
        <v>56</v>
      </c>
      <c r="B4" s="1">
        <v>1300</v>
      </c>
      <c r="C4" s="1">
        <v>1679</v>
      </c>
      <c r="D4" s="10">
        <f t="shared" ref="D4:D23" si="0">C4/NAV</f>
        <v>9.2986935307898075E-2</v>
      </c>
      <c r="E4" s="9">
        <f>C4/B4-1</f>
        <v>0.29153846153846152</v>
      </c>
      <c r="I4">
        <f>1</f>
        <v>1</v>
      </c>
      <c r="L4" t="s">
        <v>58</v>
      </c>
      <c r="M4" t="s">
        <v>92</v>
      </c>
      <c r="N4" s="14">
        <v>700</v>
      </c>
      <c r="O4" s="15">
        <v>6.8000000000000005E-2</v>
      </c>
    </row>
    <row r="5" spans="1:19" x14ac:dyDescent="0.2">
      <c r="A5" t="s">
        <v>65</v>
      </c>
      <c r="B5" s="1">
        <v>1200</v>
      </c>
      <c r="C5" s="1">
        <v>1553</v>
      </c>
      <c r="D5" s="10">
        <f t="shared" si="0"/>
        <v>8.6008761484911087E-2</v>
      </c>
      <c r="E5" s="9">
        <f t="shared" ref="E5:E25" si="1">C5/B5-1</f>
        <v>0.29416666666666669</v>
      </c>
      <c r="I5">
        <f>I4+1</f>
        <v>2</v>
      </c>
      <c r="L5" t="s">
        <v>94</v>
      </c>
      <c r="M5" t="s">
        <v>95</v>
      </c>
      <c r="N5" s="14">
        <v>700</v>
      </c>
      <c r="O5" s="15">
        <v>6.8000000000000005E-2</v>
      </c>
    </row>
    <row r="6" spans="1:19" x14ac:dyDescent="0.2">
      <c r="A6" t="s">
        <v>67</v>
      </c>
      <c r="B6">
        <v>770</v>
      </c>
      <c r="C6" s="1">
        <v>1113</v>
      </c>
      <c r="D6" s="10">
        <f t="shared" si="0"/>
        <v>6.1640535436385084E-2</v>
      </c>
      <c r="E6" s="9">
        <f t="shared" si="1"/>
        <v>0.44545454545454555</v>
      </c>
      <c r="I6">
        <f t="shared" ref="I6:I19" si="2">I5+1</f>
        <v>3</v>
      </c>
      <c r="L6" t="s">
        <v>61</v>
      </c>
      <c r="M6" t="s">
        <v>81</v>
      </c>
      <c r="N6" s="14">
        <v>550</v>
      </c>
      <c r="O6" s="15">
        <v>5.2999999999999999E-2</v>
      </c>
    </row>
    <row r="7" spans="1:19" x14ac:dyDescent="0.2">
      <c r="A7" t="s">
        <v>53</v>
      </c>
      <c r="B7">
        <v>900</v>
      </c>
      <c r="C7" s="1">
        <v>1028.7</v>
      </c>
      <c r="D7" s="10">
        <f t="shared" si="0"/>
        <v>5.6971804854815219E-2</v>
      </c>
      <c r="E7" s="9">
        <f t="shared" si="1"/>
        <v>0.14300000000000002</v>
      </c>
      <c r="I7">
        <f t="shared" si="2"/>
        <v>4</v>
      </c>
      <c r="L7" t="s">
        <v>67</v>
      </c>
      <c r="M7" t="s">
        <v>83</v>
      </c>
      <c r="N7" s="14">
        <v>500</v>
      </c>
      <c r="O7" s="15">
        <v>4.8000000000000001E-2</v>
      </c>
    </row>
    <row r="8" spans="1:19" x14ac:dyDescent="0.2">
      <c r="A8" t="s">
        <v>64</v>
      </c>
      <c r="B8" s="1">
        <v>1000</v>
      </c>
      <c r="C8" s="1">
        <v>1000</v>
      </c>
      <c r="D8" s="10">
        <f t="shared" si="0"/>
        <v>5.5382331928468184E-2</v>
      </c>
      <c r="E8" s="9">
        <f t="shared" si="1"/>
        <v>0</v>
      </c>
      <c r="G8" s="1">
        <f>SUM(C$4:C8)</f>
        <v>6373.7</v>
      </c>
      <c r="H8" s="10">
        <f>SUM(D$4:D8)</f>
        <v>0.35299036901247766</v>
      </c>
      <c r="I8">
        <f t="shared" si="2"/>
        <v>5</v>
      </c>
      <c r="L8" t="s">
        <v>53</v>
      </c>
      <c r="M8" t="s">
        <v>84</v>
      </c>
      <c r="N8" s="14">
        <v>500</v>
      </c>
      <c r="O8" s="15">
        <v>4.8000000000000001E-2</v>
      </c>
    </row>
    <row r="9" spans="1:19" x14ac:dyDescent="0.2">
      <c r="A9" t="s">
        <v>54</v>
      </c>
      <c r="B9">
        <v>700</v>
      </c>
      <c r="C9" s="8">
        <v>797.6</v>
      </c>
      <c r="D9" s="10">
        <f t="shared" si="0"/>
        <v>4.4172947946146221E-2</v>
      </c>
      <c r="E9" s="9">
        <f t="shared" si="1"/>
        <v>0.13942857142857146</v>
      </c>
      <c r="I9">
        <f t="shared" si="2"/>
        <v>6</v>
      </c>
      <c r="L9" t="s">
        <v>86</v>
      </c>
      <c r="M9" t="s">
        <v>87</v>
      </c>
      <c r="N9" s="14">
        <v>500</v>
      </c>
      <c r="O9" s="15">
        <v>4.8000000000000001E-2</v>
      </c>
    </row>
    <row r="10" spans="1:19" x14ac:dyDescent="0.2">
      <c r="A10" t="s">
        <v>58</v>
      </c>
      <c r="B10">
        <v>700</v>
      </c>
      <c r="C10">
        <v>700</v>
      </c>
      <c r="D10" s="10">
        <f t="shared" si="0"/>
        <v>3.8767632349927729E-2</v>
      </c>
      <c r="E10" s="9">
        <f t="shared" si="1"/>
        <v>0</v>
      </c>
      <c r="I10">
        <f t="shared" si="2"/>
        <v>7</v>
      </c>
      <c r="L10" t="s">
        <v>65</v>
      </c>
      <c r="M10" t="s">
        <v>88</v>
      </c>
      <c r="N10" s="14">
        <v>500</v>
      </c>
      <c r="O10" s="15">
        <v>4.8000000000000001E-2</v>
      </c>
    </row>
    <row r="11" spans="1:19" x14ac:dyDescent="0.2">
      <c r="A11" t="s">
        <v>68</v>
      </c>
      <c r="B11">
        <v>700</v>
      </c>
      <c r="C11" s="1">
        <v>700</v>
      </c>
      <c r="D11" s="10">
        <f t="shared" si="0"/>
        <v>3.8767632349927729E-2</v>
      </c>
      <c r="E11" s="9">
        <f t="shared" si="1"/>
        <v>0</v>
      </c>
      <c r="I11">
        <f t="shared" si="2"/>
        <v>8</v>
      </c>
      <c r="L11" t="s">
        <v>55</v>
      </c>
      <c r="M11" t="s">
        <v>93</v>
      </c>
      <c r="N11" s="14">
        <v>500</v>
      </c>
      <c r="O11" s="15">
        <v>4.8000000000000001E-2</v>
      </c>
    </row>
    <row r="12" spans="1:19" x14ac:dyDescent="0.2">
      <c r="A12" t="s">
        <v>63</v>
      </c>
      <c r="B12">
        <v>459</v>
      </c>
      <c r="C12">
        <v>637</v>
      </c>
      <c r="D12" s="10">
        <f t="shared" si="0"/>
        <v>3.5278545438434235E-2</v>
      </c>
      <c r="E12" s="9">
        <f t="shared" si="1"/>
        <v>0.38779956427015261</v>
      </c>
      <c r="I12">
        <f t="shared" si="2"/>
        <v>9</v>
      </c>
      <c r="L12" t="s">
        <v>63</v>
      </c>
      <c r="M12" t="s">
        <v>82</v>
      </c>
      <c r="N12" s="14">
        <v>459</v>
      </c>
      <c r="O12" s="15">
        <v>4.3999999999999997E-2</v>
      </c>
    </row>
    <row r="13" spans="1:19" x14ac:dyDescent="0.2">
      <c r="A13" t="s">
        <v>55</v>
      </c>
      <c r="B13">
        <v>500</v>
      </c>
      <c r="C13">
        <v>622</v>
      </c>
      <c r="D13" s="10">
        <f t="shared" si="0"/>
        <v>3.4447810459507212E-2</v>
      </c>
      <c r="E13" s="9">
        <f t="shared" si="1"/>
        <v>0.24399999999999999</v>
      </c>
      <c r="G13" s="1">
        <f>SUM(C$4:C13)</f>
        <v>9830.2999999999993</v>
      </c>
      <c r="H13" s="10">
        <f>SUM(D$4:D13)</f>
        <v>0.54442493755642085</v>
      </c>
      <c r="I13">
        <f t="shared" si="2"/>
        <v>10</v>
      </c>
      <c r="L13" t="s">
        <v>54</v>
      </c>
      <c r="M13" t="s">
        <v>85</v>
      </c>
      <c r="N13" s="14">
        <v>400</v>
      </c>
      <c r="O13" s="15">
        <v>3.9E-2</v>
      </c>
      <c r="R13" s="1">
        <f>SUM(N$4:N13)</f>
        <v>5309</v>
      </c>
      <c r="S13" s="10">
        <f>SUM(O$4:O13)</f>
        <v>0.5119999999999999</v>
      </c>
    </row>
    <row r="14" spans="1:19" x14ac:dyDescent="0.2">
      <c r="A14" t="s">
        <v>72</v>
      </c>
      <c r="B14">
        <v>600</v>
      </c>
      <c r="C14">
        <v>600</v>
      </c>
      <c r="D14" s="10">
        <f t="shared" si="0"/>
        <v>3.3229399157080911E-2</v>
      </c>
      <c r="E14" s="9">
        <f t="shared" si="1"/>
        <v>0</v>
      </c>
      <c r="I14">
        <f t="shared" si="2"/>
        <v>11</v>
      </c>
      <c r="L14" t="s">
        <v>57</v>
      </c>
      <c r="M14" t="s">
        <v>81</v>
      </c>
      <c r="N14" s="14">
        <v>200</v>
      </c>
      <c r="O14" s="15">
        <v>1.9E-2</v>
      </c>
    </row>
    <row r="15" spans="1:19" x14ac:dyDescent="0.2">
      <c r="A15" t="s">
        <v>138</v>
      </c>
      <c r="B15">
        <v>600</v>
      </c>
      <c r="C15">
        <v>600</v>
      </c>
      <c r="D15" s="10">
        <f t="shared" si="0"/>
        <v>3.3229399157080911E-2</v>
      </c>
      <c r="E15" s="9">
        <f t="shared" si="1"/>
        <v>0</v>
      </c>
      <c r="I15">
        <f t="shared" si="2"/>
        <v>12</v>
      </c>
      <c r="L15" t="s">
        <v>89</v>
      </c>
      <c r="M15" t="s">
        <v>90</v>
      </c>
      <c r="N15" s="14">
        <v>200</v>
      </c>
      <c r="O15" s="15">
        <v>1.9E-2</v>
      </c>
    </row>
    <row r="16" spans="1:19" x14ac:dyDescent="0.2">
      <c r="A16" t="s">
        <v>59</v>
      </c>
      <c r="B16">
        <v>500</v>
      </c>
      <c r="C16">
        <v>500</v>
      </c>
      <c r="D16" s="10">
        <f t="shared" si="0"/>
        <v>2.7691165964234092E-2</v>
      </c>
      <c r="E16" s="9">
        <f t="shared" si="1"/>
        <v>0</v>
      </c>
      <c r="I16">
        <f t="shared" si="2"/>
        <v>13</v>
      </c>
      <c r="L16" t="s">
        <v>66</v>
      </c>
      <c r="M16" t="s">
        <v>91</v>
      </c>
      <c r="N16" s="14">
        <v>200</v>
      </c>
      <c r="O16" s="15">
        <v>1.9E-2</v>
      </c>
    </row>
    <row r="17" spans="1:15" x14ac:dyDescent="0.2">
      <c r="A17" t="s">
        <v>62</v>
      </c>
      <c r="B17">
        <v>430</v>
      </c>
      <c r="C17">
        <v>430</v>
      </c>
      <c r="D17" s="10">
        <f t="shared" si="0"/>
        <v>2.3814402729241319E-2</v>
      </c>
      <c r="E17" s="9">
        <f t="shared" si="1"/>
        <v>0</v>
      </c>
      <c r="I17">
        <f t="shared" si="2"/>
        <v>14</v>
      </c>
      <c r="L17" t="s">
        <v>80</v>
      </c>
      <c r="N17" s="16">
        <v>5909</v>
      </c>
      <c r="O17" s="17">
        <v>0.56999999999999995</v>
      </c>
    </row>
    <row r="18" spans="1:15" x14ac:dyDescent="0.2">
      <c r="A18" t="s">
        <v>60</v>
      </c>
      <c r="B18">
        <v>400</v>
      </c>
      <c r="C18">
        <v>400</v>
      </c>
      <c r="D18" s="10">
        <f t="shared" si="0"/>
        <v>2.2152932771387274E-2</v>
      </c>
      <c r="E18" s="9">
        <f t="shared" si="1"/>
        <v>0</v>
      </c>
      <c r="I18">
        <f t="shared" si="2"/>
        <v>15</v>
      </c>
      <c r="L18" t="s">
        <v>4</v>
      </c>
      <c r="N18" s="18">
        <v>4461</v>
      </c>
      <c r="O18" s="14"/>
    </row>
    <row r="19" spans="1:15" x14ac:dyDescent="0.2">
      <c r="A19" t="s">
        <v>57</v>
      </c>
      <c r="B19">
        <v>200</v>
      </c>
      <c r="C19">
        <v>214</v>
      </c>
      <c r="D19" s="10">
        <f t="shared" si="0"/>
        <v>1.1851819032692191E-2</v>
      </c>
      <c r="E19" s="9">
        <f t="shared" si="1"/>
        <v>7.0000000000000062E-2</v>
      </c>
      <c r="I19">
        <f t="shared" si="2"/>
        <v>16</v>
      </c>
      <c r="L19" t="s">
        <v>5</v>
      </c>
      <c r="N19" s="18">
        <v>10370</v>
      </c>
      <c r="O19" s="14"/>
    </row>
    <row r="20" spans="1:15" x14ac:dyDescent="0.2">
      <c r="A20" t="s">
        <v>66</v>
      </c>
      <c r="B20">
        <v>200</v>
      </c>
      <c r="C20">
        <v>200</v>
      </c>
      <c r="D20" s="10">
        <f t="shared" si="0"/>
        <v>1.1076466385693637E-2</v>
      </c>
      <c r="E20" s="9">
        <f t="shared" si="1"/>
        <v>0</v>
      </c>
      <c r="G20" s="1">
        <f>SUM(C$4:C20)</f>
        <v>12774.3</v>
      </c>
      <c r="H20" s="10">
        <f>SUM(D$4:D20)</f>
        <v>0.70747052275383104</v>
      </c>
      <c r="I20">
        <f>I19+1</f>
        <v>17</v>
      </c>
    </row>
    <row r="21" spans="1:15" x14ac:dyDescent="0.2">
      <c r="A21" t="s">
        <v>61</v>
      </c>
      <c r="B21">
        <v>550</v>
      </c>
      <c r="C21">
        <v>0</v>
      </c>
      <c r="D21" s="10">
        <f t="shared" si="0"/>
        <v>0</v>
      </c>
      <c r="E21" s="9">
        <f t="shared" si="1"/>
        <v>-1</v>
      </c>
      <c r="G21" s="1"/>
      <c r="H21" s="10"/>
      <c r="I21">
        <f>I20+1</f>
        <v>18</v>
      </c>
    </row>
    <row r="22" spans="1:15" x14ac:dyDescent="0.2">
      <c r="B22" s="1">
        <f>SUM(B4:B21)</f>
        <v>11709</v>
      </c>
      <c r="C22" s="1">
        <f>SUM(C4:C21)</f>
        <v>12774.3</v>
      </c>
      <c r="D22" s="10">
        <f t="shared" si="0"/>
        <v>0.70747052275383104</v>
      </c>
      <c r="E22" s="9">
        <f t="shared" si="1"/>
        <v>9.0981296438636949E-2</v>
      </c>
    </row>
    <row r="23" spans="1:15" x14ac:dyDescent="0.2">
      <c r="A23" t="s">
        <v>69</v>
      </c>
      <c r="B23" s="1">
        <v>5687</v>
      </c>
      <c r="C23" s="1">
        <v>5282</v>
      </c>
      <c r="D23" s="10">
        <f t="shared" si="0"/>
        <v>0.29252947724616896</v>
      </c>
      <c r="E23" s="9">
        <f t="shared" si="1"/>
        <v>-7.1215051872692059E-2</v>
      </c>
    </row>
    <row r="24" spans="1:15" x14ac:dyDescent="0.2">
      <c r="E24" s="9"/>
    </row>
    <row r="25" spans="1:15" x14ac:dyDescent="0.2">
      <c r="A25" t="s">
        <v>71</v>
      </c>
      <c r="B25" s="1">
        <f>B22+B23</f>
        <v>17396</v>
      </c>
      <c r="C25" s="1">
        <f>C22+C23</f>
        <v>18056.3</v>
      </c>
      <c r="E25" s="9">
        <f t="shared" si="1"/>
        <v>3.7957001609565388E-2</v>
      </c>
    </row>
    <row r="28" spans="1:15" x14ac:dyDescent="0.2">
      <c r="A28" t="s">
        <v>96</v>
      </c>
    </row>
    <row r="29" spans="1:15" x14ac:dyDescent="0.2">
      <c r="B29">
        <v>2020</v>
      </c>
      <c r="C29">
        <v>2021</v>
      </c>
      <c r="D29" t="s">
        <v>98</v>
      </c>
    </row>
    <row r="30" spans="1:15" x14ac:dyDescent="0.2">
      <c r="A30" t="s">
        <v>4</v>
      </c>
      <c r="B30" s="9">
        <f>'Balance Sheet'!B26/'Balance Sheet'!B28</f>
        <v>0.65784187486703172</v>
      </c>
      <c r="C30" s="9">
        <f>'Balance Sheet'!C26/'Balance Sheet'!C28</f>
        <v>0.40803092054751605</v>
      </c>
      <c r="D30" s="9">
        <f>'Balance Sheet'!I26/'Balance Sheet'!I28</f>
        <v>0.32383471484755039</v>
      </c>
    </row>
    <row r="31" spans="1:15" x14ac:dyDescent="0.2">
      <c r="A31" t="s">
        <v>97</v>
      </c>
      <c r="B31" s="19">
        <f>'Balance Sheet'!B35</f>
        <v>0.34215812513296828</v>
      </c>
      <c r="C31" s="19">
        <f>'Balance Sheet'!C35-C32</f>
        <v>7.9969079452483882E-2</v>
      </c>
      <c r="D31" s="19">
        <f>'Balance Sheet'!I35-'Balance Sheet'!I32</f>
        <v>0.13174034759602882</v>
      </c>
    </row>
    <row r="32" spans="1:15" x14ac:dyDescent="0.2">
      <c r="A32" t="s">
        <v>38</v>
      </c>
      <c r="B32">
        <f>'Balance Sheet'!B32</f>
        <v>0</v>
      </c>
      <c r="C32" s="9">
        <f>'Balance Sheet'!C32</f>
        <v>0.51200000000000001</v>
      </c>
      <c r="D32" s="19">
        <f>'Balance Sheet'!I32</f>
        <v>0.54442493755642085</v>
      </c>
    </row>
    <row r="33" spans="1:3" x14ac:dyDescent="0.2">
      <c r="A33" t="s">
        <v>99</v>
      </c>
      <c r="B33">
        <f>'Balance Sheet'!B33-'Balance Sheet'!B32</f>
        <v>0</v>
      </c>
      <c r="C33">
        <v>0</v>
      </c>
    </row>
  </sheetData>
  <sortState xmlns:xlrd2="http://schemas.microsoft.com/office/spreadsheetml/2017/richdata2" ref="A4:C21">
    <sortCondition descending="1" ref="C4:C21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D908-60B8-124B-8A3B-E0A46D163A7F}">
  <dimension ref="A2:H54"/>
  <sheetViews>
    <sheetView tabSelected="1" workbookViewId="0">
      <selection activeCell="C11" sqref="C11"/>
    </sheetView>
  </sheetViews>
  <sheetFormatPr baseColWidth="10" defaultRowHeight="16" x14ac:dyDescent="0.2"/>
  <cols>
    <col min="1" max="1" width="19.5" bestFit="1" customWidth="1"/>
    <col min="3" max="3" width="11.6640625" bestFit="1" customWidth="1"/>
  </cols>
  <sheetData>
    <row r="2" spans="1:7" x14ac:dyDescent="0.2">
      <c r="B2" s="3" t="s">
        <v>102</v>
      </c>
    </row>
    <row r="3" spans="1:7" x14ac:dyDescent="0.2">
      <c r="B3" t="s">
        <v>116</v>
      </c>
      <c r="C3" t="s">
        <v>137</v>
      </c>
    </row>
    <row r="4" spans="1:7" x14ac:dyDescent="0.2">
      <c r="B4" t="s">
        <v>103</v>
      </c>
      <c r="C4">
        <v>85</v>
      </c>
    </row>
    <row r="5" spans="1:7" x14ac:dyDescent="0.2">
      <c r="B5" t="s">
        <v>105</v>
      </c>
      <c r="C5">
        <v>88.5</v>
      </c>
    </row>
    <row r="6" spans="1:7" x14ac:dyDescent="0.2">
      <c r="B6" t="s">
        <v>106</v>
      </c>
      <c r="C6">
        <v>85</v>
      </c>
    </row>
    <row r="7" spans="1:7" x14ac:dyDescent="0.2">
      <c r="B7" t="s">
        <v>104</v>
      </c>
      <c r="C7" s="21">
        <f>('Balance Sheet'!I8+'Balance Sheet'!J8)/1000000</f>
        <v>19.359076999999999</v>
      </c>
      <c r="F7" s="21"/>
    </row>
    <row r="8" spans="1:7" x14ac:dyDescent="0.2">
      <c r="B8" t="s">
        <v>107</v>
      </c>
      <c r="C8" s="22">
        <f>C7*C4/100</f>
        <v>16.455215449999997</v>
      </c>
      <c r="F8" s="22"/>
    </row>
    <row r="9" spans="1:7" x14ac:dyDescent="0.2">
      <c r="B9" t="s">
        <v>108</v>
      </c>
      <c r="C9" s="22">
        <f>C7*C10/100</f>
        <v>17.254745330099997</v>
      </c>
      <c r="F9" s="22"/>
    </row>
    <row r="10" spans="1:7" x14ac:dyDescent="0.2">
      <c r="B10" t="s">
        <v>110</v>
      </c>
      <c r="C10" s="6">
        <f>NAV!B11</f>
        <v>89.13</v>
      </c>
    </row>
    <row r="11" spans="1:7" x14ac:dyDescent="0.2">
      <c r="B11" t="s">
        <v>109</v>
      </c>
      <c r="C11" s="10">
        <f>C4/C10-1</f>
        <v>-4.6336811399079969E-2</v>
      </c>
      <c r="F11" s="10"/>
    </row>
    <row r="14" spans="1:7" x14ac:dyDescent="0.2">
      <c r="A14" s="3" t="s">
        <v>111</v>
      </c>
    </row>
    <row r="16" spans="1:7" x14ac:dyDescent="0.2">
      <c r="B16">
        <v>2020</v>
      </c>
      <c r="C16">
        <v>2021</v>
      </c>
      <c r="D16" t="s">
        <v>98</v>
      </c>
      <c r="E16">
        <v>2023</v>
      </c>
      <c r="F16">
        <v>2024</v>
      </c>
      <c r="G16">
        <v>2025</v>
      </c>
    </row>
    <row r="17" spans="1:7" x14ac:dyDescent="0.2">
      <c r="A17" t="s">
        <v>113</v>
      </c>
      <c r="B17" s="6">
        <f>'Balance Sheet'!B7</f>
        <v>94.08</v>
      </c>
      <c r="C17" s="6">
        <f>'Balance Sheet'!C7</f>
        <v>93.08</v>
      </c>
      <c r="D17" s="6">
        <f>'Balance Sheet'!I7</f>
        <v>93.19</v>
      </c>
      <c r="E17" s="6"/>
      <c r="F17" s="6"/>
      <c r="G17" s="6"/>
    </row>
    <row r="18" spans="1:7" x14ac:dyDescent="0.2">
      <c r="A18" t="s">
        <v>112</v>
      </c>
      <c r="B18" s="2">
        <f>Income!B16+Income!B17</f>
        <v>0</v>
      </c>
      <c r="C18" s="2">
        <f>Income!C16+Income!C17</f>
        <v>0</v>
      </c>
      <c r="D18" s="2">
        <f>Income!D16+Income!D17</f>
        <v>0</v>
      </c>
      <c r="E18" s="2"/>
      <c r="F18" s="2"/>
      <c r="G18" s="2"/>
    </row>
    <row r="19" spans="1:7" x14ac:dyDescent="0.2">
      <c r="A19" t="s">
        <v>117</v>
      </c>
      <c r="B19" s="10">
        <f t="shared" ref="B19:G19" si="0">B18/B17</f>
        <v>0</v>
      </c>
      <c r="C19" s="10">
        <f t="shared" si="0"/>
        <v>0</v>
      </c>
      <c r="D19" s="10">
        <f t="shared" si="0"/>
        <v>0</v>
      </c>
      <c r="E19" s="10" t="e">
        <f t="shared" si="0"/>
        <v>#DIV/0!</v>
      </c>
      <c r="F19" s="10" t="e">
        <f t="shared" si="0"/>
        <v>#DIV/0!</v>
      </c>
      <c r="G19" s="10" t="e">
        <f t="shared" si="0"/>
        <v>#DIV/0!</v>
      </c>
    </row>
    <row r="20" spans="1:7" x14ac:dyDescent="0.2">
      <c r="A20" t="s">
        <v>114</v>
      </c>
      <c r="B20" s="10"/>
      <c r="C20" s="10">
        <f t="shared" ref="C20:E20" si="1">(C17+C18)/B17-1</f>
        <v>-1.0629251700680298E-2</v>
      </c>
      <c r="D20" s="10">
        <f t="shared" si="1"/>
        <v>1.1817791147399337E-3</v>
      </c>
      <c r="E20" s="10">
        <f t="shared" si="1"/>
        <v>-1</v>
      </c>
      <c r="F20" s="10" t="e">
        <f>(F17+F18)/E17-1</f>
        <v>#DIV/0!</v>
      </c>
      <c r="G20" s="10" t="e">
        <f>(G17+G18)/F17-1</f>
        <v>#DIV/0!</v>
      </c>
    </row>
    <row r="22" spans="1:7" x14ac:dyDescent="0.2">
      <c r="A22" s="3" t="s">
        <v>118</v>
      </c>
    </row>
    <row r="23" spans="1:7" x14ac:dyDescent="0.2">
      <c r="B23">
        <f>B16</f>
        <v>2020</v>
      </c>
      <c r="C23">
        <f t="shared" ref="C23:G23" si="2">C16</f>
        <v>2021</v>
      </c>
      <c r="D23" t="str">
        <f t="shared" si="2"/>
        <v>1H'22</v>
      </c>
      <c r="E23">
        <f t="shared" si="2"/>
        <v>2023</v>
      </c>
      <c r="F23">
        <f t="shared" si="2"/>
        <v>2024</v>
      </c>
      <c r="G23">
        <f t="shared" si="2"/>
        <v>2025</v>
      </c>
    </row>
    <row r="24" spans="1:7" x14ac:dyDescent="0.2">
      <c r="A24" t="s">
        <v>119</v>
      </c>
      <c r="B24" s="22">
        <f>B18</f>
        <v>0</v>
      </c>
      <c r="C24" s="22">
        <f t="shared" ref="C24:G25" si="3">C18</f>
        <v>0</v>
      </c>
      <c r="D24" s="22">
        <f t="shared" si="3"/>
        <v>0</v>
      </c>
      <c r="E24" s="22">
        <f t="shared" si="3"/>
        <v>0</v>
      </c>
      <c r="F24" s="22">
        <f t="shared" si="3"/>
        <v>0</v>
      </c>
      <c r="G24" s="22">
        <f t="shared" si="3"/>
        <v>0</v>
      </c>
    </row>
    <row r="25" spans="1:7" x14ac:dyDescent="0.2">
      <c r="A25" t="s">
        <v>120</v>
      </c>
      <c r="B25" s="20">
        <f>B19</f>
        <v>0</v>
      </c>
      <c r="C25" s="20">
        <f t="shared" si="3"/>
        <v>0</v>
      </c>
      <c r="D25" s="20">
        <f t="shared" si="3"/>
        <v>0</v>
      </c>
      <c r="E25" s="20" t="e">
        <f t="shared" si="3"/>
        <v>#DIV/0!</v>
      </c>
      <c r="F25" s="20" t="e">
        <f t="shared" si="3"/>
        <v>#DIV/0!</v>
      </c>
      <c r="G25" s="20" t="e">
        <f t="shared" si="3"/>
        <v>#DIV/0!</v>
      </c>
    </row>
    <row r="29" spans="1:7" x14ac:dyDescent="0.2">
      <c r="A29" s="3" t="s">
        <v>121</v>
      </c>
      <c r="B29">
        <f>B16</f>
        <v>2020</v>
      </c>
      <c r="C29">
        <f t="shared" ref="C29:G29" si="4">C16</f>
        <v>2021</v>
      </c>
      <c r="D29" t="str">
        <f t="shared" si="4"/>
        <v>1H'22</v>
      </c>
      <c r="E29">
        <f t="shared" si="4"/>
        <v>2023</v>
      </c>
      <c r="F29">
        <f t="shared" si="4"/>
        <v>2024</v>
      </c>
      <c r="G29">
        <f t="shared" si="4"/>
        <v>2025</v>
      </c>
    </row>
    <row r="30" spans="1:7" x14ac:dyDescent="0.2">
      <c r="A30" t="s">
        <v>20</v>
      </c>
    </row>
    <row r="31" spans="1:7" x14ac:dyDescent="0.2">
      <c r="A31" t="s">
        <v>122</v>
      </c>
      <c r="B31">
        <f>Income!B7</f>
        <v>0</v>
      </c>
      <c r="C31">
        <f>Income!C7</f>
        <v>-0.54900000000000004</v>
      </c>
      <c r="D31">
        <f>Income!I7</f>
        <v>0</v>
      </c>
    </row>
    <row r="32" spans="1:7" x14ac:dyDescent="0.2">
      <c r="A32" t="s">
        <v>12</v>
      </c>
      <c r="B32">
        <f>Income!B8</f>
        <v>0</v>
      </c>
      <c r="C32">
        <f>Income!C8</f>
        <v>1.1719999999999999</v>
      </c>
      <c r="D32" s="13">
        <f>Income!I8/1000000</f>
        <v>0.44264399999999998</v>
      </c>
    </row>
    <row r="33" spans="1:4" x14ac:dyDescent="0.2">
      <c r="A33" t="s">
        <v>23</v>
      </c>
    </row>
    <row r="34" spans="1:4" x14ac:dyDescent="0.2">
      <c r="A34" t="s">
        <v>135</v>
      </c>
      <c r="B34">
        <f>Income!B10</f>
        <v>-6.8000000000000005E-2</v>
      </c>
      <c r="C34">
        <f>Income!C10</f>
        <v>-0.24299999999999999</v>
      </c>
      <c r="D34" s="13">
        <f>Income!I10/1000000</f>
        <v>-0.195134</v>
      </c>
    </row>
    <row r="35" spans="1:4" x14ac:dyDescent="0.2">
      <c r="A35" t="s">
        <v>9</v>
      </c>
      <c r="B35">
        <f>Income!B11</f>
        <v>-0.20300000000000001</v>
      </c>
      <c r="C35">
        <f>Income!C11</f>
        <v>-0.28299999999999997</v>
      </c>
      <c r="D35" s="13">
        <f>Income!I11/1000000</f>
        <v>-0.152281</v>
      </c>
    </row>
    <row r="36" spans="1:4" x14ac:dyDescent="0.2">
      <c r="A36" t="s">
        <v>123</v>
      </c>
      <c r="B36">
        <f>Income!B12</f>
        <v>-0.27100000000000002</v>
      </c>
      <c r="C36">
        <f>Income!C12</f>
        <v>9.699999999999992E-2</v>
      </c>
      <c r="D36" s="13">
        <f>Income!I12/1000000</f>
        <v>9.5228999999999994E-2</v>
      </c>
    </row>
    <row r="37" spans="1:4" x14ac:dyDescent="0.2">
      <c r="A37" t="s">
        <v>124</v>
      </c>
      <c r="B37" s="2">
        <f>Income!B13</f>
        <v>-7.5</v>
      </c>
      <c r="C37" s="2">
        <f>Income!C13</f>
        <v>1</v>
      </c>
      <c r="D37" s="2">
        <f>Income!I13</f>
        <v>0.57999999999999996</v>
      </c>
    </row>
    <row r="38" spans="1:4" x14ac:dyDescent="0.2">
      <c r="A38" s="3" t="s">
        <v>136</v>
      </c>
    </row>
    <row r="39" spans="1:4" x14ac:dyDescent="0.2">
      <c r="A39" t="s">
        <v>3</v>
      </c>
      <c r="B39" s="2">
        <f>'Balance Sheet'!B3/1000000</f>
        <v>1.2592749999999999</v>
      </c>
      <c r="C39" s="2">
        <f>'Balance Sheet'!C3/1000000</f>
        <v>6.961525</v>
      </c>
      <c r="D39" s="2">
        <f>'Balance Sheet'!I3/1000000</f>
        <v>11.874169</v>
      </c>
    </row>
    <row r="40" spans="1:4" x14ac:dyDescent="0.2">
      <c r="A40" t="s">
        <v>4</v>
      </c>
      <c r="B40" s="2">
        <f>'Balance Sheet'!B4/1000000</f>
        <v>2.4700000000000001E-6</v>
      </c>
      <c r="C40" s="2">
        <f>'Balance Sheet'!C4/1000000</f>
        <v>4.9660270000000004</v>
      </c>
      <c r="D40" s="2">
        <f>'Balance Sheet'!I4/1000000</f>
        <v>5.8476869999999996</v>
      </c>
    </row>
    <row r="41" spans="1:4" x14ac:dyDescent="0.2">
      <c r="A41" t="s">
        <v>5</v>
      </c>
      <c r="B41" s="2">
        <f>'Balance Sheet'!B6/1000000</f>
        <v>3.6803889999999999</v>
      </c>
      <c r="C41" s="2">
        <f>'Balance Sheet'!C6/1000000</f>
        <v>11.759947</v>
      </c>
      <c r="D41" s="2">
        <f>'Balance Sheet'!I6/1000000</f>
        <v>17.561045</v>
      </c>
    </row>
    <row r="42" spans="1:4" x14ac:dyDescent="0.2">
      <c r="A42" t="s">
        <v>125</v>
      </c>
      <c r="B42" s="2">
        <f>'Balance Sheet'!B7</f>
        <v>94.08</v>
      </c>
      <c r="C42" s="2">
        <f>'Balance Sheet'!C7</f>
        <v>93.08</v>
      </c>
      <c r="D42" s="2">
        <f>'Balance Sheet'!I7</f>
        <v>93.19</v>
      </c>
    </row>
    <row r="43" spans="1:4" x14ac:dyDescent="0.2">
      <c r="A43" t="s">
        <v>126</v>
      </c>
    </row>
    <row r="44" spans="1:4" x14ac:dyDescent="0.2">
      <c r="A44" t="s">
        <v>127</v>
      </c>
    </row>
    <row r="45" spans="1:4" x14ac:dyDescent="0.2">
      <c r="A45" t="s">
        <v>128</v>
      </c>
    </row>
    <row r="46" spans="1:4" x14ac:dyDescent="0.2">
      <c r="A46" t="s">
        <v>129</v>
      </c>
    </row>
    <row r="49" spans="1:8" x14ac:dyDescent="0.2">
      <c r="A49" t="s">
        <v>130</v>
      </c>
      <c r="B49">
        <v>2019</v>
      </c>
      <c r="C49">
        <f t="shared" ref="C49:H49" si="5">B29</f>
        <v>2020</v>
      </c>
      <c r="D49">
        <f t="shared" si="5"/>
        <v>2021</v>
      </c>
      <c r="E49" t="str">
        <f t="shared" si="5"/>
        <v>1H'22</v>
      </c>
      <c r="F49">
        <f t="shared" si="5"/>
        <v>2023</v>
      </c>
      <c r="G49">
        <f t="shared" si="5"/>
        <v>2024</v>
      </c>
      <c r="H49">
        <f t="shared" si="5"/>
        <v>2025</v>
      </c>
    </row>
    <row r="50" spans="1:8" x14ac:dyDescent="0.2">
      <c r="A50" t="s">
        <v>110</v>
      </c>
      <c r="B50">
        <v>100</v>
      </c>
      <c r="C50" s="2">
        <f>B42</f>
        <v>94.08</v>
      </c>
      <c r="D50" s="2">
        <f t="shared" ref="D50:H50" si="6">C42</f>
        <v>93.08</v>
      </c>
      <c r="E50" s="2">
        <f t="shared" si="6"/>
        <v>93.19</v>
      </c>
      <c r="F50" s="2">
        <f>E42</f>
        <v>0</v>
      </c>
      <c r="G50" s="2">
        <f t="shared" si="6"/>
        <v>0</v>
      </c>
      <c r="H50" s="2">
        <f t="shared" si="6"/>
        <v>0</v>
      </c>
    </row>
    <row r="51" spans="1:8" x14ac:dyDescent="0.2">
      <c r="A51" t="s">
        <v>131</v>
      </c>
      <c r="C51" s="2">
        <v>93</v>
      </c>
      <c r="D51" s="2">
        <v>85</v>
      </c>
      <c r="E51" s="2">
        <v>88.5</v>
      </c>
      <c r="F51" s="2"/>
      <c r="G51" s="2"/>
      <c r="H51" s="2"/>
    </row>
    <row r="52" spans="1:8" x14ac:dyDescent="0.2">
      <c r="A52" t="s">
        <v>132</v>
      </c>
      <c r="C52">
        <v>0</v>
      </c>
      <c r="D52">
        <f>B43</f>
        <v>0</v>
      </c>
      <c r="E52">
        <f t="shared" ref="E52:H52" si="7">C43</f>
        <v>0</v>
      </c>
      <c r="F52">
        <f t="shared" si="7"/>
        <v>0</v>
      </c>
      <c r="G52">
        <f t="shared" si="7"/>
        <v>0</v>
      </c>
      <c r="H52">
        <f t="shared" si="7"/>
        <v>0</v>
      </c>
    </row>
    <row r="53" spans="1:8" x14ac:dyDescent="0.2">
      <c r="A53" t="s">
        <v>133</v>
      </c>
      <c r="C53" s="20">
        <f>(C50+C52)/B50-1</f>
        <v>-5.920000000000003E-2</v>
      </c>
      <c r="D53" s="20">
        <f>(D50+D52)/C50-1</f>
        <v>-1.0629251700680298E-2</v>
      </c>
      <c r="E53" s="20">
        <f t="shared" ref="E53:H53" si="8">(E50+E52)/D50-1</f>
        <v>1.1817791147399337E-3</v>
      </c>
      <c r="F53" s="20">
        <f t="shared" si="8"/>
        <v>-1</v>
      </c>
      <c r="G53" s="20" t="e">
        <f t="shared" si="8"/>
        <v>#DIV/0!</v>
      </c>
      <c r="H53" s="20" t="e">
        <f t="shared" si="8"/>
        <v>#DIV/0!</v>
      </c>
    </row>
    <row r="54" spans="1:8" x14ac:dyDescent="0.2">
      <c r="A54" t="s">
        <v>134</v>
      </c>
      <c r="C54" s="19" t="s">
        <v>115</v>
      </c>
      <c r="D54" s="19">
        <f>(D51+D52)/C51-1</f>
        <v>-8.6021505376344121E-2</v>
      </c>
      <c r="E54" s="19">
        <f t="shared" ref="E54:H54" si="9">(E51+E52)/D51-1</f>
        <v>4.117647058823537E-2</v>
      </c>
      <c r="F54" s="19">
        <f t="shared" si="9"/>
        <v>-1</v>
      </c>
      <c r="G54" s="19" t="e">
        <f t="shared" si="9"/>
        <v>#DIV/0!</v>
      </c>
      <c r="H54" s="19" t="e">
        <f t="shared" si="9"/>
        <v>#DIV/0!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Income</vt:lpstr>
      <vt:lpstr>Balance Sheet</vt:lpstr>
      <vt:lpstr>NAV</vt:lpstr>
      <vt:lpstr>Portfolio</vt:lpstr>
      <vt:lpstr>Publlsh</vt:lpstr>
      <vt:lpstr>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Moretta</dc:creator>
  <cp:lastModifiedBy>Brian Moretta</cp:lastModifiedBy>
  <dcterms:created xsi:type="dcterms:W3CDTF">2022-09-28T15:59:00Z</dcterms:created>
  <dcterms:modified xsi:type="dcterms:W3CDTF">2022-11-21T15:12:22Z</dcterms:modified>
</cp:coreProperties>
</file>