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rdmanandco-my.sharepoint.com/personal/bm_hardmanandco_com/Documents/Tax Enhanced - VCTs/Seneca/VCT Report 2212/"/>
    </mc:Choice>
  </mc:AlternateContent>
  <xr:revisionPtr revIDLastSave="771" documentId="8_{CB54CED2-61DA-184A-923A-533EE18BBFA1}" xr6:coauthVersionLast="45" xr6:coauthVersionMax="45" xr10:uidLastSave="{12764BD0-BDBF-D14A-B2E5-0FB936629527}"/>
  <bookViews>
    <workbookView minimized="1" xWindow="19080" yWindow="460" windowWidth="18480" windowHeight="21140" activeTab="4" xr2:uid="{B4568611-568E-AD47-86EA-D55F11193BF8}"/>
  </bookViews>
  <sheets>
    <sheet name="Income" sheetId="1" r:id="rId1"/>
    <sheet name="Balance Sheet" sheetId="2" r:id="rId2"/>
    <sheet name="Balance Sheet Ord" sheetId="13" r:id="rId3"/>
    <sheet name="NAV" sheetId="4" r:id="rId4"/>
    <sheet name="Publish" sheetId="7" r:id="rId5"/>
    <sheet name="Portfolio" sheetId="3" r:id="rId6"/>
    <sheet name="Exits" sheetId="14" r:id="rId7"/>
    <sheet name="Fees" sheetId="12" r:id="rId8"/>
  </sheets>
  <definedNames>
    <definedName name="NAV">Portfolio!$C$45</definedName>
    <definedName name="PercentInvested">Fees!$D$6</definedName>
    <definedName name="Term">Fees!$B$4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7" l="1"/>
  <c r="B57" i="7"/>
  <c r="B58" i="7"/>
  <c r="B59" i="7"/>
  <c r="B60" i="7"/>
  <c r="B61" i="7"/>
  <c r="B55" i="7"/>
  <c r="D62" i="7"/>
  <c r="F9" i="2" l="1"/>
  <c r="K9" i="2"/>
  <c r="C10" i="7"/>
  <c r="K6" i="13" l="1"/>
  <c r="C81" i="7" l="1"/>
  <c r="D81" i="7"/>
  <c r="E81" i="7"/>
  <c r="C82" i="7"/>
  <c r="D82" i="7"/>
  <c r="E82" i="7"/>
  <c r="C83" i="7"/>
  <c r="D83" i="7"/>
  <c r="E83" i="7"/>
  <c r="B83" i="7"/>
  <c r="B82" i="7"/>
  <c r="B81" i="7"/>
  <c r="C80" i="7"/>
  <c r="D80" i="7"/>
  <c r="E80" i="7"/>
  <c r="B80" i="7"/>
  <c r="A82" i="7"/>
  <c r="A83" i="7"/>
  <c r="A81" i="7"/>
  <c r="D9" i="14"/>
  <c r="D10" i="14" s="1"/>
  <c r="C9" i="14"/>
  <c r="C10" i="14" s="1"/>
  <c r="E8" i="14"/>
  <c r="E7" i="14"/>
  <c r="E6" i="14"/>
  <c r="E5" i="14"/>
  <c r="E4" i="14"/>
  <c r="E3" i="14"/>
  <c r="E9" i="14" l="1"/>
  <c r="E10" i="14"/>
  <c r="H47" i="12"/>
  <c r="G47" i="12"/>
  <c r="F39" i="12"/>
  <c r="G39" i="12"/>
  <c r="H39" i="12"/>
  <c r="E39" i="12"/>
  <c r="B43" i="3"/>
  <c r="H47" i="7"/>
  <c r="G56" i="7"/>
  <c r="C62" i="7"/>
  <c r="G57" i="7"/>
  <c r="G55" i="7"/>
  <c r="C43" i="3"/>
  <c r="C67" i="7" l="1"/>
  <c r="D67" i="7"/>
  <c r="C68" i="7"/>
  <c r="D68" i="7"/>
  <c r="C70" i="7"/>
  <c r="D70" i="7"/>
  <c r="D73" i="7" s="1"/>
  <c r="C72" i="7"/>
  <c r="D72" i="7"/>
  <c r="E72" i="7"/>
  <c r="E70" i="7"/>
  <c r="E73" i="7" s="1"/>
  <c r="C46" i="7"/>
  <c r="G18" i="7"/>
  <c r="C9" i="7"/>
  <c r="C7" i="7"/>
  <c r="E68" i="7"/>
  <c r="E67" i="7"/>
  <c r="J30" i="2"/>
  <c r="J39" i="2"/>
  <c r="J30" i="13"/>
  <c r="J32" i="1"/>
  <c r="J10" i="13"/>
  <c r="I10" i="13"/>
  <c r="J11" i="2"/>
  <c r="I11" i="2"/>
  <c r="D10" i="13"/>
  <c r="E10" i="13"/>
  <c r="B49" i="3"/>
  <c r="B50" i="3"/>
  <c r="B51" i="3"/>
  <c r="B52" i="3"/>
  <c r="B53" i="3"/>
  <c r="E37" i="3"/>
  <c r="D30" i="13"/>
  <c r="C22" i="2"/>
  <c r="D22" i="2"/>
  <c r="E22" i="2"/>
  <c r="B22" i="2"/>
  <c r="D30" i="2"/>
  <c r="D16" i="2"/>
  <c r="D25" i="4"/>
  <c r="E21" i="4"/>
  <c r="E15" i="4"/>
  <c r="E25" i="4"/>
  <c r="E9" i="4"/>
  <c r="E5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4" i="4"/>
  <c r="C73" i="7" l="1"/>
  <c r="C10" i="13"/>
  <c r="J32" i="13"/>
  <c r="F32" i="13"/>
  <c r="F40" i="13" s="1"/>
  <c r="E32" i="13"/>
  <c r="E40" i="13" s="1"/>
  <c r="D32" i="13"/>
  <c r="D36" i="13" s="1"/>
  <c r="C32" i="13"/>
  <c r="C36" i="13" s="1"/>
  <c r="B32" i="13"/>
  <c r="B40" i="13" s="1"/>
  <c r="I31" i="13"/>
  <c r="F31" i="13"/>
  <c r="E30" i="13"/>
  <c r="E31" i="13" s="1"/>
  <c r="J26" i="13"/>
  <c r="D39" i="13"/>
  <c r="C39" i="13"/>
  <c r="J22" i="13"/>
  <c r="I22" i="13"/>
  <c r="F22" i="13"/>
  <c r="E22" i="13"/>
  <c r="D22" i="13"/>
  <c r="C22" i="13"/>
  <c r="B22" i="13"/>
  <c r="F17" i="13"/>
  <c r="E17" i="13"/>
  <c r="D17" i="13"/>
  <c r="C17" i="13"/>
  <c r="B17" i="13"/>
  <c r="J11" i="13"/>
  <c r="I11" i="13"/>
  <c r="F11" i="13"/>
  <c r="E11" i="13"/>
  <c r="D11" i="13"/>
  <c r="C11" i="13"/>
  <c r="J5" i="13"/>
  <c r="I5" i="13"/>
  <c r="F5" i="13"/>
  <c r="E5" i="13"/>
  <c r="D5" i="13"/>
  <c r="C5" i="13"/>
  <c r="B5" i="13"/>
  <c r="B31" i="13" s="1"/>
  <c r="F2" i="13"/>
  <c r="E2" i="13"/>
  <c r="D2" i="13"/>
  <c r="C2" i="13"/>
  <c r="B2" i="13"/>
  <c r="A1" i="13"/>
  <c r="J27" i="13" l="1"/>
  <c r="J39" i="13" s="1"/>
  <c r="E36" i="13"/>
  <c r="E39" i="13"/>
  <c r="D40" i="13"/>
  <c r="C40" i="13"/>
  <c r="B39" i="13"/>
  <c r="F39" i="13"/>
  <c r="C31" i="13"/>
  <c r="B36" i="13"/>
  <c r="F36" i="13"/>
  <c r="D31" i="13"/>
  <c r="G41" i="12"/>
  <c r="B7" i="12"/>
  <c r="F41" i="12" l="1"/>
  <c r="H41" i="12"/>
  <c r="E41" i="12"/>
  <c r="J31" i="13"/>
  <c r="H10" i="12"/>
  <c r="H46" i="12" s="1"/>
  <c r="G10" i="12"/>
  <c r="G46" i="12" s="1"/>
  <c r="F10" i="12"/>
  <c r="F46" i="12" s="1"/>
  <c r="E10" i="12"/>
  <c r="E46" i="12" s="1"/>
  <c r="E13" i="12" l="1"/>
  <c r="E19" i="12"/>
  <c r="E21" i="12" s="1"/>
  <c r="E23" i="12" s="1"/>
  <c r="F13" i="12"/>
  <c r="F19" i="12"/>
  <c r="F21" i="12" s="1"/>
  <c r="G13" i="12"/>
  <c r="G14" i="12"/>
  <c r="G19" i="12"/>
  <c r="G21" i="12" s="1"/>
  <c r="E14" i="12"/>
  <c r="F14" i="12"/>
  <c r="H13" i="12"/>
  <c r="H14" i="12"/>
  <c r="H19" i="12"/>
  <c r="H21" i="12" s="1"/>
  <c r="E40" i="12" l="1"/>
  <c r="E26" i="12"/>
  <c r="E29" i="12"/>
  <c r="E28" i="12"/>
  <c r="E27" i="12"/>
  <c r="E32" i="12"/>
  <c r="F23" i="12"/>
  <c r="F30" i="12" s="1"/>
  <c r="H23" i="12"/>
  <c r="H36" i="12" s="1"/>
  <c r="H35" i="12"/>
  <c r="H34" i="12"/>
  <c r="H33" i="12"/>
  <c r="H32" i="12"/>
  <c r="H30" i="12"/>
  <c r="H16" i="12"/>
  <c r="H15" i="12"/>
  <c r="E36" i="12"/>
  <c r="E34" i="12"/>
  <c r="E30" i="12"/>
  <c r="E35" i="12"/>
  <c r="E33" i="12"/>
  <c r="E16" i="12"/>
  <c r="E15" i="12"/>
  <c r="G23" i="12"/>
  <c r="F16" i="12" l="1"/>
  <c r="F33" i="12"/>
  <c r="F40" i="12"/>
  <c r="F29" i="12"/>
  <c r="F28" i="12"/>
  <c r="F27" i="12"/>
  <c r="F26" i="12"/>
  <c r="F35" i="12"/>
  <c r="F32" i="12"/>
  <c r="F36" i="12"/>
  <c r="G40" i="12"/>
  <c r="G27" i="12"/>
  <c r="G26" i="12"/>
  <c r="G29" i="12"/>
  <c r="G28" i="12"/>
  <c r="F15" i="12"/>
  <c r="F17" i="12" s="1"/>
  <c r="F34" i="12"/>
  <c r="H26" i="12"/>
  <c r="H29" i="12"/>
  <c r="H28" i="12"/>
  <c r="H40" i="12"/>
  <c r="H27" i="12"/>
  <c r="E17" i="12"/>
  <c r="H17" i="12"/>
  <c r="H37" i="12"/>
  <c r="E37" i="12"/>
  <c r="G36" i="12"/>
  <c r="G35" i="12"/>
  <c r="G34" i="12"/>
  <c r="G33" i="12"/>
  <c r="G32" i="12"/>
  <c r="G30" i="12"/>
  <c r="G16" i="12"/>
  <c r="G15" i="12"/>
  <c r="E31" i="12"/>
  <c r="F37" i="12" l="1"/>
  <c r="F31" i="12"/>
  <c r="F43" i="12" s="1"/>
  <c r="F45" i="12" s="1"/>
  <c r="G17" i="12"/>
  <c r="H31" i="12"/>
  <c r="H43" i="12" s="1"/>
  <c r="H45" i="12" s="1"/>
  <c r="E43" i="12"/>
  <c r="E45" i="12" s="1"/>
  <c r="G31" i="12"/>
  <c r="G37" i="12"/>
  <c r="F47" i="12" l="1"/>
  <c r="F52" i="12" s="1"/>
  <c r="H52" i="12"/>
  <c r="G43" i="12"/>
  <c r="E47" i="12"/>
  <c r="E52" i="12" s="1"/>
  <c r="F49" i="12"/>
  <c r="F50" i="12" s="1"/>
  <c r="F51" i="12" s="1"/>
  <c r="H49" i="12" l="1"/>
  <c r="H50" i="12" s="1"/>
  <c r="H51" i="12" s="1"/>
  <c r="E49" i="12"/>
  <c r="E50" i="12" s="1"/>
  <c r="E51" i="12" s="1"/>
  <c r="G45" i="12"/>
  <c r="G52" i="12" l="1"/>
  <c r="G49" i="12" l="1"/>
  <c r="G50" i="12" s="1"/>
  <c r="G51" i="12" s="1"/>
  <c r="H46" i="7" l="1"/>
  <c r="D47" i="7"/>
  <c r="E47" i="7"/>
  <c r="F47" i="7"/>
  <c r="G47" i="7"/>
  <c r="C47" i="7"/>
  <c r="D46" i="7"/>
  <c r="E46" i="7"/>
  <c r="F46" i="7"/>
  <c r="G46" i="7"/>
  <c r="C33" i="7"/>
  <c r="D33" i="7"/>
  <c r="E33" i="7"/>
  <c r="F33" i="7"/>
  <c r="B33" i="7"/>
  <c r="I38" i="7"/>
  <c r="J38" i="7"/>
  <c r="G37" i="7"/>
  <c r="H45" i="7" s="1"/>
  <c r="G36" i="7"/>
  <c r="G35" i="7"/>
  <c r="G32" i="7"/>
  <c r="G31" i="7"/>
  <c r="G30" i="7"/>
  <c r="C30" i="7"/>
  <c r="D30" i="7"/>
  <c r="E30" i="7"/>
  <c r="F30" i="7"/>
  <c r="C31" i="7"/>
  <c r="F31" i="7"/>
  <c r="C32" i="7"/>
  <c r="D32" i="7"/>
  <c r="E32" i="7"/>
  <c r="F32" i="7"/>
  <c r="C35" i="7"/>
  <c r="D35" i="7"/>
  <c r="E35" i="7"/>
  <c r="F35" i="7"/>
  <c r="C36" i="7"/>
  <c r="D36" i="7"/>
  <c r="E36" i="7"/>
  <c r="F36" i="7"/>
  <c r="C37" i="7"/>
  <c r="D45" i="7" s="1"/>
  <c r="D37" i="7"/>
  <c r="E45" i="7" s="1"/>
  <c r="E37" i="7"/>
  <c r="F45" i="7" s="1"/>
  <c r="F37" i="7"/>
  <c r="G45" i="7" s="1"/>
  <c r="C38" i="7"/>
  <c r="C39" i="7" s="1"/>
  <c r="D38" i="7"/>
  <c r="D39" i="7" s="1"/>
  <c r="E38" i="7"/>
  <c r="F38" i="7"/>
  <c r="B37" i="7"/>
  <c r="C45" i="7" s="1"/>
  <c r="B36" i="7"/>
  <c r="B35" i="7"/>
  <c r="B41" i="7" s="1"/>
  <c r="B31" i="7"/>
  <c r="B32" i="7"/>
  <c r="B30" i="7"/>
  <c r="H55" i="7"/>
  <c r="H56" i="7"/>
  <c r="F70" i="7"/>
  <c r="F72" i="7"/>
  <c r="G17" i="7"/>
  <c r="C17" i="7"/>
  <c r="D17" i="7"/>
  <c r="E17" i="7"/>
  <c r="F17" i="7"/>
  <c r="B17" i="7"/>
  <c r="C29" i="7"/>
  <c r="D44" i="7" s="1"/>
  <c r="D29" i="7"/>
  <c r="E44" i="7" s="1"/>
  <c r="E29" i="7"/>
  <c r="F44" i="7" s="1"/>
  <c r="F29" i="7"/>
  <c r="G44" i="7" s="1"/>
  <c r="G29" i="7"/>
  <c r="H44" i="7" s="1"/>
  <c r="B29" i="7"/>
  <c r="C44" i="7" s="1"/>
  <c r="G23" i="7"/>
  <c r="F23" i="7"/>
  <c r="E23" i="7"/>
  <c r="D23" i="7"/>
  <c r="C23" i="7"/>
  <c r="B23" i="7"/>
  <c r="G24" i="7"/>
  <c r="F18" i="7"/>
  <c r="E18" i="7"/>
  <c r="D18" i="7"/>
  <c r="C18" i="7"/>
  <c r="B18" i="7"/>
  <c r="C11" i="7"/>
  <c r="C8" i="7"/>
  <c r="F73" i="7" l="1"/>
  <c r="G48" i="7"/>
  <c r="H48" i="7"/>
  <c r="F48" i="7"/>
  <c r="H49" i="7"/>
  <c r="G49" i="7"/>
  <c r="F24" i="7"/>
  <c r="F19" i="7"/>
  <c r="F25" i="7" s="1"/>
  <c r="C24" i="7"/>
  <c r="C19" i="7"/>
  <c r="C25" i="7" s="1"/>
  <c r="D24" i="7"/>
  <c r="D19" i="7"/>
  <c r="D25" i="7" s="1"/>
  <c r="E24" i="7"/>
  <c r="E19" i="7"/>
  <c r="E25" i="7" s="1"/>
  <c r="G20" i="7"/>
  <c r="E39" i="7"/>
  <c r="F49" i="7"/>
  <c r="F39" i="7"/>
  <c r="E48" i="7"/>
  <c r="E49" i="7"/>
  <c r="I30" i="7"/>
  <c r="D49" i="7"/>
  <c r="D48" i="7"/>
  <c r="J30" i="7"/>
  <c r="B39" i="7"/>
  <c r="F20" i="7"/>
  <c r="C20" i="7"/>
  <c r="D20" i="7"/>
  <c r="B19" i="7"/>
  <c r="B25" i="7" s="1"/>
  <c r="E20" i="7"/>
  <c r="B24" i="7"/>
  <c r="J49" i="7" l="1"/>
  <c r="B62" i="7"/>
  <c r="K48" i="7"/>
  <c r="K49" i="7"/>
  <c r="J48" i="7"/>
  <c r="L49" i="7"/>
  <c r="L48" i="7"/>
  <c r="G23" i="3"/>
  <c r="E28" i="3"/>
  <c r="E26" i="3"/>
  <c r="E27" i="3"/>
  <c r="E29" i="3"/>
  <c r="E30" i="3"/>
  <c r="E31" i="3"/>
  <c r="E32" i="3"/>
  <c r="E33" i="3"/>
  <c r="E34" i="3"/>
  <c r="E35" i="3"/>
  <c r="E36" i="3"/>
  <c r="E38" i="3"/>
  <c r="E39" i="3"/>
  <c r="E40" i="3"/>
  <c r="E25" i="3"/>
  <c r="E24" i="3"/>
  <c r="E23" i="3"/>
  <c r="E21" i="3"/>
  <c r="E20" i="3"/>
  <c r="E42" i="3"/>
  <c r="C41" i="3"/>
  <c r="C45" i="3" s="1"/>
  <c r="B41" i="3"/>
  <c r="B45" i="3" s="1"/>
  <c r="I31" i="2"/>
  <c r="F11" i="2"/>
  <c r="J30" i="1"/>
  <c r="I30" i="1"/>
  <c r="I22" i="2"/>
  <c r="J13" i="1"/>
  <c r="G34" i="7" s="1"/>
  <c r="I13" i="1"/>
  <c r="J29" i="1" l="1"/>
  <c r="F68" i="7"/>
  <c r="G68" i="7" s="1"/>
  <c r="I29" i="1"/>
  <c r="F28" i="1"/>
  <c r="F29" i="1" s="1"/>
  <c r="F30" i="1"/>
  <c r="F39" i="2"/>
  <c r="F40" i="2"/>
  <c r="F31" i="2"/>
  <c r="F32" i="2"/>
  <c r="F17" i="2"/>
  <c r="F21" i="1"/>
  <c r="F22" i="1"/>
  <c r="F40" i="7" s="1"/>
  <c r="F23" i="1"/>
  <c r="F24" i="1"/>
  <c r="F41" i="7" s="1"/>
  <c r="F22" i="2"/>
  <c r="F13" i="1"/>
  <c r="F34" i="7" s="1"/>
  <c r="F36" i="2"/>
  <c r="C23" i="1" l="1"/>
  <c r="B23" i="1"/>
  <c r="C22" i="1"/>
  <c r="C40" i="7" s="1"/>
  <c r="B22" i="1"/>
  <c r="B40" i="7" s="1"/>
  <c r="E24" i="1"/>
  <c r="E41" i="7" s="1"/>
  <c r="E21" i="1"/>
  <c r="C11" i="2"/>
  <c r="D11" i="2"/>
  <c r="D30" i="1" s="1"/>
  <c r="E11" i="2"/>
  <c r="E30" i="1" s="1"/>
  <c r="E39" i="2"/>
  <c r="E32" i="2"/>
  <c r="E51" i="3" s="1"/>
  <c r="E30" i="2"/>
  <c r="E17" i="2"/>
  <c r="E5" i="2"/>
  <c r="F5" i="2"/>
  <c r="A1" i="2"/>
  <c r="C2" i="2"/>
  <c r="C49" i="3" s="1"/>
  <c r="D2" i="2"/>
  <c r="D49" i="3" s="1"/>
  <c r="E2" i="2"/>
  <c r="E49" i="3" s="1"/>
  <c r="F2" i="2"/>
  <c r="B2" i="2"/>
  <c r="D17" i="2"/>
  <c r="D5" i="2"/>
  <c r="D24" i="1"/>
  <c r="D41" i="7" s="1"/>
  <c r="D21" i="1"/>
  <c r="D32" i="2"/>
  <c r="B17" i="2"/>
  <c r="C17" i="2"/>
  <c r="C24" i="1"/>
  <c r="C41" i="7" s="1"/>
  <c r="C21" i="1"/>
  <c r="B5" i="2"/>
  <c r="B30" i="2" s="1"/>
  <c r="C32" i="2"/>
  <c r="B31" i="2"/>
  <c r="B21" i="1"/>
  <c r="B24" i="1"/>
  <c r="B13" i="1"/>
  <c r="B34" i="7" s="1"/>
  <c r="D23" i="1" l="1"/>
  <c r="D31" i="7"/>
  <c r="E31" i="2"/>
  <c r="E50" i="3"/>
  <c r="D36" i="2"/>
  <c r="D53" i="3" s="1"/>
  <c r="D51" i="3"/>
  <c r="D50" i="3"/>
  <c r="E23" i="1"/>
  <c r="E31" i="7"/>
  <c r="E29" i="1"/>
  <c r="D13" i="1"/>
  <c r="D34" i="7" s="1"/>
  <c r="E36" i="2"/>
  <c r="E53" i="3" s="1"/>
  <c r="E52" i="3" s="1"/>
  <c r="E40" i="2"/>
  <c r="C36" i="2"/>
  <c r="C53" i="3" s="1"/>
  <c r="C51" i="3"/>
  <c r="E13" i="1"/>
  <c r="E34" i="7" s="1"/>
  <c r="E22" i="1"/>
  <c r="E40" i="7" s="1"/>
  <c r="D22" i="1"/>
  <c r="D40" i="7" s="1"/>
  <c r="C40" i="2"/>
  <c r="D39" i="2"/>
  <c r="D29" i="1"/>
  <c r="D31" i="2"/>
  <c r="D40" i="2"/>
  <c r="C39" i="2"/>
  <c r="C52" i="3" s="1"/>
  <c r="I34" i="7" l="1"/>
  <c r="I41" i="7" s="1"/>
  <c r="I31" i="7"/>
  <c r="I40" i="7" s="1"/>
  <c r="J31" i="7"/>
  <c r="J40" i="7" s="1"/>
  <c r="D52" i="3"/>
  <c r="S13" i="3" l="1"/>
  <c r="R13" i="3"/>
  <c r="J32" i="2"/>
  <c r="B32" i="2"/>
  <c r="B36" i="2" s="1"/>
  <c r="F50" i="3" l="1"/>
  <c r="B40" i="2"/>
  <c r="B39" i="2"/>
  <c r="G13" i="3"/>
  <c r="G8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E43" i="3"/>
  <c r="E19" i="3"/>
  <c r="E18" i="3"/>
  <c r="E17" i="3"/>
  <c r="E15" i="3"/>
  <c r="E14" i="3"/>
  <c r="E13" i="3"/>
  <c r="E12" i="3"/>
  <c r="E7" i="3"/>
  <c r="E6" i="3"/>
  <c r="E5" i="3"/>
  <c r="E22" i="3"/>
  <c r="E16" i="3"/>
  <c r="E11" i="3"/>
  <c r="E10" i="3"/>
  <c r="E9" i="3"/>
  <c r="E8" i="3"/>
  <c r="E4" i="3"/>
  <c r="F69" i="7" l="1"/>
  <c r="F51" i="3"/>
  <c r="E41" i="3"/>
  <c r="I5" i="2"/>
  <c r="J5" i="2"/>
  <c r="J22" i="2"/>
  <c r="F67" i="7" l="1"/>
  <c r="G67" i="7" s="1"/>
  <c r="J31" i="2"/>
  <c r="D26" i="3"/>
  <c r="D28" i="3"/>
  <c r="D30" i="3"/>
  <c r="D32" i="3"/>
  <c r="D34" i="3"/>
  <c r="D36" i="3"/>
  <c r="D38" i="3"/>
  <c r="D40" i="3"/>
  <c r="D23" i="3"/>
  <c r="D27" i="3"/>
  <c r="D29" i="3"/>
  <c r="D31" i="3"/>
  <c r="D33" i="3"/>
  <c r="D35" i="3"/>
  <c r="D37" i="3"/>
  <c r="D39" i="3"/>
  <c r="D25" i="3"/>
  <c r="D24" i="3"/>
  <c r="D21" i="3"/>
  <c r="D20" i="3"/>
  <c r="E45" i="3"/>
  <c r="D42" i="3"/>
  <c r="D8" i="3"/>
  <c r="D16" i="3"/>
  <c r="D7" i="3"/>
  <c r="D15" i="3"/>
  <c r="D9" i="3"/>
  <c r="D22" i="3"/>
  <c r="D12" i="3"/>
  <c r="D43" i="3"/>
  <c r="D10" i="3"/>
  <c r="D5" i="3"/>
  <c r="D13" i="3"/>
  <c r="D18" i="3"/>
  <c r="D4" i="3"/>
  <c r="D11" i="3"/>
  <c r="D6" i="3"/>
  <c r="D14" i="3"/>
  <c r="D19" i="3"/>
  <c r="D17" i="3"/>
  <c r="D41" i="3"/>
  <c r="C29" i="1"/>
  <c r="H23" i="3" l="1"/>
  <c r="H8" i="3"/>
  <c r="H13" i="3"/>
  <c r="J36" i="2" l="1"/>
  <c r="J36" i="13"/>
  <c r="F54" i="3"/>
  <c r="J37" i="13"/>
  <c r="F53" i="3"/>
  <c r="F52" i="3"/>
  <c r="C5" i="2"/>
  <c r="C30" i="2" s="1"/>
  <c r="C13" i="1"/>
  <c r="C34" i="7" s="1"/>
  <c r="J34" i="7" s="1"/>
  <c r="J41" i="7" s="1"/>
  <c r="C30" i="1"/>
  <c r="C50" i="3" l="1"/>
  <c r="C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Moretta</author>
  </authors>
  <commentList>
    <comment ref="B11" authorId="0" shapeId="0" xr:uid="{A532591D-5801-0740-86AF-8208FDD1A355}">
      <text>
        <r>
          <rPr>
            <b/>
            <sz val="10"/>
            <color rgb="FF000000"/>
            <rFont val="Tahoma"/>
            <family val="2"/>
          </rPr>
          <t xml:space="preserve">£26,000 clawback of manager fee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Moretta</author>
  </authors>
  <commentList>
    <comment ref="B6" authorId="0" shapeId="0" xr:uid="{53F83BA8-2F06-AA45-BCCD-CB56E518A999}">
      <text>
        <r>
          <rPr>
            <b/>
            <sz val="10"/>
            <color rgb="FF000000"/>
            <rFont val="Tahoma"/>
            <family val="2"/>
          </rPr>
          <t>Brian Moretta: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Cancelllation of share capital -&gt; Special Disstributable reserve of £3.427m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Moretta</author>
  </authors>
  <commentList>
    <comment ref="B6" authorId="0" shapeId="0" xr:uid="{1BFFF318-FBE4-D544-869D-D1D379BEF33E}">
      <text>
        <r>
          <rPr>
            <b/>
            <sz val="10"/>
            <color rgb="FF000000"/>
            <rFont val="Tahoma"/>
            <family val="2"/>
          </rPr>
          <t>Brian Moretta: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Cancelllation of share capital -&gt; Special Disstributable reserve of £3.427m</t>
        </r>
      </text>
    </comment>
  </commentList>
</comments>
</file>

<file path=xl/sharedStrings.xml><?xml version="1.0" encoding="utf-8"?>
<sst xmlns="http://schemas.openxmlformats.org/spreadsheetml/2006/main" count="335" uniqueCount="263">
  <si>
    <t>Net profit</t>
  </si>
  <si>
    <t>eps (p)</t>
  </si>
  <si>
    <t>Investments</t>
  </si>
  <si>
    <t>Cash</t>
  </si>
  <si>
    <t>NAV</t>
  </si>
  <si>
    <t>NAV per share (p)</t>
  </si>
  <si>
    <t>Number of shares</t>
  </si>
  <si>
    <t>Interims</t>
  </si>
  <si>
    <t>Other expenses</t>
  </si>
  <si>
    <t>Manager fee</t>
  </si>
  <si>
    <t>Unrealised gains/losses</t>
  </si>
  <si>
    <t>Other</t>
  </si>
  <si>
    <t>Cost</t>
  </si>
  <si>
    <t>Unrealised</t>
  </si>
  <si>
    <t>Valuation</t>
  </si>
  <si>
    <t>Proceeds from share issue</t>
  </si>
  <si>
    <t>Cost of buybacks</t>
  </si>
  <si>
    <t>Gross realisations</t>
  </si>
  <si>
    <t>Gross realised gains</t>
  </si>
  <si>
    <t>Gross realised losses</t>
  </si>
  <si>
    <t>Investment income</t>
  </si>
  <si>
    <t>Dividends paid during year</t>
  </si>
  <si>
    <t>Divi coverage</t>
  </si>
  <si>
    <t>Realisations</t>
  </si>
  <si>
    <t>Profile of investments</t>
  </si>
  <si>
    <t>Debt</t>
  </si>
  <si>
    <t>Quoted equity</t>
  </si>
  <si>
    <t>Unquoted equity</t>
  </si>
  <si>
    <t>Total</t>
  </si>
  <si>
    <t>Fees</t>
  </si>
  <si>
    <t>Fees/av NAV</t>
  </si>
  <si>
    <t>All expenses/ av NAV</t>
  </si>
  <si>
    <t>Concentration</t>
  </si>
  <si>
    <t>Top 10</t>
  </si>
  <si>
    <t>Top 20</t>
  </si>
  <si>
    <t>Number active</t>
  </si>
  <si>
    <t>Qualifying %age</t>
  </si>
  <si>
    <t>Additional disclosed</t>
  </si>
  <si>
    <t>Regular (p)</t>
  </si>
  <si>
    <t>Special (p)</t>
  </si>
  <si>
    <t>Cost of dividends</t>
  </si>
  <si>
    <t>Av NAV</t>
  </si>
  <si>
    <t>Net Cash + other</t>
  </si>
  <si>
    <t>Portfolio (valuation)</t>
  </si>
  <si>
    <t>Total return</t>
  </si>
  <si>
    <t>Company</t>
  </si>
  <si>
    <t>% of net assets</t>
  </si>
  <si>
    <t>Brooklyn Supply Chain Solutions</t>
  </si>
  <si>
    <t>Client Share</t>
  </si>
  <si>
    <t>Cultureshift Communications</t>
  </si>
  <si>
    <t>Edozo</t>
  </si>
  <si>
    <t>Illuma Technology</t>
  </si>
  <si>
    <t>Movebubble</t>
  </si>
  <si>
    <t>Spotless Water</t>
  </si>
  <si>
    <t>Startpulsing</t>
  </si>
  <si>
    <t>Tended</t>
  </si>
  <si>
    <t>Transreport</t>
  </si>
  <si>
    <t>Cash / current assets</t>
  </si>
  <si>
    <t>£,000</t>
  </si>
  <si>
    <t>Net assets</t>
  </si>
  <si>
    <t>Uplift</t>
  </si>
  <si>
    <t>Top</t>
  </si>
  <si>
    <t>Count</t>
  </si>
  <si>
    <t>Date</t>
  </si>
  <si>
    <t>Dividends in period</t>
  </si>
  <si>
    <t>FY</t>
  </si>
  <si>
    <t>Total investments</t>
  </si>
  <si>
    <t>Property</t>
  </si>
  <si>
    <t>Water</t>
  </si>
  <si>
    <t>Transport</t>
  </si>
  <si>
    <t>Supply chain</t>
  </si>
  <si>
    <t>Governance</t>
  </si>
  <si>
    <t>Cyclr Systems</t>
  </si>
  <si>
    <t>Software</t>
  </si>
  <si>
    <t>Marketing</t>
  </si>
  <si>
    <t>Kokoon Technology</t>
  </si>
  <si>
    <t>Sleep</t>
  </si>
  <si>
    <t>Wearables</t>
  </si>
  <si>
    <t>Advertising</t>
  </si>
  <si>
    <t>HR</t>
  </si>
  <si>
    <t>WatchMy Competitor</t>
  </si>
  <si>
    <t>Market intelligence</t>
  </si>
  <si>
    <t>Portfolio development</t>
  </si>
  <si>
    <t>Rolling</t>
  </si>
  <si>
    <t>12mths</t>
  </si>
  <si>
    <t>Publish</t>
  </si>
  <si>
    <t>Price</t>
  </si>
  <si>
    <t>Shares</t>
  </si>
  <si>
    <t>12m High</t>
  </si>
  <si>
    <t>12m Low</t>
  </si>
  <si>
    <t>Mkt Cap (£m)</t>
  </si>
  <si>
    <t>NAV (£m)</t>
  </si>
  <si>
    <t>Discount</t>
  </si>
  <si>
    <t>NAV/share</t>
  </si>
  <si>
    <t>Financial summary</t>
  </si>
  <si>
    <t>Dividend paid (p)</t>
  </si>
  <si>
    <t>NAV/share (p)</t>
  </si>
  <si>
    <t>Return</t>
  </si>
  <si>
    <t>n/a</t>
  </si>
  <si>
    <t>Exceptional</t>
  </si>
  <si>
    <t>checksum</t>
  </si>
  <si>
    <t>Fees from companies</t>
  </si>
  <si>
    <t>Note 18 (£)</t>
  </si>
  <si>
    <t>Money market funds</t>
  </si>
  <si>
    <t>Total equity investments</t>
  </si>
  <si>
    <t>Qualifying Investments</t>
  </si>
  <si>
    <t>ex VAT</t>
  </si>
  <si>
    <t>Share price</t>
  </si>
  <si>
    <t>Realised gains/losses</t>
  </si>
  <si>
    <t xml:space="preserve">Unrealised gains/losses </t>
  </si>
  <si>
    <t>NAV (p)</t>
  </si>
  <si>
    <t>Weighted av shares</t>
  </si>
  <si>
    <t>Realised gains</t>
  </si>
  <si>
    <t>Realised + unrealised</t>
  </si>
  <si>
    <t>Cash + liqudity funds</t>
  </si>
  <si>
    <t>Bonds</t>
  </si>
  <si>
    <t>Other equity investments</t>
  </si>
  <si>
    <t>Top 10 equiites</t>
  </si>
  <si>
    <t>Second 10 equities</t>
  </si>
  <si>
    <t>**tbc</t>
  </si>
  <si>
    <t>Liquidity funds</t>
  </si>
  <si>
    <t>EPIC</t>
  </si>
  <si>
    <t>NAV Yield</t>
  </si>
  <si>
    <t>Year</t>
  </si>
  <si>
    <t>For chart</t>
  </si>
  <si>
    <t>Dividend paid</t>
  </si>
  <si>
    <t>NAV yield</t>
  </si>
  <si>
    <t>TR</t>
  </si>
  <si>
    <t>Sectors</t>
  </si>
  <si>
    <t>Cash etc</t>
  </si>
  <si>
    <t>Technology</t>
  </si>
  <si>
    <t>Exposure by asset class</t>
  </si>
  <si>
    <t>Unquoted equities</t>
  </si>
  <si>
    <t>AIM-quoted equities</t>
  </si>
  <si>
    <t>Loan stock</t>
  </si>
  <si>
    <t>Cash &amp; current assets</t>
  </si>
  <si>
    <t>Management fee</t>
  </si>
  <si>
    <t>Performance</t>
  </si>
  <si>
    <t>Return on activities</t>
  </si>
  <si>
    <t>Return on activities (p)</t>
  </si>
  <si>
    <t>NAV per share</t>
  </si>
  <si>
    <t>Declared dividend (p)</t>
  </si>
  <si>
    <t>Financial performance</t>
  </si>
  <si>
    <t>Declared dividend / NAV</t>
  </si>
  <si>
    <t>Divi coverage (return)</t>
  </si>
  <si>
    <t>Divi coverage (realised gains)</t>
  </si>
  <si>
    <t>Returns</t>
  </si>
  <si>
    <t>Averages</t>
  </si>
  <si>
    <t>5yr total</t>
  </si>
  <si>
    <t>Cost of divis</t>
  </si>
  <si>
    <t>3yr total</t>
  </si>
  <si>
    <t>All expenses</t>
  </si>
  <si>
    <t>NAV return</t>
  </si>
  <si>
    <t>Share price return</t>
  </si>
  <si>
    <t>CAGR</t>
  </si>
  <si>
    <t>3.5yrs</t>
  </si>
  <si>
    <t>2.5 years</t>
  </si>
  <si>
    <t>5.5yrs</t>
  </si>
  <si>
    <t>Fee Calculations</t>
  </si>
  <si>
    <t>Basic Assumptions</t>
  </si>
  <si>
    <t>Term</t>
  </si>
  <si>
    <t>years</t>
  </si>
  <si>
    <t>Investor amount</t>
  </si>
  <si>
    <t>Company investment</t>
  </si>
  <si>
    <t>Hardman Standard</t>
  </si>
  <si>
    <t>Target</t>
  </si>
  <si>
    <t>Gross Return</t>
  </si>
  <si>
    <t>Amount (pre tax relief)</t>
  </si>
  <si>
    <t>Fee</t>
  </si>
  <si>
    <t>Rate</t>
  </si>
  <si>
    <t>Initial</t>
  </si>
  <si>
    <t>Initial fee</t>
  </si>
  <si>
    <t>Arrangement fee</t>
  </si>
  <si>
    <t>External legal fees</t>
  </si>
  <si>
    <t>Annual</t>
  </si>
  <si>
    <t>Manager</t>
  </si>
  <si>
    <t>Deduction up front (4 years)</t>
  </si>
  <si>
    <t>Net investment</t>
  </si>
  <si>
    <t>Annual fees</t>
  </si>
  <si>
    <t>From VCT</t>
  </si>
  <si>
    <t>After investment return</t>
  </si>
  <si>
    <t>Exit fee</t>
  </si>
  <si>
    <t>Dealing</t>
  </si>
  <si>
    <t>Annual fee balance</t>
  </si>
  <si>
    <t>Net amount to investor</t>
  </si>
  <si>
    <t>Gain (pre tax relief)</t>
  </si>
  <si>
    <t>Gain (post tax relief)</t>
  </si>
  <si>
    <t>Total fees to manager</t>
  </si>
  <si>
    <t>Monitoring fees</t>
  </si>
  <si>
    <t>Directors fees</t>
  </si>
  <si>
    <t>Secretarial fee</t>
  </si>
  <si>
    <t>VCT</t>
  </si>
  <si>
    <t>pro rata</t>
  </si>
  <si>
    <t>% invested</t>
  </si>
  <si>
    <t>Other corporate costs</t>
  </si>
  <si>
    <t>Included in other corporate costs</t>
  </si>
  <si>
    <t>B shares only</t>
  </si>
  <si>
    <t>Total in accounts</t>
  </si>
  <si>
    <t>Fee cap rebate</t>
  </si>
  <si>
    <t>£000, Dec y/e</t>
  </si>
  <si>
    <t>Issue costs (n/d?)</t>
  </si>
  <si>
    <t>Payment date</t>
  </si>
  <si>
    <t>Dividends</t>
  </si>
  <si>
    <t>Issue costs</t>
  </si>
  <si>
    <t>Solascure</t>
  </si>
  <si>
    <t>Fabacus Holdings</t>
  </si>
  <si>
    <t>Old St Labs</t>
  </si>
  <si>
    <t>Silkfred</t>
  </si>
  <si>
    <t>Qudini</t>
  </si>
  <si>
    <t>Bright Network (UK)</t>
  </si>
  <si>
    <t>Ten80</t>
  </si>
  <si>
    <t>ProBiotix Health</t>
  </si>
  <si>
    <t>Polarean Imaging</t>
  </si>
  <si>
    <t>Arecor Therapeutics</t>
  </si>
  <si>
    <t>Poolbeg Pharma</t>
  </si>
  <si>
    <t>Gelion</t>
  </si>
  <si>
    <t>Verici DX</t>
  </si>
  <si>
    <t>Evgen Pharma</t>
  </si>
  <si>
    <t>OptiBiotix Health</t>
  </si>
  <si>
    <t>Abingdon Health</t>
  </si>
  <si>
    <t>Aptamer</t>
  </si>
  <si>
    <t>SkinBioTherapeutics</t>
  </si>
  <si>
    <t>Celadon Pharmaceuticals</t>
  </si>
  <si>
    <t>1H'22</t>
  </si>
  <si>
    <t>SVCT</t>
  </si>
  <si>
    <t>Ord shares</t>
  </si>
  <si>
    <t>HYG</t>
  </si>
  <si>
    <t>Life Sciences</t>
  </si>
  <si>
    <t>Health and consumer</t>
  </si>
  <si>
    <t>e-Commerce</t>
  </si>
  <si>
    <t>Manufacturing</t>
  </si>
  <si>
    <t>Cash %age</t>
  </si>
  <si>
    <t>Exits</t>
  </si>
  <si>
    <t>Optibiotix Health</t>
  </si>
  <si>
    <t>Investment</t>
  </si>
  <si>
    <t>Proceeds</t>
  </si>
  <si>
    <t>Genedrive</t>
  </si>
  <si>
    <t>ADC Biotechnology</t>
  </si>
  <si>
    <t>SkinBioTherepeutics</t>
  </si>
  <si>
    <t>Full</t>
  </si>
  <si>
    <t>Partials</t>
  </si>
  <si>
    <t>over 5%</t>
  </si>
  <si>
    <t>Assumed payable in last year only</t>
  </si>
  <si>
    <t>Dividend paid (LHS, p)</t>
  </si>
  <si>
    <t>Asset allocation</t>
  </si>
  <si>
    <t>Dec'22</t>
  </si>
  <si>
    <t>Divi adjusted</t>
  </si>
  <si>
    <t>Arecor Therepeutics</t>
  </si>
  <si>
    <t>£0.2m</t>
  </si>
  <si>
    <t>Alderley Lighthouse Labs</t>
  </si>
  <si>
    <t>£0.5m</t>
  </si>
  <si>
    <t>Oxford BioDynamics</t>
  </si>
  <si>
    <t>£0.7m</t>
  </si>
  <si>
    <t>Bidstack Group</t>
  </si>
  <si>
    <t>£1.1m</t>
  </si>
  <si>
    <t>Northcoders Group</t>
  </si>
  <si>
    <t>£0.3m</t>
  </si>
  <si>
    <t>Geomiq</t>
  </si>
  <si>
    <t>Convenient Collect</t>
  </si>
  <si>
    <t>HubBox</t>
  </si>
  <si>
    <t>tbc</t>
  </si>
  <si>
    <t>ca. £5m</t>
  </si>
  <si>
    <t>Cash (£,000)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</si>
</sst>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£&quot;#,##0_);[Red]\(&quot;£&quot;#,##0\)"/>
    <numFmt numFmtId="8" formatCode="&quot;£&quot;#,##0.00_);[Red]\(&quot;£&quot;#,##0.00\)"/>
    <numFmt numFmtId="164" formatCode="0.0%"/>
    <numFmt numFmtId="165" formatCode="mmm\'yy"/>
    <numFmt numFmtId="166" formatCode="0.000"/>
    <numFmt numFmtId="167" formatCode="#,##0.0"/>
    <numFmt numFmtId="168" formatCode="0.0"/>
    <numFmt numFmtId="169" formatCode="&quot;£&quot;#,##0;[Red]\-&quot;£&quot;#,##0"/>
    <numFmt numFmtId="170" formatCode="&quot;£&quot;#,##0.000_);[Red]\(&quot;£&quot;#,##0.000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3323B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4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4" fontId="0" fillId="0" borderId="0" xfId="0" applyNumberFormat="1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10" fontId="3" fillId="2" borderId="0" xfId="0" applyNumberFormat="1" applyFont="1" applyFill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9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0" fillId="0" borderId="0" xfId="0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169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0" applyNumberFormat="1" applyFont="1"/>
    <xf numFmtId="10" fontId="6" fillId="0" borderId="0" xfId="0" applyNumberFormat="1" applyFont="1"/>
    <xf numFmtId="6" fontId="6" fillId="0" borderId="0" xfId="0" applyNumberFormat="1" applyFont="1"/>
    <xf numFmtId="10" fontId="6" fillId="0" borderId="0" xfId="1" applyNumberFormat="1" applyFont="1"/>
    <xf numFmtId="170" fontId="0" fillId="0" borderId="0" xfId="0" applyNumberFormat="1"/>
    <xf numFmtId="8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NAV!$A$3:$A$24</c:f>
              <c:numCache>
                <c:formatCode>mmm\'yy</c:formatCode>
                <c:ptCount val="22"/>
                <c:pt idx="0">
                  <c:v>43335</c:v>
                </c:pt>
                <c:pt idx="1">
                  <c:v>43373</c:v>
                </c:pt>
                <c:pt idx="2">
                  <c:v>43465</c:v>
                </c:pt>
                <c:pt idx="3">
                  <c:v>43554</c:v>
                </c:pt>
                <c:pt idx="4">
                  <c:v>43646</c:v>
                </c:pt>
                <c:pt idx="5">
                  <c:v>43738</c:v>
                </c:pt>
                <c:pt idx="6">
                  <c:v>43830</c:v>
                </c:pt>
                <c:pt idx="7">
                  <c:v>43896</c:v>
                </c:pt>
                <c:pt idx="8">
                  <c:v>43920</c:v>
                </c:pt>
                <c:pt idx="9">
                  <c:v>43948</c:v>
                </c:pt>
                <c:pt idx="10">
                  <c:v>44012</c:v>
                </c:pt>
                <c:pt idx="11">
                  <c:v>44104</c:v>
                </c:pt>
                <c:pt idx="12">
                  <c:v>44196</c:v>
                </c:pt>
                <c:pt idx="13">
                  <c:v>44246</c:v>
                </c:pt>
                <c:pt idx="14">
                  <c:v>44284</c:v>
                </c:pt>
                <c:pt idx="15">
                  <c:v>44358</c:v>
                </c:pt>
                <c:pt idx="16">
                  <c:v>44377</c:v>
                </c:pt>
                <c:pt idx="17">
                  <c:v>44484</c:v>
                </c:pt>
                <c:pt idx="18">
                  <c:v>44561</c:v>
                </c:pt>
                <c:pt idx="19">
                  <c:v>44651</c:v>
                </c:pt>
                <c:pt idx="20">
                  <c:v>44742</c:v>
                </c:pt>
                <c:pt idx="21">
                  <c:v>44834</c:v>
                </c:pt>
              </c:numCache>
            </c:numRef>
          </c:cat>
          <c:val>
            <c:numRef>
              <c:f>NAV!$D$3:$D$24</c:f>
              <c:numCache>
                <c:formatCode>0</c:formatCode>
                <c:ptCount val="22"/>
                <c:pt idx="0" formatCode="General">
                  <c:v>100</c:v>
                </c:pt>
                <c:pt idx="1">
                  <c:v>99.7</c:v>
                </c:pt>
                <c:pt idx="2">
                  <c:v>99.100000000000009</c:v>
                </c:pt>
                <c:pt idx="3">
                  <c:v>99.100000000000009</c:v>
                </c:pt>
                <c:pt idx="4">
                  <c:v>101.00000000000001</c:v>
                </c:pt>
                <c:pt idx="5">
                  <c:v>96.635175879396996</c:v>
                </c:pt>
                <c:pt idx="6">
                  <c:v>96.02613065326635</c:v>
                </c:pt>
                <c:pt idx="7">
                  <c:v>91.487838764175351</c:v>
                </c:pt>
                <c:pt idx="8">
                  <c:v>81.998682996075999</c:v>
                </c:pt>
                <c:pt idx="9">
                  <c:v>92.106696749051409</c:v>
                </c:pt>
                <c:pt idx="10">
                  <c:v>93.653841711241512</c:v>
                </c:pt>
                <c:pt idx="11">
                  <c:v>94.807472460204167</c:v>
                </c:pt>
                <c:pt idx="12">
                  <c:v>97.848862616560268</c:v>
                </c:pt>
                <c:pt idx="13">
                  <c:v>105.94963991379184</c:v>
                </c:pt>
                <c:pt idx="14">
                  <c:v>107.01553166342757</c:v>
                </c:pt>
                <c:pt idx="15">
                  <c:v>114.68995226080483</c:v>
                </c:pt>
                <c:pt idx="16">
                  <c:v>113.06851089990751</c:v>
                </c:pt>
                <c:pt idx="17">
                  <c:v>110.58230081319824</c:v>
                </c:pt>
                <c:pt idx="18">
                  <c:v>109.82562817811281</c:v>
                </c:pt>
                <c:pt idx="19">
                  <c:v>106.09528716107401</c:v>
                </c:pt>
                <c:pt idx="20">
                  <c:v>97.537446004337951</c:v>
                </c:pt>
                <c:pt idx="21">
                  <c:v>92.180698397692382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9-2542-9408-52EEC89F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835631"/>
        <c:axId val="973555871"/>
      </c:lineChart>
      <c:dateAx>
        <c:axId val="973835631"/>
        <c:scaling>
          <c:orientation val="minMax"/>
        </c:scaling>
        <c:delete val="0"/>
        <c:axPos val="b"/>
        <c:numFmt formatCode="mmm\'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55871"/>
        <c:crosses val="autoZero"/>
        <c:auto val="1"/>
        <c:lblOffset val="100"/>
        <c:baseTimeUnit val="days"/>
        <c:majorUnit val="3"/>
        <c:majorTimeUnit val="months"/>
      </c:dateAx>
      <c:valAx>
        <c:axId val="97355587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Publish!$A$67:$B$67</c:f>
              <c:strCache>
                <c:ptCount val="2"/>
                <c:pt idx="0">
                  <c:v>Unquoted equities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Publish!$C$67:$F$67</c:f>
              <c:numCache>
                <c:formatCode>#,##0</c:formatCode>
                <c:ptCount val="4"/>
                <c:pt idx="0">
                  <c:v>2063</c:v>
                </c:pt>
                <c:pt idx="1">
                  <c:v>2647</c:v>
                </c:pt>
                <c:pt idx="2">
                  <c:v>3427</c:v>
                </c:pt>
                <c:pt idx="3">
                  <c:v>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B045-82FD-5C6AB2A9862A}"/>
            </c:ext>
          </c:extLst>
        </c:ser>
        <c:ser>
          <c:idx val="1"/>
          <c:order val="1"/>
          <c:tx>
            <c:strRef>
              <c:f>Publish!$A$68:$B$68</c:f>
              <c:strCache>
                <c:ptCount val="2"/>
                <c:pt idx="0">
                  <c:v>AIM-quoted equities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Publish!$C$68:$F$68</c:f>
              <c:numCache>
                <c:formatCode>#,##0</c:formatCode>
                <c:ptCount val="4"/>
                <c:pt idx="0">
                  <c:v>630</c:v>
                </c:pt>
                <c:pt idx="1">
                  <c:v>1335</c:v>
                </c:pt>
                <c:pt idx="2">
                  <c:v>4526</c:v>
                </c:pt>
                <c:pt idx="3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D-B045-82FD-5C6AB2A9862A}"/>
            </c:ext>
          </c:extLst>
        </c:ser>
        <c:ser>
          <c:idx val="2"/>
          <c:order val="2"/>
          <c:tx>
            <c:strRef>
              <c:f>Publish!$A$69:$B$69</c:f>
              <c:strCache>
                <c:ptCount val="2"/>
                <c:pt idx="0">
                  <c:v>Loan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Publish!$C$69:$F$69</c:f>
              <c:numCache>
                <c:formatCode>General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D-B045-82FD-5C6AB2A9862A}"/>
            </c:ext>
          </c:extLst>
        </c:ser>
        <c:ser>
          <c:idx val="4"/>
          <c:order val="3"/>
          <c:tx>
            <c:strRef>
              <c:f>Publish!$A$70:$B$70</c:f>
              <c:strCache>
                <c:ptCount val="2"/>
                <c:pt idx="0">
                  <c:v>Cash &amp; current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Publish!$C$70:$F$70</c:f>
              <c:numCache>
                <c:formatCode>#,##0</c:formatCode>
                <c:ptCount val="4"/>
                <c:pt idx="0">
                  <c:v>3228</c:v>
                </c:pt>
                <c:pt idx="1">
                  <c:v>4335</c:v>
                </c:pt>
                <c:pt idx="2">
                  <c:v>6787</c:v>
                </c:pt>
                <c:pt idx="3">
                  <c:v>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D-B045-82FD-5C6AB2A9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445168"/>
        <c:axId val="1500778928"/>
      </c:barChart>
      <c:catAx>
        <c:axId val="1483445168"/>
        <c:scaling>
          <c:orientation val="minMax"/>
        </c:scaling>
        <c:delete val="0"/>
        <c:axPos val="b"/>
        <c:numFmt formatCode="mmm\'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78928"/>
        <c:crosses val="autoZero"/>
        <c:auto val="0"/>
        <c:lblAlgn val="ctr"/>
        <c:lblOffset val="100"/>
        <c:noMultiLvlLbl val="0"/>
      </c:catAx>
      <c:valAx>
        <c:axId val="1500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£m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Publish!$A$24</c:f>
              <c:strCache>
                <c:ptCount val="1"/>
                <c:pt idx="0">
                  <c:v>Dividend paid (LHS, 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Publish!$B$23:$F$23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Publish!$B$24:$F$24</c:f>
              <c:numCache>
                <c:formatCode>0.0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944D-AEF6-AD4EF476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98416"/>
        <c:axId val="211501632"/>
      </c:barChart>
      <c:lineChart>
        <c:grouping val="standard"/>
        <c:varyColors val="0"/>
        <c:ser>
          <c:idx val="1"/>
          <c:order val="1"/>
          <c:tx>
            <c:strRef>
              <c:f>Publish!$A$25</c:f>
              <c:strCache>
                <c:ptCount val="1"/>
                <c:pt idx="0">
                  <c:v>NAV 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Publish!$B$23:$F$23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Publish!$B$25:$F$25</c:f>
              <c:numCache>
                <c:formatCode>0.0%</c:formatCode>
                <c:ptCount val="5"/>
                <c:pt idx="0">
                  <c:v>0</c:v>
                </c:pt>
                <c:pt idx="1">
                  <c:v>3.0272452068617561E-2</c:v>
                </c:pt>
                <c:pt idx="2">
                  <c:v>3.2223415682062301E-2</c:v>
                </c:pt>
                <c:pt idx="3">
                  <c:v>3.2679738562091505E-2</c:v>
                </c:pt>
                <c:pt idx="4">
                  <c:v>2.9970029970029972E-2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9-7947-AF93-F4406185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9520"/>
        <c:axId val="503559792"/>
      </c:lineChart>
      <c:catAx>
        <c:axId val="211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1632"/>
        <c:crosses val="autoZero"/>
        <c:auto val="1"/>
        <c:lblAlgn val="ctr"/>
        <c:lblOffset val="100"/>
        <c:noMultiLvlLbl val="0"/>
      </c:catAx>
      <c:valAx>
        <c:axId val="211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8416"/>
        <c:crosses val="autoZero"/>
        <c:crossBetween val="between"/>
      </c:valAx>
      <c:valAx>
        <c:axId val="5035597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9520"/>
        <c:crosses val="max"/>
        <c:crossBetween val="between"/>
      </c:valAx>
      <c:catAx>
        <c:axId val="50354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55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C8-9C4F-AF45-D447BA841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C8-9C4F-AF45-D447BA841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C8-9C4F-AF45-D447BA841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C8-9C4F-AF45-D447BA8418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C8-9C4F-AF45-D447BA8418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C8-9C4F-AF45-D447BA8418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C8-9C4F-AF45-D447BA841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Publish!$A$55:$A$61</c:f>
              <c:strCache>
                <c:ptCount val="7"/>
                <c:pt idx="0">
                  <c:v>Life Sciences</c:v>
                </c:pt>
                <c:pt idx="1">
                  <c:v>Software</c:v>
                </c:pt>
                <c:pt idx="2">
                  <c:v>Health and consumer</c:v>
                </c:pt>
                <c:pt idx="3">
                  <c:v>Technology</c:v>
                </c:pt>
                <c:pt idx="4">
                  <c:v>e-Commerce</c:v>
                </c:pt>
                <c:pt idx="5">
                  <c:v>Manufacturing</c:v>
                </c:pt>
                <c:pt idx="6">
                  <c:v>Cash</c:v>
                </c:pt>
              </c:strCache>
            </c:strRef>
          </c:cat>
          <c:val>
            <c:numRef>
              <c:f>Publish!$B$55:$B$61</c:f>
              <c:numCache>
                <c:formatCode>0%</c:formatCode>
                <c:ptCount val="7"/>
                <c:pt idx="0">
                  <c:v>0.22433687002652519</c:v>
                </c:pt>
                <c:pt idx="1">
                  <c:v>0.19655172413793104</c:v>
                </c:pt>
                <c:pt idx="2">
                  <c:v>0.12698938992042441</c:v>
                </c:pt>
                <c:pt idx="3">
                  <c:v>8.7864721485411135E-2</c:v>
                </c:pt>
                <c:pt idx="4">
                  <c:v>1.9893899204244031E-2</c:v>
                </c:pt>
                <c:pt idx="5">
                  <c:v>1.279840848806366E-2</c:v>
                </c:pt>
                <c:pt idx="6">
                  <c:v>0.33156498673740054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9-3547-83AA-B5B8B9C16A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Publish!$A$81</c:f>
              <c:strCache>
                <c:ptCount val="1"/>
                <c:pt idx="0">
                  <c:v>Unquoted equities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Publish!$B$80:$E$80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Publish!$B$81:$E$81</c:f>
              <c:numCache>
                <c:formatCode>0%</c:formatCode>
                <c:ptCount val="4"/>
                <c:pt idx="0">
                  <c:v>0.3484208748522209</c:v>
                </c:pt>
                <c:pt idx="1">
                  <c:v>0.3182637970422027</c:v>
                </c:pt>
                <c:pt idx="2">
                  <c:v>0.23462960427221691</c:v>
                </c:pt>
                <c:pt idx="3">
                  <c:v>0.22898570092209006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7-9448-B421-9F3B8DF02929}"/>
            </c:ext>
          </c:extLst>
        </c:ser>
        <c:ser>
          <c:idx val="1"/>
          <c:order val="1"/>
          <c:tx>
            <c:strRef>
              <c:f>Publish!$A$82</c:f>
              <c:strCache>
                <c:ptCount val="1"/>
                <c:pt idx="0">
                  <c:v>AIM-quoted equities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Publish!$B$80:$E$80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Publish!$B$82:$E$82</c:f>
              <c:numCache>
                <c:formatCode>0%</c:formatCode>
                <c:ptCount val="4"/>
                <c:pt idx="0">
                  <c:v>0.10640094578618477</c:v>
                </c:pt>
                <c:pt idx="1">
                  <c:v>0.16051460863292052</c:v>
                </c:pt>
                <c:pt idx="2">
                  <c:v>0.30987265507325756</c:v>
                </c:pt>
                <c:pt idx="3">
                  <c:v>0.28464519577709474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7-9448-B421-9F3B8DF02929}"/>
            </c:ext>
          </c:extLst>
        </c:ser>
        <c:ser>
          <c:idx val="2"/>
          <c:order val="2"/>
          <c:tx>
            <c:strRef>
              <c:f>Publish!$A$83</c:f>
              <c:strCache>
                <c:ptCount val="1"/>
                <c:pt idx="0">
                  <c:v>Cash &amp;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Publish!$B$80:$E$80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Publish!$B$83:$E$83</c:f>
              <c:numCache>
                <c:formatCode>0%</c:formatCode>
                <c:ptCount val="4"/>
                <c:pt idx="0">
                  <c:v>0.5451781793615943</c:v>
                </c:pt>
                <c:pt idx="1">
                  <c:v>0.5212215943248768</c:v>
                </c:pt>
                <c:pt idx="2">
                  <c:v>0.46467205258113103</c:v>
                </c:pt>
                <c:pt idx="3">
                  <c:v>0.48636910330081518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7-9448-B421-9F3B8DF0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427439"/>
        <c:axId val="1935429119"/>
      </c:barChart>
      <c:catAx>
        <c:axId val="1935427439"/>
        <c:scaling>
          <c:orientation val="minMax"/>
        </c:scaling>
        <c:delete val="0"/>
        <c:axPos val="b"/>
        <c:numFmt formatCode="mmm\'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29119"/>
        <c:crosses val="autoZero"/>
        <c:auto val="0"/>
        <c:lblAlgn val="ctr"/>
        <c:lblOffset val="100"/>
        <c:noMultiLvlLbl val="0"/>
      </c:catAx>
      <c:valAx>
        <c:axId val="19354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Portfolio!$A$50</c:f>
              <c:strCache>
                <c:ptCount val="1"/>
                <c:pt idx="0">
                  <c:v>Cash + liqudity funds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Portfolio!$C$50:$F$50</c:f>
              <c:numCache>
                <c:formatCode>0%</c:formatCode>
                <c:ptCount val="4"/>
                <c:pt idx="0">
                  <c:v>0.5451781793615943</c:v>
                </c:pt>
                <c:pt idx="1">
                  <c:v>0.5212215943248768</c:v>
                </c:pt>
                <c:pt idx="2">
                  <c:v>0.46467205258113103</c:v>
                </c:pt>
                <c:pt idx="3">
                  <c:v>0.48636910330081518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0343-B1E3-21C18E3B7C13}"/>
            </c:ext>
          </c:extLst>
        </c:ser>
        <c:ser>
          <c:idx val="1"/>
          <c:order val="1"/>
          <c:tx>
            <c:strRef>
              <c:f>Portfolio!$A$51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Portfolio!$C$51:$F$51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0343-B1E3-21C18E3B7C13}"/>
            </c:ext>
          </c:extLst>
        </c:ser>
        <c:ser>
          <c:idx val="2"/>
          <c:order val="2"/>
          <c:tx>
            <c:strRef>
              <c:f>Portfolio!$A$52</c:f>
              <c:strCache>
                <c:ptCount val="1"/>
                <c:pt idx="0">
                  <c:v>Other equity investments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Portfolio!$C$52:$F$52</c:f>
              <c:numCache>
                <c:formatCode>0%</c:formatCode>
                <c:ptCount val="4"/>
                <c:pt idx="0">
                  <c:v>1.6889039013678886E-4</c:v>
                </c:pt>
                <c:pt idx="1">
                  <c:v>0</c:v>
                </c:pt>
                <c:pt idx="2">
                  <c:v>7.2641380254689858E-2</c:v>
                </c:pt>
                <c:pt idx="3">
                  <c:v>0.10637444875050106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D-0343-B1E3-21C18E3B7C13}"/>
            </c:ext>
          </c:extLst>
        </c:ser>
        <c:ser>
          <c:idx val="3"/>
          <c:order val="3"/>
          <c:tx>
            <c:strRef>
              <c:f>Portfolio!$A$53</c:f>
              <c:strCache>
                <c:ptCount val="1"/>
                <c:pt idx="0">
                  <c:v>Top 10 equiites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Portfolio!$C$53:$F$53</c:f>
              <c:numCache>
                <c:formatCode>0%</c:formatCode>
                <c:ptCount val="4"/>
                <c:pt idx="0">
                  <c:v>0.45465293024826886</c:v>
                </c:pt>
                <c:pt idx="1">
                  <c:v>0.47877840567512325</c:v>
                </c:pt>
                <c:pt idx="2">
                  <c:v>0.47186087909078461</c:v>
                </c:pt>
                <c:pt idx="3">
                  <c:v>0.40725644794868376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F-1240-8465-6A9C5B5D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297471"/>
        <c:axId val="974945727"/>
      </c:barChart>
      <c:catAx>
        <c:axId val="9072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45727"/>
        <c:crosses val="autoZero"/>
        <c:auto val="1"/>
        <c:lblAlgn val="ctr"/>
        <c:lblOffset val="100"/>
        <c:noMultiLvlLbl val="0"/>
      </c:catAx>
      <c:valAx>
        <c:axId val="9749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184150</xdr:rowOff>
    </xdr:from>
    <xdr:to>
      <xdr:col>12</xdr:col>
      <xdr:colOff>438150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F0B4A-B31A-4745-87C4-D70A65972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64</xdr:row>
      <xdr:rowOff>139700</xdr:rowOff>
    </xdr:from>
    <xdr:to>
      <xdr:col>13</xdr:col>
      <xdr:colOff>533400</xdr:colOff>
      <xdr:row>78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AFEE5-873A-2D4C-A0F2-17EFD743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12</xdr:row>
      <xdr:rowOff>25400</xdr:rowOff>
    </xdr:from>
    <xdr:to>
      <xdr:col>13</xdr:col>
      <xdr:colOff>736600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479AE-9247-B848-883C-24AB15139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50</xdr:row>
      <xdr:rowOff>63500</xdr:rowOff>
    </xdr:from>
    <xdr:to>
      <xdr:col>13</xdr:col>
      <xdr:colOff>539750</xdr:colOff>
      <xdr:row>63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89A0F-EEC3-974E-98FC-B3F99274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793750</xdr:colOff>
      <xdr:row>80</xdr:row>
      <xdr:rowOff>12700</xdr:rowOff>
    </xdr:from>
    <xdr:to>
      <xdr:col>11</xdr:col>
      <xdr:colOff>412750</xdr:colOff>
      <xdr:row>93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DF3F8-45DA-9C45-9F0E-413DF7F1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44</xdr:row>
      <xdr:rowOff>158750</xdr:rowOff>
    </xdr:from>
    <xdr:to>
      <xdr:col>13</xdr:col>
      <xdr:colOff>133350</xdr:colOff>
      <xdr:row>59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E2C0D-9816-E94B-B1C9-1F727DA6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9E76-638F-1148-AA3B-FF86499879A9}">
  <dimension ref="A1:L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8" sqref="E28"/>
    </sheetView>
  </sheetViews>
  <sheetFormatPr baseColWidth="10" defaultRowHeight="16" x14ac:dyDescent="0.2"/>
  <cols>
    <col min="1" max="1" width="20.83203125" bestFit="1" customWidth="1"/>
  </cols>
  <sheetData>
    <row r="1" spans="1:12" x14ac:dyDescent="0.2">
      <c r="A1" t="s">
        <v>199</v>
      </c>
      <c r="B1" t="s">
        <v>196</v>
      </c>
      <c r="I1" t="s">
        <v>7</v>
      </c>
    </row>
    <row r="2" spans="1:12" s="3" customFormat="1" x14ac:dyDescent="0.2">
      <c r="B2" s="3">
        <v>2018</v>
      </c>
      <c r="C2" s="3">
        <v>2019</v>
      </c>
      <c r="D2" s="3">
        <v>2020</v>
      </c>
      <c r="E2" s="3">
        <v>2021</v>
      </c>
      <c r="F2" s="3">
        <v>2022</v>
      </c>
      <c r="G2" s="3">
        <v>2023</v>
      </c>
      <c r="I2" s="3">
        <v>2021</v>
      </c>
      <c r="J2" s="3">
        <v>2022</v>
      </c>
    </row>
    <row r="3" spans="1:12" s="4" customFormat="1" x14ac:dyDescent="0.2">
      <c r="A3" s="4" t="s">
        <v>17</v>
      </c>
      <c r="C3" s="23"/>
      <c r="D3" s="23">
        <v>514</v>
      </c>
      <c r="E3" s="23">
        <v>1990</v>
      </c>
      <c r="F3" s="23"/>
    </row>
    <row r="4" spans="1:12" s="4" customFormat="1" x14ac:dyDescent="0.2">
      <c r="A4" s="4" t="s">
        <v>18</v>
      </c>
      <c r="D4" s="4">
        <v>228</v>
      </c>
      <c r="E4" s="23">
        <v>1096</v>
      </c>
    </row>
    <row r="5" spans="1:12" s="4" customFormat="1" x14ac:dyDescent="0.2">
      <c r="A5" s="4" t="s">
        <v>19</v>
      </c>
    </row>
    <row r="6" spans="1:12" s="4" customFormat="1" x14ac:dyDescent="0.2"/>
    <row r="7" spans="1:12" s="4" customFormat="1" x14ac:dyDescent="0.2">
      <c r="A7" s="4" t="s">
        <v>109</v>
      </c>
      <c r="C7" s="4">
        <v>-27</v>
      </c>
      <c r="D7" s="4">
        <v>215</v>
      </c>
      <c r="E7" s="4">
        <v>488</v>
      </c>
      <c r="F7" s="23"/>
      <c r="I7" s="4">
        <v>1395</v>
      </c>
      <c r="J7" s="4">
        <v>-1766</v>
      </c>
    </row>
    <row r="8" spans="1:12" x14ac:dyDescent="0.2">
      <c r="A8" t="s">
        <v>108</v>
      </c>
      <c r="C8">
        <v>14</v>
      </c>
      <c r="D8">
        <v>228</v>
      </c>
      <c r="E8">
        <v>945</v>
      </c>
      <c r="I8">
        <v>240</v>
      </c>
      <c r="J8" s="1">
        <v>186</v>
      </c>
      <c r="L8" s="13"/>
    </row>
    <row r="9" spans="1:12" x14ac:dyDescent="0.2">
      <c r="A9" t="s">
        <v>20</v>
      </c>
      <c r="D9">
        <v>0</v>
      </c>
      <c r="L9" s="13"/>
    </row>
    <row r="10" spans="1:12" x14ac:dyDescent="0.2">
      <c r="A10" t="s">
        <v>9</v>
      </c>
      <c r="B10">
        <v>18</v>
      </c>
      <c r="C10">
        <v>-28</v>
      </c>
      <c r="D10">
        <v>-41</v>
      </c>
      <c r="E10">
        <v>-211</v>
      </c>
      <c r="I10">
        <v>-69</v>
      </c>
      <c r="J10" s="1">
        <v>-137</v>
      </c>
      <c r="L10" s="13"/>
    </row>
    <row r="11" spans="1:12" x14ac:dyDescent="0.2">
      <c r="A11" t="s">
        <v>8</v>
      </c>
      <c r="B11">
        <v>-54</v>
      </c>
      <c r="C11">
        <v>-127</v>
      </c>
      <c r="D11">
        <v>-150</v>
      </c>
      <c r="E11">
        <v>-155</v>
      </c>
      <c r="I11">
        <v>-86</v>
      </c>
      <c r="J11" s="1">
        <v>-92</v>
      </c>
      <c r="L11" s="13"/>
    </row>
    <row r="12" spans="1:12" x14ac:dyDescent="0.2">
      <c r="A12" t="s">
        <v>99</v>
      </c>
      <c r="J12" s="1"/>
      <c r="L12" s="13"/>
    </row>
    <row r="13" spans="1:12" x14ac:dyDescent="0.2">
      <c r="A13" t="s">
        <v>0</v>
      </c>
      <c r="B13">
        <f>SUM(B7:B12)</f>
        <v>-36</v>
      </c>
      <c r="C13">
        <f>SUM(C7:C11)</f>
        <v>-168</v>
      </c>
      <c r="D13">
        <f>SUM(D7:D11)</f>
        <v>252</v>
      </c>
      <c r="E13">
        <f>SUM(E7:E11)</f>
        <v>1067</v>
      </c>
      <c r="F13" s="23">
        <f>SUM(F7:F11)</f>
        <v>0</v>
      </c>
      <c r="I13" s="23">
        <f t="shared" ref="I13:J13" si="0">SUM(I7:I11)</f>
        <v>1480</v>
      </c>
      <c r="J13" s="23">
        <f t="shared" si="0"/>
        <v>-1809</v>
      </c>
      <c r="L13" s="13"/>
    </row>
    <row r="14" spans="1:12" x14ac:dyDescent="0.2">
      <c r="A14" t="s">
        <v>1</v>
      </c>
      <c r="B14" s="22">
        <v>-0.9</v>
      </c>
      <c r="C14" s="2">
        <v>-3.19</v>
      </c>
      <c r="D14">
        <v>3.5</v>
      </c>
      <c r="E14">
        <v>8.9</v>
      </c>
      <c r="I14">
        <v>13.8</v>
      </c>
      <c r="J14" s="21">
        <v>-11.5</v>
      </c>
      <c r="L14" s="2"/>
    </row>
    <row r="16" spans="1:12" x14ac:dyDescent="0.2">
      <c r="A16" t="s">
        <v>21</v>
      </c>
    </row>
    <row r="17" spans="1:10" x14ac:dyDescent="0.2">
      <c r="A17" t="s">
        <v>38</v>
      </c>
      <c r="B17" s="2"/>
      <c r="C17" s="2">
        <v>3</v>
      </c>
      <c r="D17" s="2">
        <v>3</v>
      </c>
      <c r="E17" s="2">
        <v>3</v>
      </c>
      <c r="F17" s="2">
        <v>3</v>
      </c>
      <c r="G17" s="2"/>
      <c r="I17" s="2">
        <v>1.5</v>
      </c>
      <c r="J17" s="2">
        <v>1.5</v>
      </c>
    </row>
    <row r="18" spans="1:10" x14ac:dyDescent="0.2">
      <c r="A18" t="s">
        <v>39</v>
      </c>
    </row>
    <row r="19" spans="1:10" x14ac:dyDescent="0.2">
      <c r="A19" t="s">
        <v>40</v>
      </c>
      <c r="C19" s="1">
        <v>-172</v>
      </c>
      <c r="D19">
        <v>-246</v>
      </c>
      <c r="E19">
        <v>-402</v>
      </c>
      <c r="I19" s="1">
        <v>-183</v>
      </c>
      <c r="J19" s="1">
        <v>-257</v>
      </c>
    </row>
    <row r="20" spans="1:10" x14ac:dyDescent="0.2">
      <c r="A20" s="3" t="s">
        <v>22</v>
      </c>
    </row>
    <row r="21" spans="1:10" x14ac:dyDescent="0.2">
      <c r="A21" t="s">
        <v>23</v>
      </c>
      <c r="B21" s="9" t="e">
        <f>-B3/B19</f>
        <v>#DIV/0!</v>
      </c>
      <c r="C21" s="9">
        <f>-C3/C19</f>
        <v>0</v>
      </c>
      <c r="D21" s="9">
        <f>-D3/D19</f>
        <v>2.089430894308943</v>
      </c>
      <c r="E21" s="9">
        <f>-E3/E19</f>
        <v>4.9502487562189055</v>
      </c>
      <c r="F21" s="9" t="e">
        <f>-F3/F19</f>
        <v>#DIV/0!</v>
      </c>
    </row>
    <row r="22" spans="1:10" x14ac:dyDescent="0.2">
      <c r="A22" t="s">
        <v>112</v>
      </c>
      <c r="B22" s="9" t="e">
        <f>-B8/B19</f>
        <v>#DIV/0!</v>
      </c>
      <c r="C22" s="9">
        <f t="shared" ref="C22:E22" si="1">-C8/C19</f>
        <v>8.1395348837209308E-2</v>
      </c>
      <c r="D22" s="9">
        <f t="shared" si="1"/>
        <v>0.92682926829268297</v>
      </c>
      <c r="E22" s="9">
        <f t="shared" si="1"/>
        <v>2.3507462686567164</v>
      </c>
      <c r="F22" s="9" t="e">
        <f t="shared" ref="F22" si="2">-F8/F19</f>
        <v>#DIV/0!</v>
      </c>
    </row>
    <row r="23" spans="1:10" x14ac:dyDescent="0.2">
      <c r="A23" t="s">
        <v>113</v>
      </c>
      <c r="B23" s="9" t="e">
        <f>-(B7+B8)/B19</f>
        <v>#DIV/0!</v>
      </c>
      <c r="C23" s="9">
        <f t="shared" ref="C23:E23" si="3">-(C7+C8)/C19</f>
        <v>-7.5581395348837205E-2</v>
      </c>
      <c r="D23" s="9">
        <f t="shared" si="3"/>
        <v>1.8008130081300813</v>
      </c>
      <c r="E23" s="9">
        <f t="shared" si="3"/>
        <v>3.5646766169154227</v>
      </c>
      <c r="F23" s="9" t="e">
        <f t="shared" ref="F23" si="4">-(F7+F8)/F19</f>
        <v>#DIV/0!</v>
      </c>
    </row>
    <row r="24" spans="1:10" x14ac:dyDescent="0.2">
      <c r="A24" t="s">
        <v>44</v>
      </c>
      <c r="B24" s="9" t="e">
        <f>B14/B17</f>
        <v>#DIV/0!</v>
      </c>
      <c r="C24" s="9">
        <f>C14/C17</f>
        <v>-1.0633333333333332</v>
      </c>
      <c r="D24" s="9">
        <f>D14/D17</f>
        <v>1.1666666666666667</v>
      </c>
      <c r="E24" s="9">
        <f>E14/E17</f>
        <v>2.9666666666666668</v>
      </c>
      <c r="F24" s="9">
        <f>F14/F17</f>
        <v>0</v>
      </c>
    </row>
    <row r="27" spans="1:10" x14ac:dyDescent="0.2">
      <c r="A27" t="s">
        <v>29</v>
      </c>
    </row>
    <row r="28" spans="1:10" x14ac:dyDescent="0.2">
      <c r="A28" t="s">
        <v>37</v>
      </c>
      <c r="B28" s="2">
        <v>19.997</v>
      </c>
      <c r="C28" s="2">
        <v>138.13319999999999</v>
      </c>
      <c r="D28" s="2">
        <v>76.191000000000003</v>
      </c>
      <c r="E28" s="2">
        <v>74.192999999999998</v>
      </c>
      <c r="F28" s="2">
        <f>SUM(F35:F65)/1000</f>
        <v>0</v>
      </c>
      <c r="I28">
        <v>0</v>
      </c>
      <c r="J28">
        <v>4.5</v>
      </c>
    </row>
    <row r="29" spans="1:10" x14ac:dyDescent="0.2">
      <c r="A29" t="s">
        <v>30</v>
      </c>
      <c r="C29" s="5">
        <f>(-C10+C28)/'Balance Sheet'!C11</f>
        <v>3.3494596774193544E-2</v>
      </c>
      <c r="D29" s="5">
        <f>(-D10+D28)/'Balance Sheet'!D11</f>
        <v>1.6461722151987639E-2</v>
      </c>
      <c r="E29" s="5">
        <f>(-E10+E28)/'Balance Sheet'!E11</f>
        <v>2.4882694237228983E-2</v>
      </c>
      <c r="F29" s="5">
        <f>(-F10+F28)/'Balance Sheet'!F11</f>
        <v>0</v>
      </c>
      <c r="I29" s="5">
        <f>(-I10+I28)/'Balance Sheet'!I11</f>
        <v>6.4488994812841724E-3</v>
      </c>
      <c r="J29" s="5">
        <f>(-J10+J28)/'Balance Sheet'!J11</f>
        <v>9.5698633842824302E-3</v>
      </c>
    </row>
    <row r="30" spans="1:10" x14ac:dyDescent="0.2">
      <c r="A30" t="s">
        <v>31</v>
      </c>
      <c r="C30" s="5">
        <f>-(C10+C11)/'Balance Sheet'!C11</f>
        <v>3.125E-2</v>
      </c>
      <c r="D30" s="5">
        <f>-(D10+D11)/'Balance Sheet'!D11</f>
        <v>2.682961090040736E-2</v>
      </c>
      <c r="E30" s="5">
        <f>-(E10+E11)/'Balance Sheet'!E11</f>
        <v>3.1932993063735114E-2</v>
      </c>
      <c r="F30" s="5">
        <f>-(F10+F11)/'Balance Sheet'!F11</f>
        <v>0</v>
      </c>
      <c r="I30" s="5">
        <f>-(I10+I11)/'Balance Sheet'!I11</f>
        <v>1.4486658255058647E-2</v>
      </c>
      <c r="J30" s="5">
        <f>-(J10+J11)/'Balance Sheet'!J11</f>
        <v>1.5487623427566617E-2</v>
      </c>
    </row>
    <row r="31" spans="1:10" x14ac:dyDescent="0.2">
      <c r="A31" t="s">
        <v>197</v>
      </c>
      <c r="B31">
        <v>118</v>
      </c>
      <c r="C31">
        <v>103</v>
      </c>
      <c r="D31">
        <v>127</v>
      </c>
      <c r="E31">
        <v>246</v>
      </c>
      <c r="J31">
        <v>153</v>
      </c>
    </row>
    <row r="32" spans="1:10" x14ac:dyDescent="0.2">
      <c r="A32" t="s">
        <v>198</v>
      </c>
      <c r="B32">
        <v>-42</v>
      </c>
      <c r="C32">
        <v>-75</v>
      </c>
      <c r="D32">
        <v>-86</v>
      </c>
      <c r="E32">
        <v>-35</v>
      </c>
      <c r="J32" s="1">
        <f>-J31-J10</f>
        <v>-16</v>
      </c>
    </row>
    <row r="34" spans="1:6" x14ac:dyDescent="0.2">
      <c r="B34" t="s">
        <v>102</v>
      </c>
      <c r="C34" t="s">
        <v>102</v>
      </c>
      <c r="D34" t="s">
        <v>102</v>
      </c>
      <c r="E34" t="s">
        <v>102</v>
      </c>
      <c r="F34" t="s">
        <v>102</v>
      </c>
    </row>
    <row r="35" spans="1:6" x14ac:dyDescent="0.2">
      <c r="A35" t="s">
        <v>101</v>
      </c>
      <c r="F35" s="1"/>
    </row>
    <row r="36" spans="1:6" x14ac:dyDescent="0.2">
      <c r="A36" t="s">
        <v>106</v>
      </c>
      <c r="F36" s="1"/>
    </row>
    <row r="50" spans="6:6" x14ac:dyDescent="0.2">
      <c r="F50" s="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6A8-C6B1-4C45-B647-31799788AD88}"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baseColWidth="10" defaultRowHeight="16" x14ac:dyDescent="0.2"/>
  <cols>
    <col min="1" max="1" width="23" bestFit="1" customWidth="1"/>
  </cols>
  <sheetData>
    <row r="1" spans="1:13" x14ac:dyDescent="0.2">
      <c r="A1" t="str">
        <f>Income!A1</f>
        <v>£000, Dec y/e</v>
      </c>
      <c r="I1" t="s">
        <v>7</v>
      </c>
    </row>
    <row r="2" spans="1:13" s="3" customFormat="1" x14ac:dyDescent="0.2">
      <c r="B2" s="3">
        <f>Income!B2</f>
        <v>2018</v>
      </c>
      <c r="C2" s="3">
        <f>Income!C2</f>
        <v>2019</v>
      </c>
      <c r="D2" s="3">
        <f>Income!D2</f>
        <v>2020</v>
      </c>
      <c r="E2" s="3">
        <f>Income!E2</f>
        <v>2021</v>
      </c>
      <c r="F2" s="3">
        <f>Income!F2</f>
        <v>2022</v>
      </c>
      <c r="I2" s="3">
        <v>2021</v>
      </c>
      <c r="J2" s="3">
        <v>2022</v>
      </c>
    </row>
    <row r="3" spans="1:13" x14ac:dyDescent="0.2">
      <c r="A3" t="s">
        <v>2</v>
      </c>
      <c r="B3" s="1">
        <v>500</v>
      </c>
      <c r="C3" s="1">
        <v>2693</v>
      </c>
      <c r="D3" s="1">
        <v>3982</v>
      </c>
      <c r="E3" s="1">
        <v>7983</v>
      </c>
      <c r="F3" s="1"/>
      <c r="I3" s="1">
        <v>7080</v>
      </c>
      <c r="J3" s="1">
        <v>7687</v>
      </c>
      <c r="M3" s="2"/>
    </row>
    <row r="4" spans="1:13" x14ac:dyDescent="0.2">
      <c r="A4" t="s">
        <v>3</v>
      </c>
      <c r="B4" s="1">
        <v>3708</v>
      </c>
      <c r="C4" s="1">
        <v>3439</v>
      </c>
      <c r="D4" s="1">
        <v>4529</v>
      </c>
      <c r="E4" s="1">
        <v>6787</v>
      </c>
      <c r="F4" s="1"/>
      <c r="I4" s="1">
        <v>6007</v>
      </c>
      <c r="J4" s="1">
        <v>7399</v>
      </c>
      <c r="M4" s="2"/>
    </row>
    <row r="5" spans="1:13" x14ac:dyDescent="0.2">
      <c r="A5" t="s">
        <v>11</v>
      </c>
      <c r="B5" s="1">
        <f>B6-B3-B4</f>
        <v>-209</v>
      </c>
      <c r="C5" s="1">
        <f>C6-C3-C4</f>
        <v>-211</v>
      </c>
      <c r="D5" s="1">
        <f>D6-D3-D4</f>
        <v>-194</v>
      </c>
      <c r="E5" s="1">
        <f t="shared" ref="E5:F5" si="0">E6-E3-E4</f>
        <v>-164</v>
      </c>
      <c r="F5" s="1">
        <f t="shared" si="0"/>
        <v>0</v>
      </c>
      <c r="G5" s="1"/>
      <c r="I5">
        <f>I6-I3-I4</f>
        <v>-5</v>
      </c>
      <c r="J5">
        <f>J6-J3-J4</f>
        <v>-120</v>
      </c>
      <c r="M5" s="2"/>
    </row>
    <row r="6" spans="1:13" x14ac:dyDescent="0.2">
      <c r="A6" t="s">
        <v>4</v>
      </c>
      <c r="B6" s="1">
        <v>3999</v>
      </c>
      <c r="C6" s="1">
        <v>5921</v>
      </c>
      <c r="D6" s="1">
        <v>8317</v>
      </c>
      <c r="E6" s="1">
        <v>14606</v>
      </c>
      <c r="F6" s="1"/>
      <c r="I6" s="1">
        <v>13082</v>
      </c>
      <c r="J6" s="1">
        <v>14966</v>
      </c>
      <c r="M6" s="2"/>
    </row>
    <row r="7" spans="1:13" x14ac:dyDescent="0.2">
      <c r="A7" t="s">
        <v>5</v>
      </c>
      <c r="B7" s="22">
        <v>99.1</v>
      </c>
      <c r="C7">
        <v>93.1</v>
      </c>
      <c r="D7" s="2">
        <v>91.8</v>
      </c>
      <c r="E7" s="6">
        <v>100.1</v>
      </c>
      <c r="F7" s="1"/>
      <c r="I7">
        <v>104.6</v>
      </c>
      <c r="J7" s="6">
        <v>87.5</v>
      </c>
    </row>
    <row r="8" spans="1:13" x14ac:dyDescent="0.2">
      <c r="A8" t="s">
        <v>107</v>
      </c>
      <c r="B8" s="22">
        <v>98</v>
      </c>
      <c r="C8" s="1">
        <v>89</v>
      </c>
      <c r="D8" s="1">
        <v>84</v>
      </c>
      <c r="E8" s="21">
        <v>97.5</v>
      </c>
      <c r="I8" s="1">
        <v>100.5</v>
      </c>
      <c r="J8" s="6">
        <v>90.5</v>
      </c>
    </row>
    <row r="9" spans="1:13" x14ac:dyDescent="0.2">
      <c r="A9" t="s">
        <v>6</v>
      </c>
      <c r="B9" s="1">
        <v>4036370</v>
      </c>
      <c r="C9" s="1">
        <v>6361446</v>
      </c>
      <c r="D9" s="1">
        <v>9062948</v>
      </c>
      <c r="E9" s="1">
        <v>14588659</v>
      </c>
      <c r="F9" s="1">
        <f>J9+K9</f>
        <v>18749559</v>
      </c>
      <c r="I9" s="1">
        <v>12507694</v>
      </c>
      <c r="J9" s="1">
        <v>17095683</v>
      </c>
      <c r="K9" s="11">
        <f>475306+1178570</f>
        <v>1653876</v>
      </c>
    </row>
    <row r="10" spans="1:13" x14ac:dyDescent="0.2">
      <c r="A10" t="s">
        <v>111</v>
      </c>
      <c r="B10" s="1">
        <v>3412545</v>
      </c>
      <c r="C10" s="1">
        <v>5269973</v>
      </c>
      <c r="D10" s="1">
        <v>7248338</v>
      </c>
      <c r="E10" s="1">
        <v>12002312</v>
      </c>
      <c r="F10" s="1"/>
      <c r="I10" s="1">
        <v>10729105</v>
      </c>
      <c r="J10" s="1">
        <v>15740900</v>
      </c>
      <c r="K10" s="11"/>
    </row>
    <row r="11" spans="1:13" x14ac:dyDescent="0.2">
      <c r="A11" t="s">
        <v>41</v>
      </c>
      <c r="B11" s="1"/>
      <c r="C11" s="1">
        <f t="shared" ref="C11:D11" si="1">(B6+C6)/2</f>
        <v>4960</v>
      </c>
      <c r="D11" s="1">
        <f t="shared" si="1"/>
        <v>7119</v>
      </c>
      <c r="E11" s="1">
        <f>(D6+E6)/2</f>
        <v>11461.5</v>
      </c>
      <c r="F11" s="1">
        <f>(E6+2*I6+F6)/4</f>
        <v>10192.5</v>
      </c>
      <c r="I11" s="1">
        <f>(D6+I6)/2</f>
        <v>10699.5</v>
      </c>
      <c r="J11" s="1">
        <f>(E6+J6)/2</f>
        <v>14786</v>
      </c>
    </row>
    <row r="12" spans="1:13" x14ac:dyDescent="0.2">
      <c r="B12" s="1"/>
      <c r="C12" s="1"/>
      <c r="D12" s="1"/>
      <c r="E12" s="1"/>
      <c r="I12" s="1"/>
      <c r="J12" s="1"/>
    </row>
    <row r="14" spans="1:13" x14ac:dyDescent="0.2">
      <c r="A14" t="s">
        <v>105</v>
      </c>
    </row>
    <row r="15" spans="1:13" x14ac:dyDescent="0.2">
      <c r="A15" t="s">
        <v>12</v>
      </c>
      <c r="B15" s="1">
        <v>500</v>
      </c>
      <c r="C15" s="1">
        <v>2720</v>
      </c>
      <c r="D15" s="1">
        <v>3794</v>
      </c>
      <c r="E15" s="1">
        <v>7426</v>
      </c>
      <c r="F15" s="1"/>
    </row>
    <row r="16" spans="1:13" x14ac:dyDescent="0.2">
      <c r="A16" t="s">
        <v>13</v>
      </c>
      <c r="B16">
        <v>0</v>
      </c>
      <c r="C16" s="1">
        <v>-27</v>
      </c>
      <c r="D16">
        <f>-137+325</f>
        <v>188</v>
      </c>
      <c r="E16">
        <v>527</v>
      </c>
      <c r="F16" s="1"/>
    </row>
    <row r="17" spans="1:11" x14ac:dyDescent="0.2">
      <c r="A17" t="s">
        <v>14</v>
      </c>
      <c r="B17" s="1">
        <f>B15+B16</f>
        <v>500</v>
      </c>
      <c r="C17" s="1">
        <f>C15+C16</f>
        <v>2693</v>
      </c>
      <c r="D17" s="1">
        <f>D15+D16</f>
        <v>3982</v>
      </c>
      <c r="E17" s="1">
        <f>E15+E16</f>
        <v>7953</v>
      </c>
      <c r="F17" s="1">
        <f>F15+F16</f>
        <v>0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I19">
        <v>0</v>
      </c>
      <c r="J19">
        <v>-25</v>
      </c>
    </row>
    <row r="20" spans="1:11" x14ac:dyDescent="0.2">
      <c r="A20" t="s">
        <v>15</v>
      </c>
      <c r="B20" s="1">
        <v>4035</v>
      </c>
      <c r="C20" s="1">
        <v>2262</v>
      </c>
      <c r="D20" s="1">
        <v>2390</v>
      </c>
      <c r="E20">
        <v>5624</v>
      </c>
      <c r="I20" s="1">
        <v>3468</v>
      </c>
      <c r="J20" s="1">
        <v>2451</v>
      </c>
    </row>
    <row r="21" spans="1:11" x14ac:dyDescent="0.2">
      <c r="A21" t="s">
        <v>203</v>
      </c>
      <c r="B21" s="1">
        <v>-40.594999999999999</v>
      </c>
      <c r="C21" s="1">
        <v>-20.294</v>
      </c>
      <c r="D21" s="8">
        <v>-6.5949999999999998</v>
      </c>
      <c r="E21" s="8">
        <v>-35.277999999999999</v>
      </c>
      <c r="I21">
        <v>-26</v>
      </c>
      <c r="J21" s="1">
        <v>-13</v>
      </c>
    </row>
    <row r="22" spans="1:11" x14ac:dyDescent="0.2">
      <c r="B22" s="5">
        <f>-B21/B20</f>
        <v>1.0060718711276331E-2</v>
      </c>
      <c r="C22" s="5">
        <f t="shared" ref="C22:E22" si="2">-C21/C20</f>
        <v>8.9717064544650761E-3</v>
      </c>
      <c r="D22" s="5">
        <f t="shared" si="2"/>
        <v>2.7594142259414227E-3</v>
      </c>
      <c r="E22" s="5">
        <f t="shared" si="2"/>
        <v>6.27275960170697E-3</v>
      </c>
      <c r="F22" s="5" t="e">
        <f>F21/F20</f>
        <v>#DIV/0!</v>
      </c>
      <c r="I22" s="5">
        <f>I21/I20</f>
        <v>-7.4971164936562858E-3</v>
      </c>
      <c r="J22" s="5">
        <f>J21/J20</f>
        <v>-5.3039575683394534E-3</v>
      </c>
    </row>
    <row r="25" spans="1:11" x14ac:dyDescent="0.2">
      <c r="A25" t="s">
        <v>24</v>
      </c>
    </row>
    <row r="26" spans="1:11" x14ac:dyDescent="0.2">
      <c r="A26" t="s">
        <v>26</v>
      </c>
      <c r="B26">
        <v>0</v>
      </c>
      <c r="C26">
        <v>630</v>
      </c>
      <c r="D26" s="1">
        <v>1335</v>
      </c>
      <c r="E26" s="1">
        <v>4526</v>
      </c>
      <c r="F26" s="1"/>
      <c r="G26" s="1"/>
      <c r="J26" s="1">
        <v>4260</v>
      </c>
      <c r="K26" s="9"/>
    </row>
    <row r="27" spans="1:11" x14ac:dyDescent="0.2">
      <c r="A27" t="s">
        <v>27</v>
      </c>
      <c r="B27" s="1">
        <v>500</v>
      </c>
      <c r="C27" s="1">
        <v>2063</v>
      </c>
      <c r="D27" s="1">
        <v>2647</v>
      </c>
      <c r="E27" s="1">
        <v>3427</v>
      </c>
      <c r="F27" s="1"/>
      <c r="G27" s="1"/>
      <c r="J27" s="1">
        <v>3427</v>
      </c>
      <c r="K27" s="9"/>
    </row>
    <row r="28" spans="1:11" x14ac:dyDescent="0.2">
      <c r="A28" t="s">
        <v>25</v>
      </c>
      <c r="B28" s="1">
        <v>0</v>
      </c>
      <c r="D28" s="1"/>
      <c r="E28" s="1"/>
      <c r="F28" s="1"/>
      <c r="G28" s="1"/>
      <c r="J28" s="1"/>
    </row>
    <row r="29" spans="1:11" x14ac:dyDescent="0.2">
      <c r="A29" t="s">
        <v>103</v>
      </c>
      <c r="B29" s="1">
        <v>0</v>
      </c>
      <c r="C29" s="1"/>
      <c r="D29" s="1"/>
      <c r="E29" s="1"/>
      <c r="F29" s="1"/>
      <c r="G29" s="1"/>
      <c r="J29" s="1"/>
    </row>
    <row r="30" spans="1:11" x14ac:dyDescent="0.2">
      <c r="A30" t="s">
        <v>42</v>
      </c>
      <c r="B30" s="1">
        <f>B4+B5</f>
        <v>3499</v>
      </c>
      <c r="C30" s="1">
        <f>C4+C5</f>
        <v>3228</v>
      </c>
      <c r="D30" s="1">
        <f>D4+D5</f>
        <v>4335</v>
      </c>
      <c r="E30" s="1">
        <f>E4</f>
        <v>6787</v>
      </c>
      <c r="F30" s="1"/>
      <c r="G30" s="1"/>
      <c r="J30" s="1">
        <f>J4+J5</f>
        <v>7279</v>
      </c>
    </row>
    <row r="31" spans="1:11" x14ac:dyDescent="0.2">
      <c r="A31" t="s">
        <v>100</v>
      </c>
      <c r="B31">
        <f>SUM(B26:B30)</f>
        <v>3999</v>
      </c>
      <c r="C31">
        <f>SUM(C26:C30)</f>
        <v>5921</v>
      </c>
      <c r="D31">
        <f>SUM(D26:D30)</f>
        <v>8317</v>
      </c>
      <c r="E31">
        <f>SUM(E26:E30)</f>
        <v>14740</v>
      </c>
      <c r="F31">
        <f>SUM(F26:F30)</f>
        <v>0</v>
      </c>
      <c r="I31">
        <f t="shared" ref="I31:J31" si="3">SUM(I26:I30)</f>
        <v>0</v>
      </c>
      <c r="J31" s="8">
        <f t="shared" si="3"/>
        <v>14966</v>
      </c>
    </row>
    <row r="32" spans="1:11" x14ac:dyDescent="0.2">
      <c r="A32" t="s">
        <v>28</v>
      </c>
      <c r="B32" s="1">
        <f>B6</f>
        <v>3999</v>
      </c>
      <c r="C32" s="1">
        <f>C6</f>
        <v>5921</v>
      </c>
      <c r="D32" s="1">
        <f>D6</f>
        <v>8317</v>
      </c>
      <c r="E32" s="1">
        <f>E6</f>
        <v>14606</v>
      </c>
      <c r="F32" s="1">
        <f>F6</f>
        <v>0</v>
      </c>
      <c r="J32" s="1">
        <f>J6</f>
        <v>14966</v>
      </c>
    </row>
    <row r="34" spans="1:10" x14ac:dyDescent="0.2">
      <c r="A34" t="s">
        <v>32</v>
      </c>
    </row>
    <row r="36" spans="1:10" x14ac:dyDescent="0.2">
      <c r="A36" t="s">
        <v>33</v>
      </c>
      <c r="B36" s="9">
        <f t="shared" ref="B36:C36" si="4">SUM(B45:B54)/B32</f>
        <v>0.12503125781445362</v>
      </c>
      <c r="C36" s="9">
        <f t="shared" si="4"/>
        <v>0.45465293024826886</v>
      </c>
      <c r="D36" s="9">
        <f>SUM(D45:D54)/D32</f>
        <v>0.47877840567512325</v>
      </c>
      <c r="E36" s="9">
        <f>SUM(E45:E54)/E32</f>
        <v>0.47186087909078461</v>
      </c>
      <c r="F36" s="9" t="e">
        <f>SUM(F45:F54)/F32</f>
        <v>#DIV/0!</v>
      </c>
      <c r="J36" s="9">
        <f>Portfolio!H13</f>
        <v>0.40725644794868376</v>
      </c>
    </row>
    <row r="37" spans="1:10" x14ac:dyDescent="0.2">
      <c r="A37" t="s">
        <v>34</v>
      </c>
      <c r="J37" s="9"/>
    </row>
    <row r="38" spans="1:10" x14ac:dyDescent="0.2">
      <c r="A38" t="s">
        <v>35</v>
      </c>
      <c r="B38">
        <v>1</v>
      </c>
      <c r="C38">
        <v>5</v>
      </c>
      <c r="D38">
        <v>10</v>
      </c>
      <c r="E38">
        <v>16</v>
      </c>
      <c r="J38">
        <v>19</v>
      </c>
    </row>
    <row r="39" spans="1:10" x14ac:dyDescent="0.2">
      <c r="A39" t="s">
        <v>104</v>
      </c>
      <c r="B39" s="9">
        <f>(B26+B27)/B32</f>
        <v>0.12503125781445362</v>
      </c>
      <c r="C39" s="9">
        <f>(C26+C27)/C32</f>
        <v>0.45482182063840565</v>
      </c>
      <c r="D39" s="9">
        <f>(D26+D27)/D32</f>
        <v>0.47877840567512325</v>
      </c>
      <c r="E39" s="9">
        <f>(E26+E27)/E32</f>
        <v>0.54450225934547447</v>
      </c>
      <c r="F39" s="9" t="e">
        <f>(F26+F27)/F32</f>
        <v>#DIV/0!</v>
      </c>
      <c r="J39" s="9">
        <f>(J26+J27)/J32</f>
        <v>0.51363089669918482</v>
      </c>
    </row>
    <row r="40" spans="1:10" x14ac:dyDescent="0.2">
      <c r="A40" t="s">
        <v>66</v>
      </c>
      <c r="B40" s="9">
        <f>SUM(B26:B28)/B32</f>
        <v>0.12503125781445362</v>
      </c>
      <c r="C40" s="9">
        <f>SUM(C26:C28)/C32</f>
        <v>0.45482182063840565</v>
      </c>
      <c r="D40" s="9">
        <f>SUM(D26:D28)/D32</f>
        <v>0.47877840567512325</v>
      </c>
      <c r="E40" s="9">
        <f>SUM(E26:E28)/E32</f>
        <v>0.54450225934547447</v>
      </c>
      <c r="F40" s="9" t="e">
        <f>SUM(F26:F28)/F32</f>
        <v>#DIV/0!</v>
      </c>
      <c r="J40" s="9"/>
    </row>
    <row r="41" spans="1:10" x14ac:dyDescent="0.2">
      <c r="A41" t="s">
        <v>36</v>
      </c>
      <c r="B41" s="19">
        <v>0.13</v>
      </c>
      <c r="E41" s="19">
        <v>0.85</v>
      </c>
      <c r="F41" s="19"/>
    </row>
    <row r="45" spans="1:10" x14ac:dyDescent="0.2">
      <c r="A45" t="s">
        <v>43</v>
      </c>
      <c r="B45">
        <v>500</v>
      </c>
      <c r="C45">
        <v>630</v>
      </c>
      <c r="D45">
        <v>563</v>
      </c>
      <c r="E45">
        <v>1083</v>
      </c>
    </row>
    <row r="46" spans="1:10" x14ac:dyDescent="0.2">
      <c r="C46">
        <v>562</v>
      </c>
      <c r="D46">
        <v>500</v>
      </c>
      <c r="E46">
        <v>904</v>
      </c>
    </row>
    <row r="47" spans="1:10" x14ac:dyDescent="0.2">
      <c r="C47">
        <v>500</v>
      </c>
      <c r="D47">
        <v>500</v>
      </c>
      <c r="E47">
        <v>813</v>
      </c>
    </row>
    <row r="48" spans="1:10" x14ac:dyDescent="0.2">
      <c r="C48">
        <v>500</v>
      </c>
      <c r="D48">
        <v>400</v>
      </c>
      <c r="E48">
        <v>696</v>
      </c>
    </row>
    <row r="49" spans="3:5" x14ac:dyDescent="0.2">
      <c r="C49">
        <v>500</v>
      </c>
      <c r="D49">
        <v>300</v>
      </c>
      <c r="E49">
        <v>679</v>
      </c>
    </row>
    <row r="50" spans="3:5" x14ac:dyDescent="0.2">
      <c r="D50">
        <v>234</v>
      </c>
      <c r="E50">
        <v>654</v>
      </c>
    </row>
    <row r="51" spans="3:5" x14ac:dyDescent="0.2">
      <c r="D51">
        <v>150</v>
      </c>
      <c r="E51">
        <v>563</v>
      </c>
    </row>
    <row r="52" spans="3:5" x14ac:dyDescent="0.2">
      <c r="D52">
        <v>990</v>
      </c>
      <c r="E52">
        <v>500</v>
      </c>
    </row>
    <row r="53" spans="3:5" x14ac:dyDescent="0.2">
      <c r="D53">
        <v>200</v>
      </c>
      <c r="E53">
        <v>500</v>
      </c>
    </row>
    <row r="54" spans="3:5" x14ac:dyDescent="0.2">
      <c r="D54">
        <v>145</v>
      </c>
      <c r="E54">
        <v>500</v>
      </c>
    </row>
  </sheetData>
  <sortState xmlns:xlrd2="http://schemas.microsoft.com/office/spreadsheetml/2017/richdata2" ref="J46:J62">
    <sortCondition descending="1" ref="J46:J62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953B-A6B1-EB48-A05A-51DE342A77E3}">
  <dimension ref="A1:M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RowHeight="16" x14ac:dyDescent="0.2"/>
  <cols>
    <col min="1" max="1" width="23" bestFit="1" customWidth="1"/>
  </cols>
  <sheetData>
    <row r="1" spans="1:13" x14ac:dyDescent="0.2">
      <c r="A1" t="str">
        <f>Income!A1</f>
        <v>£000, Dec y/e</v>
      </c>
      <c r="I1" t="s">
        <v>7</v>
      </c>
    </row>
    <row r="2" spans="1:13" s="3" customFormat="1" x14ac:dyDescent="0.2">
      <c r="B2" s="3">
        <f>Income!B2</f>
        <v>2018</v>
      </c>
      <c r="C2" s="3">
        <f>Income!C2</f>
        <v>2019</v>
      </c>
      <c r="D2" s="3">
        <f>Income!D2</f>
        <v>2020</v>
      </c>
      <c r="E2" s="3">
        <f>Income!E2</f>
        <v>2021</v>
      </c>
      <c r="F2" s="3">
        <f>Income!F2</f>
        <v>2022</v>
      </c>
      <c r="I2" s="3">
        <v>2021</v>
      </c>
      <c r="J2" s="3">
        <v>2022</v>
      </c>
    </row>
    <row r="3" spans="1:13" x14ac:dyDescent="0.2">
      <c r="A3" t="s">
        <v>2</v>
      </c>
      <c r="B3" s="1">
        <v>2793</v>
      </c>
      <c r="C3" s="1">
        <v>2068</v>
      </c>
      <c r="D3" s="1">
        <v>2141</v>
      </c>
      <c r="E3" s="1">
        <v>3212</v>
      </c>
      <c r="F3" s="1"/>
      <c r="I3" s="1">
        <v>3206</v>
      </c>
      <c r="J3" s="1">
        <v>2360</v>
      </c>
      <c r="M3" s="2"/>
    </row>
    <row r="4" spans="1:13" x14ac:dyDescent="0.2">
      <c r="A4" t="s">
        <v>3</v>
      </c>
      <c r="B4" s="1">
        <v>2738</v>
      </c>
      <c r="C4" s="1">
        <v>470</v>
      </c>
      <c r="D4" s="1">
        <v>527</v>
      </c>
      <c r="E4" s="1">
        <v>318</v>
      </c>
      <c r="F4" s="1"/>
      <c r="I4" s="1">
        <v>334</v>
      </c>
      <c r="J4" s="1">
        <v>327</v>
      </c>
      <c r="M4" s="2"/>
    </row>
    <row r="5" spans="1:13" x14ac:dyDescent="0.2">
      <c r="A5" t="s">
        <v>11</v>
      </c>
      <c r="B5" s="1">
        <f>B6-B3-B4</f>
        <v>-249</v>
      </c>
      <c r="C5" s="1">
        <f>C6-C3-C4</f>
        <v>-75</v>
      </c>
      <c r="D5" s="1">
        <f>D6-D3-D4</f>
        <v>-215</v>
      </c>
      <c r="E5" s="1">
        <f t="shared" ref="E5:F5" si="0">E6-E3-E4</f>
        <v>-373</v>
      </c>
      <c r="F5" s="1">
        <f t="shared" si="0"/>
        <v>0</v>
      </c>
      <c r="G5" s="1"/>
      <c r="I5">
        <f>I6-I3-I4</f>
        <v>-374</v>
      </c>
      <c r="J5">
        <f>J6-J3-J4</f>
        <v>-261</v>
      </c>
      <c r="K5" t="s">
        <v>245</v>
      </c>
      <c r="M5" s="2"/>
    </row>
    <row r="6" spans="1:13" x14ac:dyDescent="0.2">
      <c r="A6" t="s">
        <v>4</v>
      </c>
      <c r="B6" s="1">
        <v>5282</v>
      </c>
      <c r="C6" s="1">
        <v>2463</v>
      </c>
      <c r="D6" s="1">
        <v>2453</v>
      </c>
      <c r="E6" s="1">
        <v>3157</v>
      </c>
      <c r="F6" s="1"/>
      <c r="I6" s="1">
        <v>3166</v>
      </c>
      <c r="J6" s="1">
        <v>2426</v>
      </c>
      <c r="K6" s="8">
        <f>(K7+K8)*J9/100/1000</f>
        <v>3083.8436400000001</v>
      </c>
      <c r="M6" s="2"/>
    </row>
    <row r="7" spans="1:13" x14ac:dyDescent="0.2">
      <c r="A7" t="s">
        <v>5</v>
      </c>
      <c r="B7" s="22">
        <v>65.099999999999994</v>
      </c>
      <c r="C7">
        <v>30.4</v>
      </c>
      <c r="D7" s="2">
        <v>30.2</v>
      </c>
      <c r="E7" s="6">
        <v>38.9</v>
      </c>
      <c r="F7" s="1"/>
      <c r="I7" s="22">
        <v>39</v>
      </c>
      <c r="J7" s="21">
        <v>29.9</v>
      </c>
      <c r="K7">
        <v>40</v>
      </c>
    </row>
    <row r="8" spans="1:13" x14ac:dyDescent="0.2">
      <c r="A8" t="s">
        <v>107</v>
      </c>
      <c r="B8" s="22"/>
      <c r="C8" s="1"/>
      <c r="J8" s="6"/>
      <c r="K8">
        <v>-2</v>
      </c>
    </row>
    <row r="9" spans="1:13" x14ac:dyDescent="0.2">
      <c r="A9" t="s">
        <v>6</v>
      </c>
      <c r="B9" s="1">
        <v>8115376</v>
      </c>
      <c r="C9" s="1">
        <v>8115376</v>
      </c>
      <c r="D9" s="1">
        <v>8115377</v>
      </c>
      <c r="E9" s="1">
        <v>8115378</v>
      </c>
      <c r="F9" s="1"/>
      <c r="I9" s="1">
        <v>8115378</v>
      </c>
      <c r="J9" s="1">
        <v>8115378</v>
      </c>
      <c r="K9" s="11"/>
    </row>
    <row r="10" spans="1:13" x14ac:dyDescent="0.2">
      <c r="A10" t="s">
        <v>111</v>
      </c>
      <c r="B10" s="1"/>
      <c r="C10" s="1">
        <f>C9</f>
        <v>8115376</v>
      </c>
      <c r="D10" s="1">
        <f t="shared" ref="D10:E10" si="1">D9</f>
        <v>8115377</v>
      </c>
      <c r="E10" s="1">
        <f t="shared" si="1"/>
        <v>8115378</v>
      </c>
      <c r="F10" s="1"/>
      <c r="I10" s="1">
        <f t="shared" ref="I10" si="2">I9</f>
        <v>8115378</v>
      </c>
      <c r="J10" s="1">
        <f t="shared" ref="J10" si="3">J9</f>
        <v>8115378</v>
      </c>
      <c r="K10" s="11"/>
    </row>
    <row r="11" spans="1:13" x14ac:dyDescent="0.2">
      <c r="A11" t="s">
        <v>41</v>
      </c>
      <c r="B11" s="1"/>
      <c r="C11" s="1">
        <f t="shared" ref="C11:D11" si="4">(B6+C6)/2</f>
        <v>3872.5</v>
      </c>
      <c r="D11" s="1">
        <f t="shared" si="4"/>
        <v>2458</v>
      </c>
      <c r="E11" s="1">
        <f>(D6+E6)/2</f>
        <v>2805</v>
      </c>
      <c r="F11" s="1">
        <f>(E6+2*I6+F6)/4</f>
        <v>2372.25</v>
      </c>
      <c r="I11" s="1">
        <f>(E6+I6)/2</f>
        <v>3161.5</v>
      </c>
      <c r="J11" s="1">
        <f>(F6+J6)/2</f>
        <v>1213</v>
      </c>
    </row>
    <row r="12" spans="1:13" x14ac:dyDescent="0.2">
      <c r="B12" s="1"/>
      <c r="C12" s="1"/>
      <c r="D12" s="1"/>
      <c r="E12" s="1"/>
      <c r="I12" s="1"/>
      <c r="J12" s="1"/>
    </row>
    <row r="14" spans="1:13" x14ac:dyDescent="0.2">
      <c r="A14" t="s">
        <v>105</v>
      </c>
    </row>
    <row r="15" spans="1:13" x14ac:dyDescent="0.2">
      <c r="A15" t="s">
        <v>12</v>
      </c>
      <c r="B15" s="1"/>
      <c r="C15" s="1"/>
      <c r="D15" s="1">
        <v>3441</v>
      </c>
      <c r="E15" s="1">
        <v>3465</v>
      </c>
      <c r="F15" s="1"/>
    </row>
    <row r="16" spans="1:13" x14ac:dyDescent="0.2">
      <c r="A16" t="s">
        <v>13</v>
      </c>
      <c r="C16" s="1"/>
      <c r="D16" s="1">
        <v>-1300</v>
      </c>
      <c r="E16">
        <v>-253</v>
      </c>
      <c r="F16" s="1"/>
    </row>
    <row r="17" spans="1:10" x14ac:dyDescent="0.2">
      <c r="A17" t="s">
        <v>14</v>
      </c>
      <c r="B17" s="1">
        <f>B15+B16</f>
        <v>0</v>
      </c>
      <c r="C17" s="1">
        <f>C15+C16</f>
        <v>0</v>
      </c>
      <c r="D17" s="1">
        <f>D15+D16</f>
        <v>2141</v>
      </c>
      <c r="E17" s="1">
        <f>E15+E16</f>
        <v>3212</v>
      </c>
      <c r="F17" s="1">
        <f>F15+F16</f>
        <v>0</v>
      </c>
    </row>
    <row r="19" spans="1:10" x14ac:dyDescent="0.2">
      <c r="A19" t="s">
        <v>16</v>
      </c>
      <c r="B19">
        <v>0</v>
      </c>
      <c r="C19">
        <v>0</v>
      </c>
      <c r="D19">
        <v>0</v>
      </c>
      <c r="E19">
        <v>0</v>
      </c>
      <c r="I19">
        <v>0</v>
      </c>
      <c r="J19">
        <v>0</v>
      </c>
    </row>
    <row r="20" spans="1:10" x14ac:dyDescent="0.2">
      <c r="A20" t="s">
        <v>15</v>
      </c>
      <c r="B20" s="1">
        <v>0</v>
      </c>
      <c r="C20" s="1">
        <v>0</v>
      </c>
      <c r="D20">
        <v>0</v>
      </c>
      <c r="E20">
        <v>0</v>
      </c>
      <c r="I20" s="1">
        <v>0</v>
      </c>
      <c r="J20" s="1">
        <v>0</v>
      </c>
    </row>
    <row r="21" spans="1:10" x14ac:dyDescent="0.2">
      <c r="A21" t="s">
        <v>200</v>
      </c>
      <c r="B21" s="1">
        <v>0</v>
      </c>
      <c r="C21" s="1">
        <v>0</v>
      </c>
      <c r="D21">
        <v>0</v>
      </c>
      <c r="E21">
        <v>0</v>
      </c>
      <c r="J21" s="1"/>
    </row>
    <row r="22" spans="1:10" x14ac:dyDescent="0.2">
      <c r="B22" s="5" t="e">
        <f>-B21/B20</f>
        <v>#DIV/0!</v>
      </c>
      <c r="C22" s="5" t="e">
        <f>C21/C20</f>
        <v>#DIV/0!</v>
      </c>
      <c r="D22" s="5" t="e">
        <f>D21/D20</f>
        <v>#DIV/0!</v>
      </c>
      <c r="E22" s="5" t="e">
        <f>E21/E20</f>
        <v>#DIV/0!</v>
      </c>
      <c r="F22" s="5" t="e">
        <f>F21/F20</f>
        <v>#DIV/0!</v>
      </c>
      <c r="I22" s="5" t="e">
        <f>I21/I20</f>
        <v>#DIV/0!</v>
      </c>
      <c r="J22" s="5" t="e">
        <f>J21/J20</f>
        <v>#DIV/0!</v>
      </c>
    </row>
    <row r="25" spans="1:10" x14ac:dyDescent="0.2">
      <c r="A25" t="s">
        <v>24</v>
      </c>
    </row>
    <row r="26" spans="1:10" x14ac:dyDescent="0.2">
      <c r="A26" t="s">
        <v>26</v>
      </c>
      <c r="D26" s="1">
        <v>1620</v>
      </c>
      <c r="E26" s="1">
        <v>2974</v>
      </c>
      <c r="F26" s="1"/>
      <c r="G26" s="1"/>
      <c r="J26" s="1">
        <f>8542-J29</f>
        <v>8542</v>
      </c>
    </row>
    <row r="27" spans="1:10" x14ac:dyDescent="0.2">
      <c r="A27" t="s">
        <v>27</v>
      </c>
      <c r="B27" s="1"/>
      <c r="C27" s="1"/>
      <c r="D27" s="1">
        <v>521</v>
      </c>
      <c r="E27" s="1">
        <v>238</v>
      </c>
      <c r="F27" s="1"/>
      <c r="G27" s="1"/>
      <c r="J27" s="1">
        <f>23166-J28-J26</f>
        <v>14624</v>
      </c>
    </row>
    <row r="28" spans="1:10" x14ac:dyDescent="0.2">
      <c r="A28" t="s">
        <v>25</v>
      </c>
      <c r="B28" s="1"/>
      <c r="D28" s="1"/>
      <c r="E28" s="1"/>
      <c r="F28" s="1"/>
      <c r="G28" s="1"/>
      <c r="J28" s="1"/>
    </row>
    <row r="29" spans="1:10" x14ac:dyDescent="0.2">
      <c r="A29" t="s">
        <v>103</v>
      </c>
      <c r="B29" s="1"/>
      <c r="C29" s="1"/>
      <c r="D29" s="1"/>
      <c r="E29" s="1"/>
      <c r="F29" s="1"/>
      <c r="G29" s="1"/>
      <c r="J29" s="1"/>
    </row>
    <row r="30" spans="1:10" x14ac:dyDescent="0.2">
      <c r="A30" t="s">
        <v>42</v>
      </c>
      <c r="B30" s="1"/>
      <c r="C30" s="1"/>
      <c r="D30" s="1">
        <f>D4+D5</f>
        <v>312</v>
      </c>
      <c r="E30" s="1">
        <f>E4</f>
        <v>318</v>
      </c>
      <c r="F30" s="1"/>
      <c r="G30" s="1"/>
      <c r="J30" s="1">
        <f>J4+J5</f>
        <v>66</v>
      </c>
    </row>
    <row r="31" spans="1:10" x14ac:dyDescent="0.2">
      <c r="A31" t="s">
        <v>100</v>
      </c>
      <c r="B31">
        <f>SUM(B26:B30)</f>
        <v>0</v>
      </c>
      <c r="C31">
        <f>SUM(C26:C30)</f>
        <v>0</v>
      </c>
      <c r="D31">
        <f>SUM(D26:D30)</f>
        <v>2453</v>
      </c>
      <c r="E31">
        <f>SUM(E26:E30)</f>
        <v>3530</v>
      </c>
      <c r="F31">
        <f>SUM(F26:F30)</f>
        <v>0</v>
      </c>
      <c r="I31">
        <f t="shared" ref="I31:J31" si="5">SUM(I26:I30)</f>
        <v>0</v>
      </c>
      <c r="J31" s="8">
        <f t="shared" si="5"/>
        <v>23232</v>
      </c>
    </row>
    <row r="32" spans="1:10" x14ac:dyDescent="0.2">
      <c r="A32" t="s">
        <v>28</v>
      </c>
      <c r="B32" s="1">
        <f>B6</f>
        <v>5282</v>
      </c>
      <c r="C32" s="1">
        <f>C6</f>
        <v>2463</v>
      </c>
      <c r="D32" s="1">
        <f>D6</f>
        <v>2453</v>
      </c>
      <c r="E32" s="1">
        <f>E6</f>
        <v>3157</v>
      </c>
      <c r="F32" s="1">
        <f>F6</f>
        <v>0</v>
      </c>
      <c r="J32" s="1">
        <f>J6</f>
        <v>2426</v>
      </c>
    </row>
    <row r="34" spans="1:10" x14ac:dyDescent="0.2">
      <c r="A34" t="s">
        <v>32</v>
      </c>
    </row>
    <row r="36" spans="1:10" x14ac:dyDescent="0.2">
      <c r="A36" t="s">
        <v>33</v>
      </c>
      <c r="B36" s="9">
        <f t="shared" ref="B36:C36" si="6">SUM(B45:B54)/B32</f>
        <v>0</v>
      </c>
      <c r="C36" s="9">
        <f t="shared" si="6"/>
        <v>0</v>
      </c>
      <c r="D36" s="9">
        <f>SUM(D45:D54)/D32</f>
        <v>0.57684467998369349</v>
      </c>
      <c r="E36" s="9">
        <f>SUM(E45:E54)/E32</f>
        <v>0</v>
      </c>
      <c r="F36" s="9" t="e">
        <f>SUM(F45:F54)/F32</f>
        <v>#DIV/0!</v>
      </c>
      <c r="J36" s="9">
        <f>Portfolio!H13</f>
        <v>0.40725644794868376</v>
      </c>
    </row>
    <row r="37" spans="1:10" x14ac:dyDescent="0.2">
      <c r="A37" t="s">
        <v>34</v>
      </c>
      <c r="J37" s="9">
        <f>Portfolio!H23</f>
        <v>0.51363089669918482</v>
      </c>
    </row>
    <row r="38" spans="1:10" x14ac:dyDescent="0.2">
      <c r="A38" t="s">
        <v>35</v>
      </c>
      <c r="D38">
        <v>4</v>
      </c>
      <c r="E38">
        <v>36</v>
      </c>
      <c r="J38">
        <v>35</v>
      </c>
    </row>
    <row r="39" spans="1:10" x14ac:dyDescent="0.2">
      <c r="A39" t="s">
        <v>104</v>
      </c>
      <c r="B39" s="9">
        <f>(B26+B27)/B32</f>
        <v>0</v>
      </c>
      <c r="C39" s="9">
        <f>(C26+C27)/C32</f>
        <v>0</v>
      </c>
      <c r="D39" s="9">
        <f>(D26+D27)/D32</f>
        <v>0.87280880554423157</v>
      </c>
      <c r="E39" s="9">
        <f>(E26+E27)/E32</f>
        <v>1.0174216027874565</v>
      </c>
      <c r="F39" s="9" t="e">
        <f>(F26+F27)/F32</f>
        <v>#DIV/0!</v>
      </c>
      <c r="J39" s="9">
        <f>J27/J32</f>
        <v>6.0280296784831</v>
      </c>
    </row>
    <row r="40" spans="1:10" x14ac:dyDescent="0.2">
      <c r="A40" t="s">
        <v>66</v>
      </c>
      <c r="B40" s="9">
        <f>SUM(B26:B28)/B32</f>
        <v>0</v>
      </c>
      <c r="C40" s="9">
        <f>SUM(C26:C28)/C32</f>
        <v>0</v>
      </c>
      <c r="D40" s="9">
        <f>SUM(D26:D28)/D32</f>
        <v>0.87280880554423157</v>
      </c>
      <c r="E40" s="9">
        <f>SUM(E26:E28)/E32</f>
        <v>1.0174216027874565</v>
      </c>
      <c r="F40" s="9" t="e">
        <f>SUM(F26:F28)/F32</f>
        <v>#DIV/0!</v>
      </c>
      <c r="J40" s="9"/>
    </row>
    <row r="41" spans="1:10" x14ac:dyDescent="0.2">
      <c r="A41" t="s">
        <v>36</v>
      </c>
      <c r="B41" s="19">
        <v>0.13</v>
      </c>
      <c r="E41" s="19">
        <v>0.85</v>
      </c>
      <c r="F41" s="19">
        <v>0.89</v>
      </c>
    </row>
    <row r="45" spans="1:10" x14ac:dyDescent="0.2">
      <c r="A45" t="s">
        <v>43</v>
      </c>
      <c r="D45">
        <v>894</v>
      </c>
    </row>
    <row r="46" spans="1:10" x14ac:dyDescent="0.2">
      <c r="D46">
        <v>205</v>
      </c>
    </row>
    <row r="47" spans="1:10" x14ac:dyDescent="0.2">
      <c r="D47">
        <v>195</v>
      </c>
    </row>
    <row r="48" spans="1:10" x14ac:dyDescent="0.2">
      <c r="D48">
        <v>121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8E99-031B-1A40-87DF-EBFC8E5C742F}">
  <dimension ref="A1:I28"/>
  <sheetViews>
    <sheetView workbookViewId="0">
      <selection activeCell="B24" sqref="B24"/>
    </sheetView>
  </sheetViews>
  <sheetFormatPr baseColWidth="10" defaultRowHeight="16" x14ac:dyDescent="0.2"/>
  <sheetData>
    <row r="1" spans="1:6" x14ac:dyDescent="0.2">
      <c r="F1" t="s">
        <v>83</v>
      </c>
    </row>
    <row r="2" spans="1:6" x14ac:dyDescent="0.2">
      <c r="A2" t="s">
        <v>63</v>
      </c>
      <c r="B2" t="s">
        <v>110</v>
      </c>
      <c r="C2" t="s">
        <v>64</v>
      </c>
      <c r="D2" t="s">
        <v>127</v>
      </c>
      <c r="E2" t="s">
        <v>65</v>
      </c>
      <c r="F2" t="s">
        <v>84</v>
      </c>
    </row>
    <row r="3" spans="1:6" x14ac:dyDescent="0.2">
      <c r="A3" s="12">
        <v>43335</v>
      </c>
      <c r="B3" s="33">
        <v>1</v>
      </c>
      <c r="D3">
        <v>100</v>
      </c>
    </row>
    <row r="4" spans="1:6" x14ac:dyDescent="0.2">
      <c r="A4" s="12">
        <v>43373</v>
      </c>
      <c r="B4" s="33">
        <v>0.997</v>
      </c>
      <c r="D4" s="8">
        <f>(B4+C4)/B3*D3</f>
        <v>99.7</v>
      </c>
    </row>
    <row r="5" spans="1:6" x14ac:dyDescent="0.2">
      <c r="A5" s="12">
        <v>43465</v>
      </c>
      <c r="B5" s="33">
        <v>0.99099999999999999</v>
      </c>
      <c r="D5" s="8">
        <f t="shared" ref="D5:D25" si="0">(B5+C5)/B4*D4</f>
        <v>99.100000000000009</v>
      </c>
      <c r="E5" s="10">
        <f>D5/D3-1</f>
        <v>-8.999999999999897E-3</v>
      </c>
    </row>
    <row r="6" spans="1:6" x14ac:dyDescent="0.2">
      <c r="A6" s="12">
        <v>43554</v>
      </c>
      <c r="B6" s="33">
        <v>0.99099999999999999</v>
      </c>
      <c r="D6" s="8">
        <f t="shared" si="0"/>
        <v>99.100000000000009</v>
      </c>
    </row>
    <row r="7" spans="1:6" x14ac:dyDescent="0.2">
      <c r="A7" s="12">
        <v>43646</v>
      </c>
      <c r="B7" s="33">
        <v>0.995</v>
      </c>
      <c r="C7">
        <v>1.4999999999999999E-2</v>
      </c>
      <c r="D7" s="8">
        <f t="shared" si="0"/>
        <v>101.00000000000001</v>
      </c>
    </row>
    <row r="8" spans="1:6" x14ac:dyDescent="0.2">
      <c r="A8" s="12">
        <v>43738</v>
      </c>
      <c r="B8" s="33">
        <v>0.95199999999999996</v>
      </c>
      <c r="D8" s="8">
        <f t="shared" si="0"/>
        <v>96.635175879396996</v>
      </c>
      <c r="E8" s="10"/>
    </row>
    <row r="9" spans="1:6" x14ac:dyDescent="0.2">
      <c r="A9" s="12">
        <v>43830</v>
      </c>
      <c r="B9" s="33">
        <v>0.93100000000000005</v>
      </c>
      <c r="C9">
        <v>1.4999999999999999E-2</v>
      </c>
      <c r="D9" s="8">
        <f t="shared" si="0"/>
        <v>96.02613065326635</v>
      </c>
      <c r="E9" s="10">
        <f>D9/D5-1</f>
        <v>-3.101785415472913E-2</v>
      </c>
    </row>
    <row r="10" spans="1:6" x14ac:dyDescent="0.2">
      <c r="A10" s="12">
        <v>43896</v>
      </c>
      <c r="B10" s="33">
        <v>0.88700000000000001</v>
      </c>
      <c r="D10" s="8">
        <f t="shared" si="0"/>
        <v>91.487838764175351</v>
      </c>
      <c r="E10" s="10"/>
      <c r="F10" s="10"/>
    </row>
    <row r="11" spans="1:6" x14ac:dyDescent="0.2">
      <c r="A11" s="12">
        <v>43920</v>
      </c>
      <c r="B11" s="33">
        <v>0.79500000000000004</v>
      </c>
      <c r="D11" s="8">
        <f t="shared" si="0"/>
        <v>81.998682996075999</v>
      </c>
    </row>
    <row r="12" spans="1:6" x14ac:dyDescent="0.2">
      <c r="A12" s="12">
        <v>43948</v>
      </c>
      <c r="B12" s="33">
        <v>0.89300000000000002</v>
      </c>
      <c r="D12" s="8">
        <f t="shared" si="0"/>
        <v>92.106696749051409</v>
      </c>
    </row>
    <row r="13" spans="1:6" x14ac:dyDescent="0.2">
      <c r="A13" s="12">
        <v>44012</v>
      </c>
      <c r="B13" s="33">
        <v>0.89300000000000002</v>
      </c>
      <c r="C13">
        <v>1.4999999999999999E-2</v>
      </c>
      <c r="D13" s="8">
        <f t="shared" si="0"/>
        <v>93.653841711241512</v>
      </c>
    </row>
    <row r="14" spans="1:6" x14ac:dyDescent="0.2">
      <c r="A14" s="12">
        <v>44104</v>
      </c>
      <c r="B14" s="33">
        <v>0.90400000000000003</v>
      </c>
      <c r="D14" s="8">
        <f t="shared" si="0"/>
        <v>94.807472460204167</v>
      </c>
    </row>
    <row r="15" spans="1:6" x14ac:dyDescent="0.2">
      <c r="A15" s="12">
        <v>44196</v>
      </c>
      <c r="B15" s="33">
        <v>0.91800000000000004</v>
      </c>
      <c r="C15">
        <v>1.4999999999999999E-2</v>
      </c>
      <c r="D15" s="8">
        <f t="shared" si="0"/>
        <v>97.848862616560268</v>
      </c>
      <c r="E15" s="10">
        <f>D15/D9-1</f>
        <v>1.8981624594200053E-2</v>
      </c>
    </row>
    <row r="16" spans="1:6" x14ac:dyDescent="0.2">
      <c r="A16" s="12">
        <v>44246</v>
      </c>
      <c r="B16" s="33">
        <v>0.99399999999999999</v>
      </c>
      <c r="D16" s="8">
        <f t="shared" si="0"/>
        <v>105.94963991379184</v>
      </c>
    </row>
    <row r="17" spans="1:9" x14ac:dyDescent="0.2">
      <c r="A17" s="12">
        <v>44284</v>
      </c>
      <c r="B17" s="33">
        <v>1.004</v>
      </c>
      <c r="D17" s="8">
        <f t="shared" si="0"/>
        <v>107.01553166342757</v>
      </c>
    </row>
    <row r="18" spans="1:9" x14ac:dyDescent="0.2">
      <c r="A18" s="12">
        <v>44358</v>
      </c>
      <c r="B18" s="33">
        <v>1.0609999999999999</v>
      </c>
      <c r="C18">
        <v>1.4999999999999999E-2</v>
      </c>
      <c r="D18" s="8">
        <f t="shared" si="0"/>
        <v>114.68995226080483</v>
      </c>
    </row>
    <row r="19" spans="1:9" x14ac:dyDescent="0.2">
      <c r="A19" s="12">
        <v>44377</v>
      </c>
      <c r="B19" s="33">
        <v>1.046</v>
      </c>
      <c r="D19" s="8">
        <f t="shared" si="0"/>
        <v>113.06851089990751</v>
      </c>
    </row>
    <row r="20" spans="1:9" x14ac:dyDescent="0.2">
      <c r="A20" s="12">
        <v>44484</v>
      </c>
      <c r="B20" s="33">
        <v>1.0229999999999999</v>
      </c>
      <c r="D20" s="8">
        <f t="shared" si="0"/>
        <v>110.58230081319824</v>
      </c>
      <c r="H20" t="s">
        <v>201</v>
      </c>
      <c r="I20" t="s">
        <v>202</v>
      </c>
    </row>
    <row r="21" spans="1:9" x14ac:dyDescent="0.2">
      <c r="A21" s="12">
        <v>44561</v>
      </c>
      <c r="B21" s="33">
        <v>1.0009999999999999</v>
      </c>
      <c r="C21">
        <v>1.4999999999999999E-2</v>
      </c>
      <c r="D21" s="8">
        <f t="shared" si="0"/>
        <v>109.82562817811281</v>
      </c>
      <c r="E21" s="10">
        <f>D21/D15-1</f>
        <v>0.12240066201367927</v>
      </c>
      <c r="H21" s="7">
        <v>43574</v>
      </c>
      <c r="I21" s="33">
        <v>1.4999999999999999E-2</v>
      </c>
    </row>
    <row r="22" spans="1:9" x14ac:dyDescent="0.2">
      <c r="A22" s="12">
        <v>44651</v>
      </c>
      <c r="B22" s="33">
        <v>0.96699999999999997</v>
      </c>
      <c r="D22" s="8">
        <f t="shared" si="0"/>
        <v>106.09528716107401</v>
      </c>
      <c r="H22" s="7">
        <v>43812</v>
      </c>
      <c r="I22" s="33">
        <v>1.4999999999999999E-2</v>
      </c>
    </row>
    <row r="23" spans="1:9" x14ac:dyDescent="0.2">
      <c r="A23" s="12">
        <v>44742</v>
      </c>
      <c r="B23" s="33">
        <v>0.874</v>
      </c>
      <c r="C23">
        <v>1.4999999999999999E-2</v>
      </c>
      <c r="D23" s="8">
        <f t="shared" si="0"/>
        <v>97.537446004337951</v>
      </c>
      <c r="H23" s="7">
        <v>43966</v>
      </c>
      <c r="I23" s="33">
        <v>1.4999999999999999E-2</v>
      </c>
    </row>
    <row r="24" spans="1:9" x14ac:dyDescent="0.2">
      <c r="A24" s="12">
        <v>44834</v>
      </c>
      <c r="B24" s="33">
        <v>0.82599999999999996</v>
      </c>
      <c r="D24" s="8">
        <f t="shared" si="0"/>
        <v>92.180698397692382</v>
      </c>
      <c r="H24" s="7">
        <v>44189</v>
      </c>
      <c r="I24" s="33">
        <v>1.4999999999999999E-2</v>
      </c>
    </row>
    <row r="25" spans="1:9" x14ac:dyDescent="0.2">
      <c r="C25">
        <v>1.4999999999999999E-2</v>
      </c>
      <c r="D25" s="8">
        <f t="shared" si="0"/>
        <v>1.6739836270767381</v>
      </c>
      <c r="E25" s="10">
        <f>D25/D21-1</f>
        <v>-0.98475780512393785</v>
      </c>
      <c r="H25" s="7">
        <v>44330</v>
      </c>
      <c r="I25" s="33">
        <v>1.4999999999999999E-2</v>
      </c>
    </row>
    <row r="26" spans="1:9" x14ac:dyDescent="0.2">
      <c r="H26" s="7">
        <v>44554</v>
      </c>
      <c r="I26" s="33">
        <v>1.4999999999999999E-2</v>
      </c>
    </row>
    <row r="27" spans="1:9" x14ac:dyDescent="0.2">
      <c r="H27" s="7">
        <v>44701</v>
      </c>
      <c r="I27" s="33">
        <v>1.4999999999999999E-2</v>
      </c>
    </row>
    <row r="28" spans="1:9" x14ac:dyDescent="0.2">
      <c r="H28" s="7">
        <v>44911</v>
      </c>
      <c r="I28" s="33">
        <v>1.4999999999999999E-2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01A5-6B2F-9347-B6AA-EF3F989A062C}">
  <dimension ref="A2:L85"/>
  <sheetViews>
    <sheetView tabSelected="1" topLeftCell="A36" workbookViewId="0">
      <selection activeCell="B57" activeCellId="1" sqref="B55 B57"/>
    </sheetView>
  </sheetViews>
  <sheetFormatPr baseColWidth="10" defaultRowHeight="16" x14ac:dyDescent="0.2"/>
  <cols>
    <col min="1" max="1" width="20.83203125" bestFit="1" customWidth="1"/>
  </cols>
  <sheetData>
    <row r="2" spans="1:7" x14ac:dyDescent="0.2">
      <c r="B2" s="3" t="s">
        <v>85</v>
      </c>
      <c r="E2" t="s">
        <v>225</v>
      </c>
    </row>
    <row r="3" spans="1:7" x14ac:dyDescent="0.2">
      <c r="B3" t="s">
        <v>121</v>
      </c>
      <c r="C3" t="s">
        <v>224</v>
      </c>
      <c r="E3" t="s">
        <v>226</v>
      </c>
    </row>
    <row r="4" spans="1:7" x14ac:dyDescent="0.2">
      <c r="B4" t="s">
        <v>86</v>
      </c>
      <c r="C4" s="22">
        <v>77</v>
      </c>
    </row>
    <row r="5" spans="1:7" x14ac:dyDescent="0.2">
      <c r="B5" t="s">
        <v>88</v>
      </c>
      <c r="C5" s="22">
        <v>97.5</v>
      </c>
    </row>
    <row r="6" spans="1:7" x14ac:dyDescent="0.2">
      <c r="B6" t="s">
        <v>89</v>
      </c>
      <c r="C6" s="22">
        <v>77</v>
      </c>
    </row>
    <row r="7" spans="1:7" x14ac:dyDescent="0.2">
      <c r="B7" t="s">
        <v>87</v>
      </c>
      <c r="C7" s="21">
        <f>('Balance Sheet'!J9+VALUE('Balance Sheet'!K9))/1000000</f>
        <v>18.749559000000001</v>
      </c>
    </row>
    <row r="8" spans="1:7" x14ac:dyDescent="0.2">
      <c r="B8" t="s">
        <v>90</v>
      </c>
      <c r="C8" s="22">
        <f>C7*C4/100</f>
        <v>14.43716043</v>
      </c>
    </row>
    <row r="9" spans="1:7" x14ac:dyDescent="0.2">
      <c r="B9" t="s">
        <v>91</v>
      </c>
      <c r="C9" s="22">
        <f>'Balance Sheet'!J6/1000</f>
        <v>14.965999999999999</v>
      </c>
    </row>
    <row r="10" spans="1:7" x14ac:dyDescent="0.2">
      <c r="B10" t="s">
        <v>93</v>
      </c>
      <c r="C10" s="6">
        <f>82.6-1.5</f>
        <v>81.099999999999994</v>
      </c>
      <c r="D10" s="7">
        <v>44834</v>
      </c>
      <c r="E10" t="s">
        <v>246</v>
      </c>
    </row>
    <row r="11" spans="1:7" x14ac:dyDescent="0.2">
      <c r="B11" t="s">
        <v>92</v>
      </c>
      <c r="C11" s="10">
        <f>C4/C10-1</f>
        <v>-5.0554870530209572E-2</v>
      </c>
    </row>
    <row r="12" spans="1:7" x14ac:dyDescent="0.2">
      <c r="C12" s="10"/>
    </row>
    <row r="14" spans="1:7" x14ac:dyDescent="0.2">
      <c r="A14" s="3" t="s">
        <v>94</v>
      </c>
    </row>
    <row r="16" spans="1:7" x14ac:dyDescent="0.2">
      <c r="B16">
        <v>2018</v>
      </c>
      <c r="C16">
        <v>2019</v>
      </c>
      <c r="D16">
        <v>2020</v>
      </c>
      <c r="E16">
        <v>2021</v>
      </c>
      <c r="F16">
        <v>2022</v>
      </c>
      <c r="G16" t="s">
        <v>223</v>
      </c>
    </row>
    <row r="17" spans="1:10" x14ac:dyDescent="0.2">
      <c r="A17" t="s">
        <v>96</v>
      </c>
      <c r="B17" s="6">
        <f>'Balance Sheet'!B7</f>
        <v>99.1</v>
      </c>
      <c r="C17" s="6">
        <f>'Balance Sheet'!C7</f>
        <v>93.1</v>
      </c>
      <c r="D17" s="6">
        <f>'Balance Sheet'!D7</f>
        <v>91.8</v>
      </c>
      <c r="E17" s="6">
        <f>'Balance Sheet'!E7</f>
        <v>100.1</v>
      </c>
      <c r="F17" s="6">
        <f>'Balance Sheet'!F7</f>
        <v>0</v>
      </c>
      <c r="G17" s="6">
        <f>'Balance Sheet'!J7</f>
        <v>87.5</v>
      </c>
    </row>
    <row r="18" spans="1:10" x14ac:dyDescent="0.2">
      <c r="A18" t="s">
        <v>95</v>
      </c>
      <c r="B18" s="2">
        <f>Income!B16+Income!B17</f>
        <v>0</v>
      </c>
      <c r="C18" s="2">
        <f>Income!C16+Income!C17</f>
        <v>3</v>
      </c>
      <c r="D18" s="2">
        <f>Income!D16+Income!D17</f>
        <v>3</v>
      </c>
      <c r="E18" s="2">
        <f>Income!E16+Income!E17</f>
        <v>3</v>
      </c>
      <c r="F18" s="2">
        <f>Income!F16+Income!F17</f>
        <v>3</v>
      </c>
      <c r="G18" s="2">
        <f>Income!J16+Income!J17</f>
        <v>1.5</v>
      </c>
    </row>
    <row r="19" spans="1:10" x14ac:dyDescent="0.2">
      <c r="A19" t="s">
        <v>122</v>
      </c>
      <c r="B19" s="10">
        <f t="shared" ref="B19" si="0">B18/B17</f>
        <v>0</v>
      </c>
      <c r="C19" s="10">
        <f>C18/B17</f>
        <v>3.0272452068617561E-2</v>
      </c>
      <c r="D19" s="10">
        <f t="shared" ref="D19:E19" si="1">D18/C17</f>
        <v>3.2223415682062301E-2</v>
      </c>
      <c r="E19" s="10">
        <f t="shared" si="1"/>
        <v>3.2679738562091505E-2</v>
      </c>
      <c r="F19" s="10">
        <f>F18/E17</f>
        <v>2.9970029970029972E-2</v>
      </c>
      <c r="G19" s="10"/>
    </row>
    <row r="20" spans="1:10" x14ac:dyDescent="0.2">
      <c r="A20" t="s">
        <v>97</v>
      </c>
      <c r="B20" s="10"/>
      <c r="C20" s="10">
        <f t="shared" ref="C20:E20" si="2">(C17+C18)/B17-1</f>
        <v>-3.0272452068617506E-2</v>
      </c>
      <c r="D20" s="10">
        <f t="shared" si="2"/>
        <v>1.8259935553168738E-2</v>
      </c>
      <c r="E20" s="10">
        <f t="shared" si="2"/>
        <v>0.12309368191721126</v>
      </c>
      <c r="F20" s="10">
        <f>(F17+F18)/E17-1</f>
        <v>-0.97002997002997005</v>
      </c>
      <c r="G20" s="10">
        <f>(G17+G18)/E17-1</f>
        <v>-0.1108891108891108</v>
      </c>
    </row>
    <row r="22" spans="1:10" x14ac:dyDescent="0.2">
      <c r="A22" s="3" t="s">
        <v>124</v>
      </c>
    </row>
    <row r="23" spans="1:10" x14ac:dyDescent="0.2">
      <c r="B23">
        <f>B16</f>
        <v>2018</v>
      </c>
      <c r="C23">
        <f t="shared" ref="C23:G23" si="3">C16</f>
        <v>2019</v>
      </c>
      <c r="D23">
        <f t="shared" si="3"/>
        <v>2020</v>
      </c>
      <c r="E23">
        <f t="shared" si="3"/>
        <v>2021</v>
      </c>
      <c r="F23">
        <f t="shared" si="3"/>
        <v>2022</v>
      </c>
      <c r="G23" t="str">
        <f t="shared" si="3"/>
        <v>1H'22</v>
      </c>
    </row>
    <row r="24" spans="1:10" x14ac:dyDescent="0.2">
      <c r="A24" t="s">
        <v>243</v>
      </c>
      <c r="B24" s="22">
        <f>B18</f>
        <v>0</v>
      </c>
      <c r="C24" s="22">
        <f t="shared" ref="C24:G24" si="4">C18</f>
        <v>3</v>
      </c>
      <c r="D24" s="22">
        <f t="shared" si="4"/>
        <v>3</v>
      </c>
      <c r="E24" s="22">
        <f t="shared" si="4"/>
        <v>3</v>
      </c>
      <c r="F24" s="22">
        <f t="shared" si="4"/>
        <v>3</v>
      </c>
      <c r="G24" s="22">
        <f t="shared" si="4"/>
        <v>1.5</v>
      </c>
    </row>
    <row r="25" spans="1:10" x14ac:dyDescent="0.2">
      <c r="A25" t="s">
        <v>126</v>
      </c>
      <c r="B25" s="20">
        <f>B19</f>
        <v>0</v>
      </c>
      <c r="C25" s="20">
        <f>C19</f>
        <v>3.0272452068617561E-2</v>
      </c>
      <c r="D25" s="20">
        <f>D19</f>
        <v>3.2223415682062301E-2</v>
      </c>
      <c r="E25" s="20">
        <f>E19</f>
        <v>3.2679738562091505E-2</v>
      </c>
      <c r="F25" s="20">
        <f>F19</f>
        <v>2.9970029970029972E-2</v>
      </c>
      <c r="G25" s="20"/>
    </row>
    <row r="29" spans="1:10" x14ac:dyDescent="0.2">
      <c r="A29" s="3" t="s">
        <v>142</v>
      </c>
      <c r="B29">
        <f>B16</f>
        <v>2018</v>
      </c>
      <c r="C29">
        <f t="shared" ref="C29:G29" si="5">C16</f>
        <v>2019</v>
      </c>
      <c r="D29">
        <f t="shared" si="5"/>
        <v>2020</v>
      </c>
      <c r="E29">
        <f t="shared" si="5"/>
        <v>2021</v>
      </c>
      <c r="F29">
        <f t="shared" si="5"/>
        <v>2022</v>
      </c>
      <c r="G29" t="str">
        <f t="shared" si="5"/>
        <v>1H'22</v>
      </c>
      <c r="I29" t="s">
        <v>150</v>
      </c>
      <c r="J29" t="s">
        <v>148</v>
      </c>
    </row>
    <row r="30" spans="1:10" x14ac:dyDescent="0.2">
      <c r="A30" t="s">
        <v>17</v>
      </c>
      <c r="B30">
        <f>Income!B3</f>
        <v>0</v>
      </c>
      <c r="C30">
        <f>Income!C3</f>
        <v>0</v>
      </c>
      <c r="D30">
        <f>Income!D3</f>
        <v>514</v>
      </c>
      <c r="E30">
        <f>Income!E3</f>
        <v>1990</v>
      </c>
      <c r="F30">
        <f>Income!F3</f>
        <v>0</v>
      </c>
      <c r="G30">
        <f>Income!J3</f>
        <v>0</v>
      </c>
      <c r="I30">
        <f>SUM(D30:F30)</f>
        <v>2504</v>
      </c>
      <c r="J30">
        <f>SUM(B30:F30)</f>
        <v>2504</v>
      </c>
    </row>
    <row r="31" spans="1:10" x14ac:dyDescent="0.2">
      <c r="A31" t="s">
        <v>108</v>
      </c>
      <c r="B31">
        <f>Income!B8</f>
        <v>0</v>
      </c>
      <c r="C31">
        <f>Income!C8</f>
        <v>14</v>
      </c>
      <c r="D31">
        <f>Income!D8</f>
        <v>228</v>
      </c>
      <c r="E31">
        <f>Income!E8</f>
        <v>945</v>
      </c>
      <c r="F31">
        <f>Income!F8</f>
        <v>0</v>
      </c>
      <c r="G31" s="1">
        <f>Income!J8</f>
        <v>186</v>
      </c>
      <c r="I31">
        <f t="shared" ref="I31:I34" si="6">SUM(D31:F31)</f>
        <v>1173</v>
      </c>
      <c r="J31">
        <f>SUM(B31:F31)</f>
        <v>1187</v>
      </c>
    </row>
    <row r="32" spans="1:10" x14ac:dyDescent="0.2">
      <c r="A32" t="s">
        <v>10</v>
      </c>
      <c r="B32">
        <f>Income!B7</f>
        <v>0</v>
      </c>
      <c r="C32">
        <f>Income!C7</f>
        <v>-27</v>
      </c>
      <c r="D32">
        <f>Income!D7</f>
        <v>215</v>
      </c>
      <c r="E32">
        <f>Income!E7</f>
        <v>488</v>
      </c>
      <c r="F32">
        <f>Income!F7</f>
        <v>0</v>
      </c>
      <c r="G32">
        <f>Income!J7</f>
        <v>-1766</v>
      </c>
    </row>
    <row r="33" spans="1:12" x14ac:dyDescent="0.2">
      <c r="A33" t="s">
        <v>151</v>
      </c>
      <c r="B33">
        <f>Income!B10+Income!B11+Income!B12</f>
        <v>-36</v>
      </c>
      <c r="C33">
        <f>Income!C10+Income!C11+Income!C12</f>
        <v>-155</v>
      </c>
      <c r="D33">
        <f>Income!D10+Income!D11+Income!D12</f>
        <v>-191</v>
      </c>
      <c r="E33">
        <f>Income!E10+Income!E11+Income!E12</f>
        <v>-366</v>
      </c>
      <c r="F33">
        <f>Income!F10+Income!F11+Income!F12</f>
        <v>0</v>
      </c>
    </row>
    <row r="34" spans="1:12" x14ac:dyDescent="0.2">
      <c r="A34" t="s">
        <v>138</v>
      </c>
      <c r="B34">
        <f>Income!B13</f>
        <v>-36</v>
      </c>
      <c r="C34">
        <f>Income!C13</f>
        <v>-168</v>
      </c>
      <c r="D34">
        <f>Income!D13</f>
        <v>252</v>
      </c>
      <c r="E34">
        <f>Income!E13</f>
        <v>1067</v>
      </c>
      <c r="F34">
        <f>Income!F13</f>
        <v>0</v>
      </c>
      <c r="G34" s="1">
        <f>Income!J13</f>
        <v>-1809</v>
      </c>
      <c r="I34">
        <f t="shared" si="6"/>
        <v>1319</v>
      </c>
      <c r="J34">
        <f>SUM(B34:F34)</f>
        <v>1115</v>
      </c>
    </row>
    <row r="35" spans="1:12" x14ac:dyDescent="0.2">
      <c r="A35" t="s">
        <v>139</v>
      </c>
      <c r="B35">
        <f>Income!B14</f>
        <v>-0.9</v>
      </c>
      <c r="C35">
        <f>Income!C14</f>
        <v>-3.19</v>
      </c>
      <c r="D35">
        <f>Income!D14</f>
        <v>3.5</v>
      </c>
      <c r="E35">
        <f>Income!E14</f>
        <v>8.9</v>
      </c>
      <c r="F35">
        <f>Income!F14</f>
        <v>0</v>
      </c>
      <c r="G35" s="6">
        <f>Income!J14</f>
        <v>-11.5</v>
      </c>
    </row>
    <row r="36" spans="1:12" x14ac:dyDescent="0.2">
      <c r="A36" t="s">
        <v>4</v>
      </c>
      <c r="B36" s="1">
        <f>'Balance Sheet'!B6</f>
        <v>3999</v>
      </c>
      <c r="C36" s="1">
        <f>'Balance Sheet'!C6</f>
        <v>5921</v>
      </c>
      <c r="D36" s="1">
        <f>'Balance Sheet'!D6</f>
        <v>8317</v>
      </c>
      <c r="E36" s="1">
        <f>'Balance Sheet'!E6</f>
        <v>14606</v>
      </c>
      <c r="F36" s="1">
        <f>'Balance Sheet'!F6</f>
        <v>0</v>
      </c>
      <c r="G36" s="1">
        <f>'Balance Sheet'!J6</f>
        <v>14966</v>
      </c>
    </row>
    <row r="37" spans="1:12" x14ac:dyDescent="0.2">
      <c r="A37" t="s">
        <v>140</v>
      </c>
      <c r="B37" s="2">
        <f>'Balance Sheet'!B7</f>
        <v>99.1</v>
      </c>
      <c r="C37" s="2">
        <f>'Balance Sheet'!C7</f>
        <v>93.1</v>
      </c>
      <c r="D37" s="2">
        <f>'Balance Sheet'!D7</f>
        <v>91.8</v>
      </c>
      <c r="E37">
        <f>'Balance Sheet'!E7</f>
        <v>100.1</v>
      </c>
      <c r="F37" s="2">
        <f>'Balance Sheet'!F7</f>
        <v>0</v>
      </c>
      <c r="G37" s="6">
        <f>'Balance Sheet'!J7</f>
        <v>87.5</v>
      </c>
      <c r="J37" t="s">
        <v>149</v>
      </c>
    </row>
    <row r="38" spans="1:12" x14ac:dyDescent="0.2">
      <c r="A38" t="s">
        <v>141</v>
      </c>
      <c r="B38" s="2">
        <v>1.5</v>
      </c>
      <c r="C38" s="2">
        <f>Income!D17</f>
        <v>3</v>
      </c>
      <c r="D38" s="2">
        <f>Income!E17</f>
        <v>3</v>
      </c>
      <c r="E38" s="2">
        <f>Income!F17</f>
        <v>3</v>
      </c>
      <c r="F38" s="2">
        <f>Income!G17</f>
        <v>0</v>
      </c>
      <c r="G38" s="2">
        <v>1.5</v>
      </c>
      <c r="I38" s="1">
        <f>-SUM(Income!E19:F19,Income!J19)</f>
        <v>659</v>
      </c>
      <c r="J38" s="1">
        <f>-SUM(Income!C19:F19,Income!J19)</f>
        <v>1077</v>
      </c>
    </row>
    <row r="39" spans="1:12" x14ac:dyDescent="0.2">
      <c r="A39" t="s">
        <v>143</v>
      </c>
      <c r="B39" s="10">
        <f>B38/B37</f>
        <v>1.5136226034308781E-2</v>
      </c>
      <c r="C39" s="10">
        <f t="shared" ref="C39:F39" si="7">C38/C37</f>
        <v>3.2223415682062301E-2</v>
      </c>
      <c r="D39" s="10">
        <f t="shared" si="7"/>
        <v>3.2679738562091505E-2</v>
      </c>
      <c r="E39" s="10">
        <f t="shared" si="7"/>
        <v>2.9970029970029972E-2</v>
      </c>
      <c r="F39" s="10" t="e">
        <f t="shared" si="7"/>
        <v>#DIV/0!</v>
      </c>
      <c r="G39" s="10"/>
      <c r="I39" t="s">
        <v>147</v>
      </c>
    </row>
    <row r="40" spans="1:12" x14ac:dyDescent="0.2">
      <c r="A40" t="s">
        <v>145</v>
      </c>
      <c r="B40" s="19" t="e">
        <f>Income!B22</f>
        <v>#DIV/0!</v>
      </c>
      <c r="C40" s="19">
        <f>Income!C22</f>
        <v>8.1395348837209308E-2</v>
      </c>
      <c r="D40" s="19">
        <f>Income!D22</f>
        <v>0.92682926829268297</v>
      </c>
      <c r="E40" s="19">
        <f>Income!E22</f>
        <v>2.3507462686567164</v>
      </c>
      <c r="F40" s="19" t="e">
        <f>Income!F22</f>
        <v>#DIV/0!</v>
      </c>
      <c r="I40" s="19">
        <f>I31/I38</f>
        <v>1.779969650986343</v>
      </c>
      <c r="J40" s="19">
        <f>J31/J38</f>
        <v>1.1021355617455897</v>
      </c>
    </row>
    <row r="41" spans="1:12" x14ac:dyDescent="0.2">
      <c r="A41" t="s">
        <v>144</v>
      </c>
      <c r="B41" s="19">
        <f>B35/B38</f>
        <v>-0.6</v>
      </c>
      <c r="C41" s="19">
        <f>Income!C24</f>
        <v>-1.0633333333333332</v>
      </c>
      <c r="D41" s="19">
        <f>Income!D24</f>
        <v>1.1666666666666667</v>
      </c>
      <c r="E41" s="19">
        <f>Income!E24</f>
        <v>2.9666666666666668</v>
      </c>
      <c r="F41" s="19">
        <f>Income!F24</f>
        <v>0</v>
      </c>
      <c r="I41" s="19">
        <f>I34/I38</f>
        <v>2.001517450682853</v>
      </c>
      <c r="J41" s="19">
        <f>J34/J38</f>
        <v>1.0352831940575673</v>
      </c>
    </row>
    <row r="42" spans="1:12" x14ac:dyDescent="0.2">
      <c r="B42" s="19"/>
      <c r="C42" s="19"/>
      <c r="D42" s="19"/>
      <c r="E42" s="19"/>
      <c r="F42" s="19"/>
      <c r="G42" s="19"/>
    </row>
    <row r="43" spans="1:12" x14ac:dyDescent="0.2">
      <c r="B43" s="19"/>
      <c r="C43" s="19"/>
      <c r="D43" s="19"/>
      <c r="E43" s="19"/>
      <c r="F43" s="19"/>
      <c r="G43" s="19"/>
    </row>
    <row r="44" spans="1:12" x14ac:dyDescent="0.2">
      <c r="A44" t="s">
        <v>146</v>
      </c>
      <c r="B44">
        <v>2017</v>
      </c>
      <c r="C44" s="24">
        <f t="shared" ref="C44:H44" si="8">B29</f>
        <v>2018</v>
      </c>
      <c r="D44" s="24">
        <f t="shared" si="8"/>
        <v>2019</v>
      </c>
      <c r="E44" s="24">
        <f t="shared" si="8"/>
        <v>2020</v>
      </c>
      <c r="F44" s="24">
        <f t="shared" si="8"/>
        <v>2021</v>
      </c>
      <c r="G44" s="24">
        <f t="shared" si="8"/>
        <v>2022</v>
      </c>
      <c r="H44" s="24" t="str">
        <f t="shared" si="8"/>
        <v>1H'22</v>
      </c>
      <c r="J44" t="s">
        <v>154</v>
      </c>
    </row>
    <row r="45" spans="1:12" x14ac:dyDescent="0.2">
      <c r="A45" t="s">
        <v>93</v>
      </c>
      <c r="C45" s="2">
        <f t="shared" ref="C45:H45" si="9">B37</f>
        <v>99.1</v>
      </c>
      <c r="D45" s="2">
        <f t="shared" si="9"/>
        <v>93.1</v>
      </c>
      <c r="E45" s="2">
        <f t="shared" si="9"/>
        <v>91.8</v>
      </c>
      <c r="F45" s="2">
        <f t="shared" si="9"/>
        <v>100.1</v>
      </c>
      <c r="G45" s="2">
        <f t="shared" si="9"/>
        <v>0</v>
      </c>
      <c r="H45" s="2">
        <f t="shared" si="9"/>
        <v>87.5</v>
      </c>
    </row>
    <row r="46" spans="1:12" x14ac:dyDescent="0.2">
      <c r="A46" t="s">
        <v>107</v>
      </c>
      <c r="C46" s="2">
        <f>'Balance Sheet'!B8</f>
        <v>98</v>
      </c>
      <c r="D46" s="2">
        <f>'Balance Sheet'!C8</f>
        <v>89</v>
      </c>
      <c r="E46" s="2">
        <f>'Balance Sheet'!D8</f>
        <v>84</v>
      </c>
      <c r="F46" s="2">
        <f>'Balance Sheet'!E8</f>
        <v>97.5</v>
      </c>
      <c r="G46" s="2">
        <f>'Balance Sheet'!F8</f>
        <v>0</v>
      </c>
      <c r="H46" s="2">
        <f>'Balance Sheet'!J8</f>
        <v>90.5</v>
      </c>
    </row>
    <row r="47" spans="1:12" x14ac:dyDescent="0.2">
      <c r="A47" t="s">
        <v>125</v>
      </c>
      <c r="C47" s="24">
        <f>Income!B17</f>
        <v>0</v>
      </c>
      <c r="D47" s="22">
        <f>Income!C17</f>
        <v>3</v>
      </c>
      <c r="E47" s="22">
        <f>Income!D17</f>
        <v>3</v>
      </c>
      <c r="F47" s="22">
        <f>Income!E17</f>
        <v>3</v>
      </c>
      <c r="G47" s="22">
        <f>Income!F17</f>
        <v>3</v>
      </c>
      <c r="H47" s="2">
        <f>Income!J17</f>
        <v>1.5</v>
      </c>
      <c r="J47" t="s">
        <v>156</v>
      </c>
      <c r="K47" t="s">
        <v>155</v>
      </c>
      <c r="L47" t="s">
        <v>157</v>
      </c>
    </row>
    <row r="48" spans="1:12" x14ac:dyDescent="0.2">
      <c r="A48" t="s">
        <v>152</v>
      </c>
      <c r="C48" s="20" t="s">
        <v>98</v>
      </c>
      <c r="D48" s="20">
        <f>(D45+D47)/C45-1</f>
        <v>-3.0272452068617506E-2</v>
      </c>
      <c r="E48" s="20">
        <f t="shared" ref="E48:G48" si="10">(E45+E47)/D45-1</f>
        <v>1.8259935553168738E-2</v>
      </c>
      <c r="F48" s="20">
        <f t="shared" si="10"/>
        <v>0.12309368191721126</v>
      </c>
      <c r="G48" s="20">
        <f t="shared" si="10"/>
        <v>-0.97002997002997005</v>
      </c>
      <c r="H48" s="20">
        <f>(H45+H47)/F45-1</f>
        <v>-0.1108891108891108</v>
      </c>
      <c r="J48" s="10">
        <f>PRODUCT(1+F48,1+E48,1+H48)^(1/2.5)-1</f>
        <v>6.6818251629183756E-3</v>
      </c>
      <c r="K48" s="20">
        <f>PRODUCT(1+E48,1+F48,1+D48,1+H48)^(1/3.5)-1</f>
        <v>-4.0179416921677369E-3</v>
      </c>
      <c r="L48" s="10" t="e">
        <f>PRODUCT(1+C48,1+D48,1+E48,1+F48,1+G48,1+H48)^(1/5.5)-1</f>
        <v>#VALUE!</v>
      </c>
    </row>
    <row r="49" spans="1:12" x14ac:dyDescent="0.2">
      <c r="A49" t="s">
        <v>153</v>
      </c>
      <c r="C49" s="19" t="s">
        <v>98</v>
      </c>
      <c r="D49" s="20">
        <f>(D46+D47)/C46-1</f>
        <v>-6.1224489795918324E-2</v>
      </c>
      <c r="E49" s="20">
        <f>(E46+E47)/D46-1</f>
        <v>-2.2471910112359605E-2</v>
      </c>
      <c r="F49" s="20">
        <f>(F46+F47)/E46-1</f>
        <v>0.1964285714285714</v>
      </c>
      <c r="G49" s="20">
        <f>(G46+G47)/F46-1</f>
        <v>-0.96923076923076923</v>
      </c>
      <c r="H49" s="20">
        <f>(H46+H47)/F46-1</f>
        <v>-5.6410256410256432E-2</v>
      </c>
      <c r="J49" s="10">
        <f>PRODUCT(1+F49,1+E49,1+H49)^(1/2.5)-1</f>
        <v>4.020681155622774E-2</v>
      </c>
      <c r="K49" s="20">
        <f>PRODUCT(1+E49,1+F49,1+D49,1+H49)^(1/3.5)-1</f>
        <v>1.0156942245389988E-2</v>
      </c>
      <c r="L49" s="10" t="e">
        <f>PRODUCT(1+C49,1+D49,1+E49,1+F49,1+G49,1+H49)^(1/5.5)-1</f>
        <v>#VALUE!</v>
      </c>
    </row>
    <row r="50" spans="1:12" x14ac:dyDescent="0.2">
      <c r="B50" s="19"/>
      <c r="C50" s="19"/>
      <c r="D50" s="19"/>
      <c r="E50" s="19"/>
      <c r="F50" s="19"/>
      <c r="G50" s="19"/>
    </row>
    <row r="51" spans="1:12" x14ac:dyDescent="0.2">
      <c r="B51" s="19"/>
      <c r="C51" s="19"/>
      <c r="D51" s="19"/>
      <c r="E51" s="19"/>
      <c r="F51" s="19"/>
      <c r="G51" s="19"/>
    </row>
    <row r="53" spans="1:12" x14ac:dyDescent="0.2">
      <c r="B53" s="7" t="s">
        <v>245</v>
      </c>
      <c r="D53" t="s">
        <v>245</v>
      </c>
      <c r="G53" s="7">
        <v>44742</v>
      </c>
      <c r="J53" s="7"/>
    </row>
    <row r="54" spans="1:12" x14ac:dyDescent="0.2">
      <c r="A54" t="s">
        <v>128</v>
      </c>
      <c r="B54" t="s">
        <v>4</v>
      </c>
      <c r="C54" s="7" t="s">
        <v>2</v>
      </c>
      <c r="D54" t="s">
        <v>262</v>
      </c>
      <c r="G54" t="s">
        <v>58</v>
      </c>
    </row>
    <row r="55" spans="1:12" x14ac:dyDescent="0.2">
      <c r="A55" t="s">
        <v>227</v>
      </c>
      <c r="B55" s="9">
        <f>D55/D$62</f>
        <v>0.22433687002652519</v>
      </c>
      <c r="C55" s="19">
        <v>0.37</v>
      </c>
      <c r="D55">
        <v>3383</v>
      </c>
      <c r="F55" t="s">
        <v>2</v>
      </c>
      <c r="G55" s="1">
        <f>'Balance Sheet'!J3</f>
        <v>7687</v>
      </c>
      <c r="H55" s="9">
        <f>G55/G57</f>
        <v>0.51363089669918482</v>
      </c>
      <c r="J55" s="9"/>
    </row>
    <row r="56" spans="1:12" x14ac:dyDescent="0.2">
      <c r="A56" t="s">
        <v>73</v>
      </c>
      <c r="B56" s="9">
        <f t="shared" ref="B56:B61" si="11">D56/D$62</f>
        <v>0.19655172413793104</v>
      </c>
      <c r="C56" s="19">
        <v>0.24</v>
      </c>
      <c r="D56">
        <v>2964</v>
      </c>
      <c r="E56" s="9"/>
      <c r="F56" t="s">
        <v>129</v>
      </c>
      <c r="G56" s="1">
        <f>'Balance Sheet'!J4+'Balance Sheet'!J5</f>
        <v>7279</v>
      </c>
      <c r="H56" s="9">
        <f>G56/G57</f>
        <v>0.48636910330081518</v>
      </c>
      <c r="J56" s="19"/>
    </row>
    <row r="57" spans="1:12" x14ac:dyDescent="0.2">
      <c r="A57" t="s">
        <v>228</v>
      </c>
      <c r="B57" s="9">
        <f t="shared" si="11"/>
        <v>0.12698938992042441</v>
      </c>
      <c r="C57" s="19">
        <v>0.2</v>
      </c>
      <c r="D57">
        <v>1915</v>
      </c>
      <c r="E57" s="9"/>
      <c r="F57" t="s">
        <v>4</v>
      </c>
      <c r="G57" s="1">
        <f>'Balance Sheet'!J6</f>
        <v>14966</v>
      </c>
      <c r="J57" s="1"/>
    </row>
    <row r="58" spans="1:12" x14ac:dyDescent="0.2">
      <c r="A58" t="s">
        <v>130</v>
      </c>
      <c r="B58" s="9">
        <f t="shared" si="11"/>
        <v>8.7864721485411135E-2</v>
      </c>
      <c r="C58" s="19">
        <v>0.09</v>
      </c>
      <c r="D58">
        <v>1325</v>
      </c>
      <c r="E58" s="9"/>
    </row>
    <row r="59" spans="1:12" x14ac:dyDescent="0.2">
      <c r="A59" t="s">
        <v>229</v>
      </c>
      <c r="B59" s="9">
        <f t="shared" si="11"/>
        <v>1.9893899204244031E-2</v>
      </c>
      <c r="C59" s="19">
        <v>7.0000000000000007E-2</v>
      </c>
      <c r="D59">
        <v>300</v>
      </c>
      <c r="E59" s="9"/>
    </row>
    <row r="60" spans="1:12" x14ac:dyDescent="0.2">
      <c r="A60" t="s">
        <v>230</v>
      </c>
      <c r="B60" s="9">
        <f t="shared" si="11"/>
        <v>1.279840848806366E-2</v>
      </c>
      <c r="C60" s="19">
        <v>0.03</v>
      </c>
      <c r="D60">
        <v>193</v>
      </c>
      <c r="E60" s="19"/>
    </row>
    <row r="61" spans="1:12" x14ac:dyDescent="0.2">
      <c r="A61" t="s">
        <v>3</v>
      </c>
      <c r="B61" s="9">
        <f t="shared" si="11"/>
        <v>0.33156498673740054</v>
      </c>
      <c r="C61" s="19"/>
      <c r="D61">
        <v>5000</v>
      </c>
      <c r="E61" s="19"/>
    </row>
    <row r="62" spans="1:12" x14ac:dyDescent="0.2">
      <c r="B62" s="19">
        <f>SUM(B55:B61)</f>
        <v>1</v>
      </c>
      <c r="C62" s="19">
        <f>SUM(C55:C60)</f>
        <v>1</v>
      </c>
      <c r="D62" s="24">
        <f>SUM(D55:D61)</f>
        <v>15080</v>
      </c>
    </row>
    <row r="65" spans="1:7" x14ac:dyDescent="0.2">
      <c r="A65" t="s">
        <v>131</v>
      </c>
    </row>
    <row r="66" spans="1:7" x14ac:dyDescent="0.2">
      <c r="C66" s="12">
        <v>43830</v>
      </c>
      <c r="D66" s="12">
        <v>44196</v>
      </c>
      <c r="E66" s="12">
        <v>44561</v>
      </c>
      <c r="F66" s="12">
        <v>44713</v>
      </c>
    </row>
    <row r="67" spans="1:7" x14ac:dyDescent="0.2">
      <c r="A67" t="s">
        <v>132</v>
      </c>
      <c r="C67" s="1">
        <f>'Balance Sheet'!C27</f>
        <v>2063</v>
      </c>
      <c r="D67" s="1">
        <f>'Balance Sheet'!D27</f>
        <v>2647</v>
      </c>
      <c r="E67" s="1">
        <f>'Balance Sheet'!E27</f>
        <v>3427</v>
      </c>
      <c r="F67" s="1">
        <f>'Balance Sheet'!J27</f>
        <v>3427</v>
      </c>
      <c r="G67" s="9">
        <f>F67/F$72</f>
        <v>0.22898570092209006</v>
      </c>
    </row>
    <row r="68" spans="1:7" x14ac:dyDescent="0.2">
      <c r="A68" t="s">
        <v>133</v>
      </c>
      <c r="C68" s="1">
        <f>'Balance Sheet'!C26</f>
        <v>630</v>
      </c>
      <c r="D68" s="1">
        <f>'Balance Sheet'!D26</f>
        <v>1335</v>
      </c>
      <c r="E68" s="1">
        <f>'Balance Sheet'!E26</f>
        <v>4526</v>
      </c>
      <c r="F68" s="1">
        <f>'Balance Sheet'!J26</f>
        <v>4260</v>
      </c>
      <c r="G68" s="9">
        <f>F68/F$72</f>
        <v>0.28464519577709474</v>
      </c>
    </row>
    <row r="69" spans="1:7" x14ac:dyDescent="0.2">
      <c r="A69" t="s">
        <v>134</v>
      </c>
      <c r="F69" s="1">
        <f>'Balance Sheet'!J28</f>
        <v>0</v>
      </c>
    </row>
    <row r="70" spans="1:7" x14ac:dyDescent="0.2">
      <c r="A70" t="s">
        <v>135</v>
      </c>
      <c r="C70" s="1">
        <f>'Balance Sheet'!C30</f>
        <v>3228</v>
      </c>
      <c r="D70" s="1">
        <f>'Balance Sheet'!D30</f>
        <v>4335</v>
      </c>
      <c r="E70" s="1">
        <f>'Balance Sheet'!E30</f>
        <v>6787</v>
      </c>
      <c r="F70" s="1">
        <f>'Balance Sheet'!J30</f>
        <v>7279</v>
      </c>
    </row>
    <row r="72" spans="1:7" x14ac:dyDescent="0.2">
      <c r="A72" t="s">
        <v>4</v>
      </c>
      <c r="C72" s="1">
        <f>'Balance Sheet'!C6</f>
        <v>5921</v>
      </c>
      <c r="D72" s="1">
        <f>'Balance Sheet'!D6</f>
        <v>8317</v>
      </c>
      <c r="E72" s="1">
        <f>'Balance Sheet'!E6</f>
        <v>14606</v>
      </c>
      <c r="F72" s="1">
        <f>'Balance Sheet'!J6</f>
        <v>14966</v>
      </c>
    </row>
    <row r="73" spans="1:7" x14ac:dyDescent="0.2">
      <c r="A73" t="s">
        <v>231</v>
      </c>
      <c r="C73" s="9">
        <f>C70/C72</f>
        <v>0.5451781793615943</v>
      </c>
      <c r="D73" s="9">
        <f t="shared" ref="D73:F73" si="12">D70/D72</f>
        <v>0.5212215943248768</v>
      </c>
      <c r="E73" s="9">
        <f t="shared" si="12"/>
        <v>0.46467205258113103</v>
      </c>
      <c r="F73" s="9">
        <f t="shared" si="12"/>
        <v>0.48636910330081518</v>
      </c>
    </row>
    <row r="78" spans="1:7" x14ac:dyDescent="0.2">
      <c r="D78" s="22"/>
    </row>
    <row r="79" spans="1:7" x14ac:dyDescent="0.2">
      <c r="A79" t="s">
        <v>244</v>
      </c>
      <c r="D79" s="22"/>
    </row>
    <row r="80" spans="1:7" x14ac:dyDescent="0.2">
      <c r="B80" s="12">
        <f>C66</f>
        <v>43830</v>
      </c>
      <c r="C80" s="12">
        <f t="shared" ref="C80:E80" si="13">D66</f>
        <v>44196</v>
      </c>
      <c r="D80" s="12">
        <f t="shared" si="13"/>
        <v>44561</v>
      </c>
      <c r="E80" s="12">
        <f t="shared" si="13"/>
        <v>44713</v>
      </c>
      <c r="F80" s="12"/>
    </row>
    <row r="81" spans="1:5" x14ac:dyDescent="0.2">
      <c r="A81" t="str">
        <f>A67</f>
        <v>Unquoted equities</v>
      </c>
      <c r="B81" s="9">
        <f>C67/C$72</f>
        <v>0.3484208748522209</v>
      </c>
      <c r="C81" s="9">
        <f t="shared" ref="C81:E81" si="14">D67/D$72</f>
        <v>0.3182637970422027</v>
      </c>
      <c r="D81" s="9">
        <f t="shared" si="14"/>
        <v>0.23462960427221691</v>
      </c>
      <c r="E81" s="9">
        <f t="shared" si="14"/>
        <v>0.22898570092209006</v>
      </c>
    </row>
    <row r="82" spans="1:5" x14ac:dyDescent="0.2">
      <c r="A82" t="str">
        <f t="shared" ref="A82" si="15">A68</f>
        <v>AIM-quoted equities</v>
      </c>
      <c r="B82" s="9">
        <f t="shared" ref="B82:E82" si="16">C68/C$72</f>
        <v>0.10640094578618477</v>
      </c>
      <c r="C82" s="9">
        <f t="shared" si="16"/>
        <v>0.16051460863292052</v>
      </c>
      <c r="D82" s="9">
        <f t="shared" si="16"/>
        <v>0.30987265507325756</v>
      </c>
      <c r="E82" s="9">
        <f t="shared" si="16"/>
        <v>0.28464519577709474</v>
      </c>
    </row>
    <row r="83" spans="1:5" x14ac:dyDescent="0.2">
      <c r="A83" t="str">
        <f>A70</f>
        <v>Cash &amp; current assets</v>
      </c>
      <c r="B83" s="9">
        <f>C70/C$72</f>
        <v>0.5451781793615943</v>
      </c>
      <c r="C83" s="9">
        <f t="shared" ref="C83:E83" si="17">D70/D$72</f>
        <v>0.5212215943248768</v>
      </c>
      <c r="D83" s="9">
        <f t="shared" si="17"/>
        <v>0.46467205258113103</v>
      </c>
      <c r="E83" s="9">
        <f t="shared" si="17"/>
        <v>0.48636910330081518</v>
      </c>
    </row>
    <row r="84" spans="1:5" x14ac:dyDescent="0.2">
      <c r="D84" s="22"/>
    </row>
    <row r="85" spans="1:5" x14ac:dyDescent="0.2">
      <c r="D85" s="2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4332-0DED-0C4C-887F-E0FADA3F7A7A}">
  <dimension ref="A1:S67"/>
  <sheetViews>
    <sheetView workbookViewId="0">
      <selection activeCell="A59" sqref="A59:B66"/>
    </sheetView>
  </sheetViews>
  <sheetFormatPr baseColWidth="10" defaultRowHeight="16" x14ac:dyDescent="0.2"/>
  <cols>
    <col min="1" max="1" width="27.5" bestFit="1" customWidth="1"/>
    <col min="12" max="12" width="27.5" bestFit="1" customWidth="1"/>
  </cols>
  <sheetData>
    <row r="1" spans="1:19" x14ac:dyDescent="0.2">
      <c r="A1" t="s">
        <v>58</v>
      </c>
      <c r="B1" s="7">
        <v>44742</v>
      </c>
      <c r="L1" s="7">
        <v>44377</v>
      </c>
    </row>
    <row r="3" spans="1:19" x14ac:dyDescent="0.2">
      <c r="A3" t="s">
        <v>45</v>
      </c>
      <c r="B3" t="s">
        <v>12</v>
      </c>
      <c r="C3" t="s">
        <v>14</v>
      </c>
      <c r="D3" t="s">
        <v>46</v>
      </c>
      <c r="E3" t="s">
        <v>60</v>
      </c>
      <c r="G3" t="s">
        <v>61</v>
      </c>
      <c r="I3" t="s">
        <v>62</v>
      </c>
    </row>
    <row r="4" spans="1:19" x14ac:dyDescent="0.2">
      <c r="A4" t="s">
        <v>204</v>
      </c>
      <c r="B4" s="1">
        <v>750</v>
      </c>
      <c r="C4" s="1">
        <v>1083</v>
      </c>
      <c r="D4" s="10">
        <f t="shared" ref="D4:D22" si="0">C4/NAV</f>
        <v>7.2364025123613521E-2</v>
      </c>
      <c r="E4" s="9">
        <f t="shared" ref="E4:E22" si="1">C4/B4-1</f>
        <v>0.44399999999999995</v>
      </c>
      <c r="I4">
        <f>1</f>
        <v>1</v>
      </c>
      <c r="L4" t="s">
        <v>51</v>
      </c>
      <c r="M4" t="s">
        <v>78</v>
      </c>
      <c r="N4" s="14">
        <v>700</v>
      </c>
      <c r="O4" s="15">
        <v>6.8000000000000005E-2</v>
      </c>
    </row>
    <row r="5" spans="1:19" x14ac:dyDescent="0.2">
      <c r="A5" t="s">
        <v>211</v>
      </c>
      <c r="B5" s="1">
        <v>778</v>
      </c>
      <c r="C5" s="1">
        <v>782</v>
      </c>
      <c r="D5" s="10">
        <f t="shared" si="0"/>
        <v>5.2251770680208476E-2</v>
      </c>
      <c r="E5" s="9">
        <f t="shared" si="1"/>
        <v>5.1413881748072487E-3</v>
      </c>
      <c r="I5">
        <f>I4+1</f>
        <v>2</v>
      </c>
      <c r="L5" t="s">
        <v>80</v>
      </c>
      <c r="M5" t="s">
        <v>81</v>
      </c>
      <c r="N5" s="14">
        <v>700</v>
      </c>
      <c r="O5" s="15">
        <v>6.8000000000000005E-2</v>
      </c>
    </row>
    <row r="6" spans="1:19" x14ac:dyDescent="0.2">
      <c r="A6" t="s">
        <v>212</v>
      </c>
      <c r="B6" s="1">
        <v>986</v>
      </c>
      <c r="C6" s="1">
        <v>724</v>
      </c>
      <c r="D6" s="10">
        <f t="shared" si="0"/>
        <v>4.8376319657891222E-2</v>
      </c>
      <c r="E6" s="9">
        <f t="shared" si="1"/>
        <v>-0.26572008113590262</v>
      </c>
      <c r="I6">
        <f t="shared" ref="I6:I40" si="2">I5+1</f>
        <v>3</v>
      </c>
      <c r="L6" t="s">
        <v>52</v>
      </c>
      <c r="M6" t="s">
        <v>67</v>
      </c>
      <c r="N6" s="14">
        <v>550</v>
      </c>
      <c r="O6" s="15">
        <v>5.2999999999999999E-2</v>
      </c>
    </row>
    <row r="7" spans="1:19" x14ac:dyDescent="0.2">
      <c r="A7" t="s">
        <v>213</v>
      </c>
      <c r="B7" s="1">
        <v>425</v>
      </c>
      <c r="C7" s="1">
        <v>602</v>
      </c>
      <c r="D7" s="10">
        <f t="shared" si="0"/>
        <v>4.0224508886810104E-2</v>
      </c>
      <c r="E7" s="9">
        <f t="shared" si="1"/>
        <v>0.41647058823529415</v>
      </c>
      <c r="I7">
        <f t="shared" si="2"/>
        <v>4</v>
      </c>
      <c r="L7" t="s">
        <v>56</v>
      </c>
      <c r="M7" t="s">
        <v>69</v>
      </c>
      <c r="N7" s="14">
        <v>500</v>
      </c>
      <c r="O7" s="15">
        <v>4.8000000000000001E-2</v>
      </c>
    </row>
    <row r="8" spans="1:19" x14ac:dyDescent="0.2">
      <c r="A8" t="s">
        <v>205</v>
      </c>
      <c r="B8" s="1">
        <v>500</v>
      </c>
      <c r="C8" s="1">
        <v>563</v>
      </c>
      <c r="D8" s="10">
        <f t="shared" si="0"/>
        <v>3.7618602164907124E-2</v>
      </c>
      <c r="E8" s="9">
        <f t="shared" si="1"/>
        <v>0.12599999999999989</v>
      </c>
      <c r="G8" s="1">
        <f>SUM(C$4:C8)</f>
        <v>3754</v>
      </c>
      <c r="H8" s="10">
        <f>SUM(D$4:D8)</f>
        <v>0.25083522651343049</v>
      </c>
      <c r="I8">
        <f t="shared" si="2"/>
        <v>5</v>
      </c>
      <c r="L8" t="s">
        <v>47</v>
      </c>
      <c r="M8" t="s">
        <v>70</v>
      </c>
      <c r="N8" s="14">
        <v>500</v>
      </c>
      <c r="O8" s="15">
        <v>4.8000000000000001E-2</v>
      </c>
    </row>
    <row r="9" spans="1:19" x14ac:dyDescent="0.2">
      <c r="A9" t="s">
        <v>206</v>
      </c>
      <c r="B9" s="1">
        <v>500</v>
      </c>
      <c r="C9" s="1">
        <v>500</v>
      </c>
      <c r="D9" s="10">
        <f t="shared" si="0"/>
        <v>3.3409060537217691E-2</v>
      </c>
      <c r="E9" s="9">
        <f t="shared" si="1"/>
        <v>0</v>
      </c>
      <c r="I9">
        <f t="shared" si="2"/>
        <v>6</v>
      </c>
      <c r="L9" t="s">
        <v>72</v>
      </c>
      <c r="M9" t="s">
        <v>73</v>
      </c>
      <c r="N9" s="14">
        <v>500</v>
      </c>
      <c r="O9" s="15">
        <v>4.8000000000000001E-2</v>
      </c>
    </row>
    <row r="10" spans="1:19" x14ac:dyDescent="0.2">
      <c r="A10" t="s">
        <v>207</v>
      </c>
      <c r="B10" s="1">
        <v>500</v>
      </c>
      <c r="C10" s="1">
        <v>500</v>
      </c>
      <c r="D10" s="10">
        <f t="shared" si="0"/>
        <v>3.3409060537217691E-2</v>
      </c>
      <c r="E10" s="9">
        <f t="shared" si="1"/>
        <v>0</v>
      </c>
      <c r="I10">
        <f t="shared" si="2"/>
        <v>7</v>
      </c>
      <c r="L10" t="s">
        <v>54</v>
      </c>
      <c r="M10" t="s">
        <v>74</v>
      </c>
      <c r="N10" s="14">
        <v>500</v>
      </c>
      <c r="O10" s="15">
        <v>4.8000000000000001E-2</v>
      </c>
    </row>
    <row r="11" spans="1:19" x14ac:dyDescent="0.2">
      <c r="A11" t="s">
        <v>208</v>
      </c>
      <c r="B11" s="1">
        <v>500</v>
      </c>
      <c r="C11" s="1">
        <v>500</v>
      </c>
      <c r="D11" s="10">
        <f t="shared" si="0"/>
        <v>3.3409060537217691E-2</v>
      </c>
      <c r="E11" s="9">
        <f t="shared" si="1"/>
        <v>0</v>
      </c>
      <c r="I11">
        <f t="shared" si="2"/>
        <v>8</v>
      </c>
      <c r="L11" t="s">
        <v>49</v>
      </c>
      <c r="M11" t="s">
        <v>79</v>
      </c>
      <c r="N11" s="14">
        <v>500</v>
      </c>
      <c r="O11" s="15">
        <v>4.8000000000000001E-2</v>
      </c>
    </row>
    <row r="12" spans="1:19" x14ac:dyDescent="0.2">
      <c r="A12" t="s">
        <v>220</v>
      </c>
      <c r="B12" s="1">
        <v>580</v>
      </c>
      <c r="C12" s="1">
        <v>456</v>
      </c>
      <c r="D12" s="10">
        <f t="shared" si="0"/>
        <v>3.0469063209942537E-2</v>
      </c>
      <c r="E12" s="9">
        <f t="shared" si="1"/>
        <v>-0.21379310344827585</v>
      </c>
      <c r="I12">
        <f t="shared" si="2"/>
        <v>9</v>
      </c>
      <c r="L12" t="s">
        <v>53</v>
      </c>
      <c r="M12" t="s">
        <v>68</v>
      </c>
      <c r="N12" s="14">
        <v>459</v>
      </c>
      <c r="O12" s="15">
        <v>4.3999999999999997E-2</v>
      </c>
    </row>
    <row r="13" spans="1:19" x14ac:dyDescent="0.2">
      <c r="A13" t="s">
        <v>214</v>
      </c>
      <c r="B13" s="1">
        <v>755</v>
      </c>
      <c r="C13" s="1">
        <v>385</v>
      </c>
      <c r="D13" s="10">
        <f t="shared" si="0"/>
        <v>2.5724976613657625E-2</v>
      </c>
      <c r="E13" s="9">
        <f t="shared" si="1"/>
        <v>-0.49006622516556286</v>
      </c>
      <c r="G13" s="1">
        <f>SUM(C$4:C13)</f>
        <v>6095</v>
      </c>
      <c r="H13" s="10">
        <f>SUM(D$4:D13)</f>
        <v>0.40725644794868376</v>
      </c>
      <c r="I13">
        <f t="shared" si="2"/>
        <v>10</v>
      </c>
      <c r="L13" t="s">
        <v>48</v>
      </c>
      <c r="M13" t="s">
        <v>71</v>
      </c>
      <c r="N13" s="14">
        <v>400</v>
      </c>
      <c r="O13" s="15">
        <v>3.9E-2</v>
      </c>
      <c r="R13" s="1">
        <f>SUM(N$4:N13)</f>
        <v>5309</v>
      </c>
      <c r="S13" s="10">
        <f>SUM(O$4:O13)</f>
        <v>0.5119999999999999</v>
      </c>
    </row>
    <row r="14" spans="1:19" x14ac:dyDescent="0.2">
      <c r="A14" t="s">
        <v>222</v>
      </c>
      <c r="B14" s="1">
        <v>297</v>
      </c>
      <c r="C14" s="1">
        <v>362</v>
      </c>
      <c r="D14" s="10">
        <f t="shared" si="0"/>
        <v>2.4188159828945611E-2</v>
      </c>
      <c r="E14" s="9">
        <f t="shared" si="1"/>
        <v>0.21885521885521886</v>
      </c>
      <c r="I14">
        <f t="shared" si="2"/>
        <v>11</v>
      </c>
      <c r="L14" t="s">
        <v>50</v>
      </c>
      <c r="M14" t="s">
        <v>67</v>
      </c>
      <c r="N14" s="14">
        <v>200</v>
      </c>
      <c r="O14" s="15">
        <v>1.9E-2</v>
      </c>
    </row>
    <row r="15" spans="1:19" x14ac:dyDescent="0.2">
      <c r="A15" t="s">
        <v>221</v>
      </c>
      <c r="B15" s="1">
        <v>530</v>
      </c>
      <c r="C15" s="1">
        <v>305</v>
      </c>
      <c r="D15" s="10">
        <f t="shared" si="0"/>
        <v>2.0379526927702792E-2</v>
      </c>
      <c r="E15" s="9">
        <f t="shared" si="1"/>
        <v>-0.42452830188679247</v>
      </c>
      <c r="I15">
        <f t="shared" si="2"/>
        <v>12</v>
      </c>
      <c r="L15" t="s">
        <v>75</v>
      </c>
      <c r="M15" t="s">
        <v>76</v>
      </c>
      <c r="N15" s="14">
        <v>200</v>
      </c>
      <c r="O15" s="15">
        <v>1.9E-2</v>
      </c>
    </row>
    <row r="16" spans="1:19" x14ac:dyDescent="0.2">
      <c r="A16" t="s">
        <v>209</v>
      </c>
      <c r="B16" s="1">
        <v>234</v>
      </c>
      <c r="C16" s="1">
        <v>281</v>
      </c>
      <c r="D16" s="10">
        <f t="shared" si="0"/>
        <v>1.8775892021916343E-2</v>
      </c>
      <c r="E16" s="9">
        <f t="shared" si="1"/>
        <v>0.20085470085470081</v>
      </c>
      <c r="I16">
        <f t="shared" si="2"/>
        <v>13</v>
      </c>
      <c r="L16" t="s">
        <v>55</v>
      </c>
      <c r="M16" t="s">
        <v>77</v>
      </c>
      <c r="N16" s="14">
        <v>200</v>
      </c>
      <c r="O16" s="15">
        <v>1.9E-2</v>
      </c>
    </row>
    <row r="17" spans="1:15" x14ac:dyDescent="0.2">
      <c r="A17" t="s">
        <v>215</v>
      </c>
      <c r="B17" s="1">
        <v>363</v>
      </c>
      <c r="C17" s="8">
        <v>220</v>
      </c>
      <c r="D17" s="10">
        <f t="shared" si="0"/>
        <v>1.4699986636375785E-2</v>
      </c>
      <c r="E17" s="9">
        <f t="shared" si="1"/>
        <v>-0.39393939393939392</v>
      </c>
      <c r="I17">
        <f t="shared" si="2"/>
        <v>14</v>
      </c>
      <c r="L17" t="s">
        <v>66</v>
      </c>
      <c r="N17" s="16">
        <v>5909</v>
      </c>
      <c r="O17" s="17">
        <v>0.56999999999999995</v>
      </c>
    </row>
    <row r="18" spans="1:15" x14ac:dyDescent="0.2">
      <c r="A18" t="s">
        <v>216</v>
      </c>
      <c r="B18" s="1">
        <v>280</v>
      </c>
      <c r="C18" s="1">
        <v>176</v>
      </c>
      <c r="D18" s="10">
        <f t="shared" si="0"/>
        <v>1.1759989309100627E-2</v>
      </c>
      <c r="E18" s="9">
        <f t="shared" si="1"/>
        <v>-0.37142857142857144</v>
      </c>
      <c r="I18">
        <f t="shared" si="2"/>
        <v>15</v>
      </c>
      <c r="L18" t="s">
        <v>3</v>
      </c>
      <c r="N18" s="18">
        <v>4461</v>
      </c>
      <c r="O18" s="14"/>
    </row>
    <row r="19" spans="1:15" x14ac:dyDescent="0.2">
      <c r="A19" t="s">
        <v>217</v>
      </c>
      <c r="B19" s="1">
        <v>400</v>
      </c>
      <c r="C19" s="1">
        <v>170</v>
      </c>
      <c r="D19" s="10">
        <f t="shared" si="0"/>
        <v>1.1359080582654016E-2</v>
      </c>
      <c r="E19" s="9">
        <f t="shared" si="1"/>
        <v>-0.57499999999999996</v>
      </c>
      <c r="I19">
        <f t="shared" si="2"/>
        <v>16</v>
      </c>
      <c r="L19" t="s">
        <v>4</v>
      </c>
      <c r="N19" s="18">
        <v>10370</v>
      </c>
      <c r="O19" s="14"/>
    </row>
    <row r="20" spans="1:15" x14ac:dyDescent="0.2">
      <c r="A20" t="s">
        <v>218</v>
      </c>
      <c r="B20" s="1">
        <v>103</v>
      </c>
      <c r="C20" s="1">
        <v>70</v>
      </c>
      <c r="D20" s="10">
        <f t="shared" si="0"/>
        <v>4.6772684752104769E-3</v>
      </c>
      <c r="E20" s="9">
        <f t="shared" si="1"/>
        <v>-0.32038834951456308</v>
      </c>
      <c r="G20" s="1"/>
      <c r="H20" s="10"/>
      <c r="I20">
        <f>I19+1</f>
        <v>17</v>
      </c>
    </row>
    <row r="21" spans="1:15" x14ac:dyDescent="0.2">
      <c r="A21" t="s">
        <v>219</v>
      </c>
      <c r="B21" s="1">
        <v>75</v>
      </c>
      <c r="C21" s="1">
        <v>8</v>
      </c>
      <c r="D21" s="10">
        <f t="shared" si="0"/>
        <v>5.3454496859548309E-4</v>
      </c>
      <c r="E21" s="9">
        <f t="shared" si="1"/>
        <v>-0.89333333333333331</v>
      </c>
      <c r="G21" s="1"/>
      <c r="H21" s="10"/>
      <c r="I21">
        <f t="shared" si="2"/>
        <v>18</v>
      </c>
    </row>
    <row r="22" spans="1:15" x14ac:dyDescent="0.2">
      <c r="A22" t="s">
        <v>210</v>
      </c>
      <c r="B22" s="1">
        <v>400</v>
      </c>
      <c r="C22" s="1"/>
      <c r="D22" s="10">
        <f t="shared" si="0"/>
        <v>0</v>
      </c>
      <c r="E22" s="9">
        <f t="shared" si="1"/>
        <v>-1</v>
      </c>
      <c r="G22" s="1"/>
      <c r="H22" s="10"/>
      <c r="I22">
        <f t="shared" si="2"/>
        <v>19</v>
      </c>
    </row>
    <row r="23" spans="1:15" x14ac:dyDescent="0.2">
      <c r="B23" s="1"/>
      <c r="C23" s="1"/>
      <c r="D23" s="10">
        <f t="shared" ref="D23:D43" si="3">C23/NAV</f>
        <v>0</v>
      </c>
      <c r="E23" s="9" t="e">
        <f t="shared" ref="E23:E45" si="4">C23/B23-1</f>
        <v>#DIV/0!</v>
      </c>
      <c r="G23" s="1">
        <f>SUM(C$4:C23)</f>
        <v>7687</v>
      </c>
      <c r="H23" s="10">
        <f>SUM(D$4:D23)</f>
        <v>0.51363089669918482</v>
      </c>
      <c r="I23">
        <f t="shared" si="2"/>
        <v>20</v>
      </c>
    </row>
    <row r="24" spans="1:15" x14ac:dyDescent="0.2">
      <c r="B24" s="1"/>
      <c r="C24" s="1"/>
      <c r="D24" s="10">
        <f t="shared" si="3"/>
        <v>0</v>
      </c>
      <c r="E24" s="9" t="e">
        <f t="shared" si="4"/>
        <v>#DIV/0!</v>
      </c>
      <c r="G24" s="1"/>
      <c r="H24" s="10"/>
      <c r="I24">
        <f t="shared" si="2"/>
        <v>21</v>
      </c>
    </row>
    <row r="25" spans="1:15" x14ac:dyDescent="0.2">
      <c r="B25" s="1"/>
      <c r="C25" s="1"/>
      <c r="D25" s="10">
        <f t="shared" si="3"/>
        <v>0</v>
      </c>
      <c r="E25" s="9" t="e">
        <f t="shared" si="4"/>
        <v>#DIV/0!</v>
      </c>
      <c r="G25" s="1"/>
      <c r="H25" s="10"/>
      <c r="I25">
        <f t="shared" si="2"/>
        <v>22</v>
      </c>
    </row>
    <row r="26" spans="1:15" x14ac:dyDescent="0.2">
      <c r="B26" s="1"/>
      <c r="C26" s="1"/>
      <c r="D26" s="10">
        <f t="shared" ref="D26:D40" si="5">C26/NAV</f>
        <v>0</v>
      </c>
      <c r="E26" s="9" t="e">
        <f t="shared" ref="E26:E40" si="6">C26/B26-1</f>
        <v>#DIV/0!</v>
      </c>
      <c r="G26" s="1"/>
      <c r="H26" s="10"/>
      <c r="I26">
        <f t="shared" si="2"/>
        <v>23</v>
      </c>
    </row>
    <row r="27" spans="1:15" x14ac:dyDescent="0.2">
      <c r="B27" s="1"/>
      <c r="C27" s="1"/>
      <c r="D27" s="10">
        <f t="shared" si="5"/>
        <v>0</v>
      </c>
      <c r="E27" s="9" t="e">
        <f t="shared" si="6"/>
        <v>#DIV/0!</v>
      </c>
      <c r="G27" s="1"/>
      <c r="H27" s="10"/>
      <c r="I27">
        <f t="shared" si="2"/>
        <v>24</v>
      </c>
    </row>
    <row r="28" spans="1:15" x14ac:dyDescent="0.2">
      <c r="B28" s="1"/>
      <c r="C28" s="1"/>
      <c r="D28" s="10">
        <f t="shared" si="5"/>
        <v>0</v>
      </c>
      <c r="E28" s="9" t="e">
        <f t="shared" si="6"/>
        <v>#DIV/0!</v>
      </c>
      <c r="G28" s="1"/>
      <c r="H28" s="10"/>
      <c r="I28">
        <f t="shared" si="2"/>
        <v>25</v>
      </c>
    </row>
    <row r="29" spans="1:15" x14ac:dyDescent="0.2">
      <c r="B29" s="1"/>
      <c r="C29" s="1"/>
      <c r="D29" s="10">
        <f t="shared" si="5"/>
        <v>0</v>
      </c>
      <c r="E29" s="9" t="e">
        <f t="shared" si="6"/>
        <v>#DIV/0!</v>
      </c>
      <c r="G29" s="1"/>
      <c r="H29" s="10"/>
      <c r="I29">
        <f t="shared" si="2"/>
        <v>26</v>
      </c>
    </row>
    <row r="30" spans="1:15" x14ac:dyDescent="0.2">
      <c r="B30" s="1"/>
      <c r="C30" s="1"/>
      <c r="D30" s="10">
        <f t="shared" si="5"/>
        <v>0</v>
      </c>
      <c r="E30" s="9" t="e">
        <f t="shared" si="6"/>
        <v>#DIV/0!</v>
      </c>
      <c r="G30" s="1"/>
      <c r="H30" s="10"/>
      <c r="I30">
        <f t="shared" si="2"/>
        <v>27</v>
      </c>
    </row>
    <row r="31" spans="1:15" x14ac:dyDescent="0.2">
      <c r="B31" s="1"/>
      <c r="C31" s="1"/>
      <c r="D31" s="10">
        <f t="shared" si="5"/>
        <v>0</v>
      </c>
      <c r="E31" s="9" t="e">
        <f t="shared" si="6"/>
        <v>#DIV/0!</v>
      </c>
      <c r="G31" s="1"/>
      <c r="H31" s="10"/>
      <c r="I31">
        <f t="shared" si="2"/>
        <v>28</v>
      </c>
    </row>
    <row r="32" spans="1:15" x14ac:dyDescent="0.2">
      <c r="B32" s="1"/>
      <c r="C32" s="1"/>
      <c r="D32" s="10">
        <f t="shared" si="5"/>
        <v>0</v>
      </c>
      <c r="E32" s="9" t="e">
        <f t="shared" si="6"/>
        <v>#DIV/0!</v>
      </c>
      <c r="G32" s="1"/>
      <c r="H32" s="10"/>
      <c r="I32">
        <f t="shared" si="2"/>
        <v>29</v>
      </c>
    </row>
    <row r="33" spans="1:9" x14ac:dyDescent="0.2">
      <c r="B33" s="1"/>
      <c r="C33" s="1"/>
      <c r="D33" s="10">
        <f t="shared" si="5"/>
        <v>0</v>
      </c>
      <c r="E33" s="9" t="e">
        <f t="shared" si="6"/>
        <v>#DIV/0!</v>
      </c>
      <c r="G33" s="1"/>
      <c r="H33" s="10"/>
      <c r="I33">
        <f t="shared" si="2"/>
        <v>30</v>
      </c>
    </row>
    <row r="34" spans="1:9" x14ac:dyDescent="0.2">
      <c r="B34" s="1"/>
      <c r="C34" s="1"/>
      <c r="D34" s="10">
        <f t="shared" si="5"/>
        <v>0</v>
      </c>
      <c r="E34" s="9" t="e">
        <f t="shared" si="6"/>
        <v>#DIV/0!</v>
      </c>
      <c r="G34" s="1"/>
      <c r="H34" s="10"/>
      <c r="I34">
        <f t="shared" si="2"/>
        <v>31</v>
      </c>
    </row>
    <row r="35" spans="1:9" x14ac:dyDescent="0.2">
      <c r="B35" s="1"/>
      <c r="C35" s="1"/>
      <c r="D35" s="10">
        <f t="shared" si="5"/>
        <v>0</v>
      </c>
      <c r="E35" s="9" t="e">
        <f t="shared" si="6"/>
        <v>#DIV/0!</v>
      </c>
      <c r="G35" s="1"/>
      <c r="H35" s="10"/>
      <c r="I35">
        <f t="shared" si="2"/>
        <v>32</v>
      </c>
    </row>
    <row r="36" spans="1:9" x14ac:dyDescent="0.2">
      <c r="B36" s="1"/>
      <c r="C36" s="1"/>
      <c r="D36" s="10">
        <f t="shared" si="5"/>
        <v>0</v>
      </c>
      <c r="E36" s="9" t="e">
        <f t="shared" si="6"/>
        <v>#DIV/0!</v>
      </c>
      <c r="G36" s="1"/>
      <c r="H36" s="10"/>
      <c r="I36">
        <f t="shared" si="2"/>
        <v>33</v>
      </c>
    </row>
    <row r="37" spans="1:9" x14ac:dyDescent="0.2">
      <c r="B37" s="1"/>
      <c r="C37" s="1"/>
      <c r="D37" s="10">
        <f t="shared" si="5"/>
        <v>0</v>
      </c>
      <c r="E37" s="9" t="e">
        <f t="shared" si="6"/>
        <v>#DIV/0!</v>
      </c>
      <c r="G37" s="1"/>
      <c r="H37" s="10"/>
      <c r="I37">
        <f t="shared" si="2"/>
        <v>34</v>
      </c>
    </row>
    <row r="38" spans="1:9" x14ac:dyDescent="0.2">
      <c r="B38" s="1"/>
      <c r="C38" s="1"/>
      <c r="D38" s="10">
        <f t="shared" si="5"/>
        <v>0</v>
      </c>
      <c r="E38" s="9" t="e">
        <f t="shared" si="6"/>
        <v>#DIV/0!</v>
      </c>
      <c r="G38" s="1"/>
      <c r="H38" s="10"/>
      <c r="I38">
        <f t="shared" si="2"/>
        <v>35</v>
      </c>
    </row>
    <row r="39" spans="1:9" x14ac:dyDescent="0.2">
      <c r="B39" s="1"/>
      <c r="C39" s="1"/>
      <c r="D39" s="10">
        <f t="shared" si="5"/>
        <v>0</v>
      </c>
      <c r="E39" s="9" t="e">
        <f t="shared" si="6"/>
        <v>#DIV/0!</v>
      </c>
      <c r="G39" s="1"/>
      <c r="H39" s="10"/>
      <c r="I39">
        <f t="shared" si="2"/>
        <v>36</v>
      </c>
    </row>
    <row r="40" spans="1:9" x14ac:dyDescent="0.2">
      <c r="B40" s="1"/>
      <c r="C40" s="1"/>
      <c r="D40" s="10">
        <f t="shared" si="5"/>
        <v>0</v>
      </c>
      <c r="E40" s="9" t="e">
        <f t="shared" si="6"/>
        <v>#DIV/0!</v>
      </c>
      <c r="G40" s="1"/>
      <c r="H40" s="10"/>
      <c r="I40">
        <f t="shared" si="2"/>
        <v>37</v>
      </c>
    </row>
    <row r="41" spans="1:9" x14ac:dyDescent="0.2">
      <c r="B41" s="1">
        <f>SUM(B4:B40)</f>
        <v>8956</v>
      </c>
      <c r="C41" s="1">
        <f>SUM(C4:C40)</f>
        <v>7687</v>
      </c>
      <c r="D41" s="10">
        <f t="shared" si="3"/>
        <v>0.51363089669918482</v>
      </c>
      <c r="E41" s="9">
        <f t="shared" si="4"/>
        <v>-0.1416927199642698</v>
      </c>
    </row>
    <row r="42" spans="1:9" x14ac:dyDescent="0.2">
      <c r="A42" t="s">
        <v>120</v>
      </c>
      <c r="B42" s="1"/>
      <c r="C42" s="1"/>
      <c r="D42" s="10">
        <f t="shared" si="3"/>
        <v>0</v>
      </c>
      <c r="E42" s="9" t="e">
        <f t="shared" si="4"/>
        <v>#DIV/0!</v>
      </c>
    </row>
    <row r="43" spans="1:9" x14ac:dyDescent="0.2">
      <c r="A43" t="s">
        <v>57</v>
      </c>
      <c r="B43" s="1">
        <f>C43</f>
        <v>7279</v>
      </c>
      <c r="C43" s="1">
        <f>'Balance Sheet'!J30</f>
        <v>7279</v>
      </c>
      <c r="D43" s="10">
        <f t="shared" si="3"/>
        <v>0.48636910330081518</v>
      </c>
      <c r="E43" s="9">
        <f t="shared" si="4"/>
        <v>0</v>
      </c>
    </row>
    <row r="44" spans="1:9" x14ac:dyDescent="0.2">
      <c r="E44" s="9"/>
    </row>
    <row r="45" spans="1:9" x14ac:dyDescent="0.2">
      <c r="A45" t="s">
        <v>59</v>
      </c>
      <c r="B45" s="1">
        <f>B41+B42+B43</f>
        <v>16235</v>
      </c>
      <c r="C45" s="1">
        <f>C41+C42+C43</f>
        <v>14966</v>
      </c>
      <c r="E45" s="9">
        <f t="shared" si="4"/>
        <v>-7.8164459501077865E-2</v>
      </c>
    </row>
    <row r="48" spans="1:9" x14ac:dyDescent="0.2">
      <c r="A48" t="s">
        <v>82</v>
      </c>
    </row>
    <row r="49" spans="1:6" x14ac:dyDescent="0.2">
      <c r="B49">
        <f>'Balance Sheet'!B2</f>
        <v>2018</v>
      </c>
      <c r="C49">
        <f>'Balance Sheet'!C2</f>
        <v>2019</v>
      </c>
      <c r="D49">
        <f>'Balance Sheet'!D2</f>
        <v>2020</v>
      </c>
      <c r="E49">
        <f>'Balance Sheet'!E2</f>
        <v>2021</v>
      </c>
      <c r="F49" t="s">
        <v>223</v>
      </c>
    </row>
    <row r="50" spans="1:6" x14ac:dyDescent="0.2">
      <c r="A50" t="s">
        <v>114</v>
      </c>
      <c r="B50" s="9">
        <f>('Balance Sheet'!B29+'Balance Sheet'!B30)/'Balance Sheet'!B32</f>
        <v>0.87496874218554643</v>
      </c>
      <c r="C50" s="9">
        <f>('Balance Sheet'!C29+'Balance Sheet'!C30)/'Balance Sheet'!C32</f>
        <v>0.5451781793615943</v>
      </c>
      <c r="D50" s="9">
        <f>('Balance Sheet'!D29+'Balance Sheet'!D30)/'Balance Sheet'!D32</f>
        <v>0.5212215943248768</v>
      </c>
      <c r="E50" s="9">
        <f>('Balance Sheet'!E29+'Balance Sheet'!E30)/'Balance Sheet'!E32</f>
        <v>0.46467205258113103</v>
      </c>
      <c r="F50" s="9">
        <f>('Balance Sheet'!J29+'Balance Sheet'!J30)/'Balance Sheet'!J32</f>
        <v>0.48636910330081518</v>
      </c>
    </row>
    <row r="51" spans="1:6" x14ac:dyDescent="0.2">
      <c r="A51" t="s">
        <v>115</v>
      </c>
      <c r="B51" s="9">
        <f>'Balance Sheet'!B28/'Balance Sheet'!B32</f>
        <v>0</v>
      </c>
      <c r="C51" s="9">
        <f>'Balance Sheet'!C28/'Balance Sheet'!C32</f>
        <v>0</v>
      </c>
      <c r="D51" s="9">
        <f>'Balance Sheet'!D28/'Balance Sheet'!D32</f>
        <v>0</v>
      </c>
      <c r="E51" s="9">
        <f>'Balance Sheet'!E28/'Balance Sheet'!E32</f>
        <v>0</v>
      </c>
      <c r="F51" s="9">
        <f>'Balance Sheet'!J28/'Balance Sheet'!J32</f>
        <v>0</v>
      </c>
    </row>
    <row r="52" spans="1:6" x14ac:dyDescent="0.2">
      <c r="A52" t="s">
        <v>116</v>
      </c>
      <c r="B52" s="19">
        <f>'Balance Sheet'!B39-B53</f>
        <v>0</v>
      </c>
      <c r="C52" s="19">
        <f>'Balance Sheet'!C39-C53</f>
        <v>1.6889039013678886E-4</v>
      </c>
      <c r="D52" s="19">
        <f>'Balance Sheet'!D39-D53</f>
        <v>0</v>
      </c>
      <c r="E52" s="19">
        <f>'Balance Sheet'!E39-E53</f>
        <v>7.2641380254689858E-2</v>
      </c>
      <c r="F52" s="19">
        <f>'Balance Sheet'!J39-'Balance Sheet'!J36</f>
        <v>0.10637444875050106</v>
      </c>
    </row>
    <row r="53" spans="1:6" x14ac:dyDescent="0.2">
      <c r="A53" t="s">
        <v>117</v>
      </c>
      <c r="B53" s="9">
        <f>'Balance Sheet'!B36</f>
        <v>0.12503125781445362</v>
      </c>
      <c r="C53" s="9">
        <f>'Balance Sheet'!C36</f>
        <v>0.45465293024826886</v>
      </c>
      <c r="D53" s="9">
        <f>'Balance Sheet'!D36</f>
        <v>0.47877840567512325</v>
      </c>
      <c r="E53" s="9">
        <f>'Balance Sheet'!E36</f>
        <v>0.47186087909078461</v>
      </c>
      <c r="F53" s="19">
        <f>'Balance Sheet'!J36</f>
        <v>0.40725644794868376</v>
      </c>
    </row>
    <row r="54" spans="1:6" x14ac:dyDescent="0.2">
      <c r="A54" t="s">
        <v>118</v>
      </c>
      <c r="B54" s="9"/>
      <c r="F54" s="19">
        <f>'Balance Sheet'!J37-'Balance Sheet'!J36</f>
        <v>-0.40725644794868376</v>
      </c>
    </row>
    <row r="55" spans="1:6" x14ac:dyDescent="0.2">
      <c r="F55" t="s">
        <v>119</v>
      </c>
    </row>
    <row r="59" spans="1:6" x14ac:dyDescent="0.2">
      <c r="A59" t="s">
        <v>247</v>
      </c>
      <c r="B59" t="s">
        <v>248</v>
      </c>
    </row>
    <row r="60" spans="1:6" x14ac:dyDescent="0.2">
      <c r="A60" t="s">
        <v>249</v>
      </c>
      <c r="B60" t="s">
        <v>250</v>
      </c>
    </row>
    <row r="61" spans="1:6" x14ac:dyDescent="0.2">
      <c r="A61" t="s">
        <v>251</v>
      </c>
      <c r="B61" t="s">
        <v>252</v>
      </c>
    </row>
    <row r="62" spans="1:6" x14ac:dyDescent="0.2">
      <c r="A62" t="s">
        <v>253</v>
      </c>
      <c r="B62" t="s">
        <v>254</v>
      </c>
    </row>
    <row r="63" spans="1:6" x14ac:dyDescent="0.2">
      <c r="A63" t="s">
        <v>255</v>
      </c>
      <c r="B63" t="s">
        <v>256</v>
      </c>
    </row>
    <row r="64" spans="1:6" x14ac:dyDescent="0.2">
      <c r="A64" t="s">
        <v>257</v>
      </c>
      <c r="B64" t="s">
        <v>256</v>
      </c>
    </row>
    <row r="65" spans="1:2" x14ac:dyDescent="0.2">
      <c r="A65" t="s">
        <v>258</v>
      </c>
      <c r="B65" s="34" t="s">
        <v>252</v>
      </c>
    </row>
    <row r="66" spans="1:2" x14ac:dyDescent="0.2">
      <c r="A66" t="s">
        <v>259</v>
      </c>
      <c r="B66" t="s">
        <v>260</v>
      </c>
    </row>
    <row r="67" spans="1:2" x14ac:dyDescent="0.2">
      <c r="A67" t="s">
        <v>3</v>
      </c>
      <c r="B67" t="s">
        <v>261</v>
      </c>
    </row>
  </sheetData>
  <sortState xmlns:xlrd2="http://schemas.microsoft.com/office/spreadsheetml/2017/richdata2" ref="A4:E22">
    <sortCondition descending="1" ref="C4:C22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C2B9-14F6-434B-B2CD-3225F43D42B8}">
  <dimension ref="A1:F10"/>
  <sheetViews>
    <sheetView workbookViewId="0">
      <selection activeCell="A5" sqref="A5:A8"/>
    </sheetView>
  </sheetViews>
  <sheetFormatPr baseColWidth="10" defaultRowHeight="16" x14ac:dyDescent="0.2"/>
  <sheetData>
    <row r="1" spans="1:6" x14ac:dyDescent="0.2">
      <c r="A1" s="3" t="s">
        <v>232</v>
      </c>
    </row>
    <row r="2" spans="1:6" x14ac:dyDescent="0.2">
      <c r="A2" t="s">
        <v>123</v>
      </c>
      <c r="C2" t="s">
        <v>234</v>
      </c>
      <c r="D2" t="s">
        <v>235</v>
      </c>
    </row>
    <row r="3" spans="1:6" x14ac:dyDescent="0.2">
      <c r="A3">
        <v>2020</v>
      </c>
      <c r="B3" t="s">
        <v>233</v>
      </c>
      <c r="C3">
        <v>160</v>
      </c>
      <c r="D3">
        <v>252</v>
      </c>
      <c r="E3" s="22">
        <f>D3/C3</f>
        <v>1.575</v>
      </c>
    </row>
    <row r="4" spans="1:6" x14ac:dyDescent="0.2">
      <c r="A4">
        <v>2022</v>
      </c>
      <c r="B4" t="s">
        <v>236</v>
      </c>
      <c r="C4">
        <v>126</v>
      </c>
      <c r="D4">
        <v>262</v>
      </c>
      <c r="E4" s="22">
        <f t="shared" ref="E4:E10" si="0">D4/C4</f>
        <v>2.0793650793650795</v>
      </c>
      <c r="F4" t="s">
        <v>239</v>
      </c>
    </row>
    <row r="5" spans="1:6" x14ac:dyDescent="0.2">
      <c r="A5">
        <v>2021</v>
      </c>
      <c r="B5" t="s">
        <v>219</v>
      </c>
      <c r="C5">
        <v>75</v>
      </c>
      <c r="D5">
        <v>76</v>
      </c>
      <c r="E5" s="22">
        <f t="shared" si="0"/>
        <v>1.0133333333333334</v>
      </c>
    </row>
    <row r="6" spans="1:6" x14ac:dyDescent="0.2">
      <c r="A6">
        <v>2021</v>
      </c>
      <c r="B6" t="s">
        <v>237</v>
      </c>
      <c r="C6">
        <v>150</v>
      </c>
      <c r="D6">
        <v>265</v>
      </c>
      <c r="E6" s="22">
        <f t="shared" si="0"/>
        <v>1.7666666666666666</v>
      </c>
      <c r="F6" t="s">
        <v>239</v>
      </c>
    </row>
    <row r="7" spans="1:6" x14ac:dyDescent="0.2">
      <c r="A7">
        <v>2021</v>
      </c>
      <c r="B7" t="s">
        <v>238</v>
      </c>
      <c r="C7">
        <v>403</v>
      </c>
      <c r="D7">
        <v>1125</v>
      </c>
      <c r="E7" s="22">
        <f t="shared" si="0"/>
        <v>2.791563275434243</v>
      </c>
    </row>
    <row r="8" spans="1:6" x14ac:dyDescent="0.2">
      <c r="A8">
        <v>2021</v>
      </c>
      <c r="B8" t="s">
        <v>215</v>
      </c>
      <c r="C8">
        <v>268</v>
      </c>
      <c r="D8">
        <v>524</v>
      </c>
      <c r="E8" s="22">
        <f t="shared" si="0"/>
        <v>1.955223880597015</v>
      </c>
    </row>
    <row r="9" spans="1:6" x14ac:dyDescent="0.2">
      <c r="C9">
        <f>SUM(C3:C8)</f>
        <v>1182</v>
      </c>
      <c r="D9">
        <f>SUM(D3:D8)</f>
        <v>2504</v>
      </c>
      <c r="E9" s="22">
        <f t="shared" si="0"/>
        <v>2.1184433164128595</v>
      </c>
    </row>
    <row r="10" spans="1:6" x14ac:dyDescent="0.2">
      <c r="B10" t="s">
        <v>240</v>
      </c>
      <c r="C10">
        <f>C9-C4-C6</f>
        <v>906</v>
      </c>
      <c r="D10">
        <f>D9-D4-D6</f>
        <v>1977</v>
      </c>
      <c r="E10" s="22">
        <f t="shared" si="0"/>
        <v>2.1821192052980134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EE2E-8D00-F843-A0B4-7C842BE8D715}">
  <dimension ref="A1:K52"/>
  <sheetViews>
    <sheetView topLeftCell="A2" zoomScaleNormal="100" workbookViewId="0">
      <selection activeCell="F28" sqref="F28"/>
    </sheetView>
  </sheetViews>
  <sheetFormatPr baseColWidth="10" defaultRowHeight="14" x14ac:dyDescent="0.2"/>
  <cols>
    <col min="1" max="16384" width="10.83203125" style="25"/>
  </cols>
  <sheetData>
    <row r="1" spans="1:8" x14ac:dyDescent="0.2">
      <c r="A1" s="25" t="s">
        <v>158</v>
      </c>
    </row>
    <row r="3" spans="1:8" x14ac:dyDescent="0.2">
      <c r="A3" s="26" t="s">
        <v>159</v>
      </c>
    </row>
    <row r="4" spans="1:8" x14ac:dyDescent="0.2">
      <c r="A4" s="25" t="s">
        <v>160</v>
      </c>
      <c r="B4" s="25">
        <v>5</v>
      </c>
      <c r="C4" s="25" t="s">
        <v>161</v>
      </c>
    </row>
    <row r="5" spans="1:8" x14ac:dyDescent="0.2">
      <c r="A5" s="25" t="s">
        <v>162</v>
      </c>
      <c r="B5" s="27">
        <v>100000</v>
      </c>
    </row>
    <row r="6" spans="1:8" x14ac:dyDescent="0.2">
      <c r="A6" s="25" t="s">
        <v>163</v>
      </c>
      <c r="B6" s="27">
        <v>3500000</v>
      </c>
      <c r="C6" s="25" t="s">
        <v>193</v>
      </c>
      <c r="D6" s="29">
        <v>0.8</v>
      </c>
    </row>
    <row r="7" spans="1:8" x14ac:dyDescent="0.2">
      <c r="A7" s="25" t="s">
        <v>191</v>
      </c>
      <c r="B7" s="27">
        <f>'Balance Sheet'!J6*1000</f>
        <v>14966000</v>
      </c>
    </row>
    <row r="8" spans="1:8" x14ac:dyDescent="0.2">
      <c r="F8" s="28" t="s">
        <v>164</v>
      </c>
      <c r="H8" s="25" t="s">
        <v>165</v>
      </c>
    </row>
    <row r="9" spans="1:8" x14ac:dyDescent="0.2">
      <c r="C9" s="25" t="s">
        <v>166</v>
      </c>
      <c r="E9" s="29">
        <v>-0.5</v>
      </c>
      <c r="F9" s="29">
        <v>0</v>
      </c>
      <c r="G9" s="29">
        <v>0.5</v>
      </c>
      <c r="H9" s="29">
        <v>0.7</v>
      </c>
    </row>
    <row r="10" spans="1:8" x14ac:dyDescent="0.2">
      <c r="C10" s="25" t="s">
        <v>167</v>
      </c>
      <c r="E10" s="27">
        <f>$B5</f>
        <v>100000</v>
      </c>
      <c r="F10" s="27">
        <f>$B5</f>
        <v>100000</v>
      </c>
      <c r="G10" s="27">
        <f>$B5</f>
        <v>100000</v>
      </c>
      <c r="H10" s="27">
        <f>$B5</f>
        <v>100000</v>
      </c>
    </row>
    <row r="12" spans="1:8" x14ac:dyDescent="0.2">
      <c r="A12" s="25" t="s">
        <v>168</v>
      </c>
      <c r="C12" s="25" t="s">
        <v>169</v>
      </c>
    </row>
    <row r="13" spans="1:8" x14ac:dyDescent="0.2">
      <c r="A13" s="25" t="s">
        <v>170</v>
      </c>
      <c r="B13" s="25" t="s">
        <v>171</v>
      </c>
      <c r="C13" s="30">
        <v>5.5E-2</v>
      </c>
      <c r="E13" s="27">
        <f>$C13*E$10</f>
        <v>5500</v>
      </c>
      <c r="F13" s="27">
        <f t="shared" ref="F13:H14" si="0">$C13*F$10</f>
        <v>5500</v>
      </c>
      <c r="G13" s="27">
        <f t="shared" si="0"/>
        <v>5500</v>
      </c>
      <c r="H13" s="27">
        <f t="shared" si="0"/>
        <v>5500</v>
      </c>
    </row>
    <row r="14" spans="1:8" x14ac:dyDescent="0.2">
      <c r="B14" s="25" t="s">
        <v>172</v>
      </c>
      <c r="C14" s="30">
        <v>3.0999999999999999E-3</v>
      </c>
      <c r="E14" s="27">
        <f>$C14*E$10</f>
        <v>310</v>
      </c>
      <c r="F14" s="27">
        <f t="shared" si="0"/>
        <v>310</v>
      </c>
      <c r="G14" s="27">
        <f t="shared" si="0"/>
        <v>310</v>
      </c>
      <c r="H14" s="27">
        <f t="shared" si="0"/>
        <v>310</v>
      </c>
    </row>
    <row r="15" spans="1:8" x14ac:dyDescent="0.2">
      <c r="B15" s="25" t="s">
        <v>45</v>
      </c>
      <c r="C15" s="30"/>
      <c r="E15" s="27">
        <f>E23*$C15</f>
        <v>0</v>
      </c>
      <c r="F15" s="27">
        <f>F23*$C15</f>
        <v>0</v>
      </c>
      <c r="G15" s="27">
        <f>G23*$C15</f>
        <v>0</v>
      </c>
      <c r="H15" s="27">
        <f>H23*$C15</f>
        <v>0</v>
      </c>
    </row>
    <row r="16" spans="1:8" x14ac:dyDescent="0.2">
      <c r="B16" s="25" t="s">
        <v>173</v>
      </c>
      <c r="C16" s="27"/>
      <c r="E16" s="31">
        <f>$C16*E23/$B$6</f>
        <v>0</v>
      </c>
      <c r="F16" s="31">
        <f t="shared" ref="F16:H16" si="1">$C16*F23/$B$6</f>
        <v>0</v>
      </c>
      <c r="G16" s="31">
        <f t="shared" si="1"/>
        <v>0</v>
      </c>
      <c r="H16" s="31">
        <f t="shared" si="1"/>
        <v>0</v>
      </c>
    </row>
    <row r="17" spans="1:8" x14ac:dyDescent="0.2">
      <c r="B17" s="25" t="s">
        <v>28</v>
      </c>
      <c r="C17" s="30"/>
      <c r="E17" s="27">
        <f>SUM(E13:E16)</f>
        <v>5810</v>
      </c>
      <c r="F17" s="27">
        <f>SUM(F13:F16)</f>
        <v>5810</v>
      </c>
      <c r="G17" s="27">
        <f>SUM(G13:G16)</f>
        <v>5810</v>
      </c>
      <c r="H17" s="27">
        <f>SUM(H13:H16)</f>
        <v>5810</v>
      </c>
    </row>
    <row r="18" spans="1:8" x14ac:dyDescent="0.2">
      <c r="E18" s="27"/>
      <c r="F18" s="27"/>
      <c r="G18" s="27"/>
      <c r="H18" s="27"/>
    </row>
    <row r="19" spans="1:8" x14ac:dyDescent="0.2">
      <c r="A19" s="25" t="s">
        <v>174</v>
      </c>
      <c r="B19" s="25" t="s">
        <v>175</v>
      </c>
      <c r="C19" s="30">
        <v>0</v>
      </c>
      <c r="E19" s="27">
        <f>$C19*E$10</f>
        <v>0</v>
      </c>
      <c r="F19" s="27">
        <f t="shared" ref="F19:H19" si="2">$C19*F$10</f>
        <v>0</v>
      </c>
      <c r="G19" s="27">
        <f t="shared" si="2"/>
        <v>0</v>
      </c>
      <c r="H19" s="27">
        <f t="shared" si="2"/>
        <v>0</v>
      </c>
    </row>
    <row r="20" spans="1:8" x14ac:dyDescent="0.2">
      <c r="C20" s="30"/>
      <c r="E20" s="27"/>
      <c r="F20" s="27"/>
      <c r="G20" s="27"/>
      <c r="H20" s="27"/>
    </row>
    <row r="21" spans="1:8" x14ac:dyDescent="0.2">
      <c r="B21" s="25" t="s">
        <v>176</v>
      </c>
      <c r="C21" s="25">
        <v>0</v>
      </c>
      <c r="E21" s="27">
        <f>$C21*(E19+E20)</f>
        <v>0</v>
      </c>
      <c r="F21" s="27">
        <f t="shared" ref="F21:H21" si="3">$C21*(F19+F20)</f>
        <v>0</v>
      </c>
      <c r="G21" s="27">
        <f t="shared" si="3"/>
        <v>0</v>
      </c>
      <c r="H21" s="27">
        <f t="shared" si="3"/>
        <v>0</v>
      </c>
    </row>
    <row r="22" spans="1:8" x14ac:dyDescent="0.2">
      <c r="E22" s="27"/>
      <c r="F22" s="27"/>
      <c r="G22" s="27"/>
      <c r="H22" s="27"/>
    </row>
    <row r="23" spans="1:8" x14ac:dyDescent="0.2">
      <c r="A23" s="25" t="s">
        <v>177</v>
      </c>
      <c r="E23" s="27">
        <f>E10-SUM(E13)-E21</f>
        <v>94500</v>
      </c>
      <c r="F23" s="27">
        <f t="shared" ref="F23:H23" si="4">F10-SUM(F13)-F21</f>
        <v>94500</v>
      </c>
      <c r="G23" s="27">
        <f t="shared" si="4"/>
        <v>94500</v>
      </c>
      <c r="H23" s="27">
        <f t="shared" si="4"/>
        <v>94500</v>
      </c>
    </row>
    <row r="24" spans="1:8" x14ac:dyDescent="0.2">
      <c r="E24" s="27"/>
      <c r="F24" s="27"/>
      <c r="G24" s="27"/>
      <c r="H24" s="27"/>
    </row>
    <row r="25" spans="1:8" x14ac:dyDescent="0.2">
      <c r="A25" s="25" t="s">
        <v>178</v>
      </c>
      <c r="D25" s="25" t="s">
        <v>123</v>
      </c>
      <c r="E25" s="27"/>
      <c r="F25" s="27"/>
      <c r="G25" s="27"/>
      <c r="H25" s="27"/>
    </row>
    <row r="26" spans="1:8" x14ac:dyDescent="0.2">
      <c r="A26" s="25" t="s">
        <v>179</v>
      </c>
      <c r="B26" s="25" t="s">
        <v>136</v>
      </c>
      <c r="C26" s="30">
        <v>0.02</v>
      </c>
      <c r="D26" s="25">
        <v>1</v>
      </c>
      <c r="E26" s="27">
        <f>$C$26*1.2*E$23*(1+E$9/5*($D26-1))</f>
        <v>2268</v>
      </c>
      <c r="F26" s="27">
        <f t="shared" ref="F26:H30" si="5">$C$26*1.2*F$23*(1+F$9/5*($D26-1))</f>
        <v>2268</v>
      </c>
      <c r="G26" s="27">
        <f t="shared" si="5"/>
        <v>2268</v>
      </c>
      <c r="H26" s="27">
        <f t="shared" si="5"/>
        <v>2268</v>
      </c>
    </row>
    <row r="27" spans="1:8" x14ac:dyDescent="0.2">
      <c r="D27" s="25">
        <v>2</v>
      </c>
      <c r="E27" s="27">
        <f t="shared" ref="E27:E30" si="6">$C$26*1.2*E$23*(1+E$9/5*($D27-1))</f>
        <v>2041.2</v>
      </c>
      <c r="F27" s="27">
        <f t="shared" si="5"/>
        <v>2268</v>
      </c>
      <c r="G27" s="27">
        <f t="shared" si="5"/>
        <v>2494.8000000000002</v>
      </c>
      <c r="H27" s="27">
        <f t="shared" si="5"/>
        <v>2585.52</v>
      </c>
    </row>
    <row r="28" spans="1:8" x14ac:dyDescent="0.2">
      <c r="D28" s="25">
        <v>3</v>
      </c>
      <c r="E28" s="27">
        <f t="shared" si="6"/>
        <v>1814.4</v>
      </c>
      <c r="F28" s="27">
        <f t="shared" si="5"/>
        <v>2268</v>
      </c>
      <c r="G28" s="27">
        <f t="shared" si="5"/>
        <v>2721.6</v>
      </c>
      <c r="H28" s="27">
        <f t="shared" si="5"/>
        <v>2903.04</v>
      </c>
    </row>
    <row r="29" spans="1:8" x14ac:dyDescent="0.2">
      <c r="D29" s="25">
        <v>4</v>
      </c>
      <c r="E29" s="27">
        <f t="shared" si="6"/>
        <v>1587.6</v>
      </c>
      <c r="F29" s="27">
        <f t="shared" si="5"/>
        <v>2268</v>
      </c>
      <c r="G29" s="27">
        <f t="shared" si="5"/>
        <v>2948.4</v>
      </c>
      <c r="H29" s="27">
        <f t="shared" si="5"/>
        <v>3220.56</v>
      </c>
    </row>
    <row r="30" spans="1:8" x14ac:dyDescent="0.2">
      <c r="D30" s="25">
        <v>5</v>
      </c>
      <c r="E30" s="27">
        <f t="shared" si="6"/>
        <v>1360.8</v>
      </c>
      <c r="F30" s="27">
        <f t="shared" si="5"/>
        <v>2268</v>
      </c>
      <c r="G30" s="27">
        <f t="shared" si="5"/>
        <v>3175.2</v>
      </c>
      <c r="H30" s="27">
        <f t="shared" si="5"/>
        <v>3538.08</v>
      </c>
    </row>
    <row r="31" spans="1:8" x14ac:dyDescent="0.2">
      <c r="D31" s="25" t="s">
        <v>28</v>
      </c>
      <c r="E31" s="27">
        <f>SUM(E26:E30)</f>
        <v>9072</v>
      </c>
      <c r="F31" s="27">
        <f t="shared" ref="F31:H31" si="7">SUM(F26:F30)</f>
        <v>11340</v>
      </c>
      <c r="G31" s="27">
        <f t="shared" si="7"/>
        <v>13608</v>
      </c>
      <c r="H31" s="27">
        <f t="shared" si="7"/>
        <v>14515.2</v>
      </c>
    </row>
    <row r="32" spans="1:8" x14ac:dyDescent="0.2">
      <c r="A32" s="25" t="s">
        <v>194</v>
      </c>
      <c r="C32" s="32">
        <v>6.0000000000000001E-3</v>
      </c>
      <c r="D32" s="25">
        <v>1</v>
      </c>
      <c r="E32" s="27">
        <f>$C$32*1.2*E$23*(1+E$9/5*($D32-1))-E41/Term</f>
        <v>620.26369103300817</v>
      </c>
      <c r="F32" s="27">
        <f t="shared" ref="F32:H36" si="8">$C$32*1.2*F$23*(1+F$9/5*($D32-1))</f>
        <v>680.4</v>
      </c>
      <c r="G32" s="27">
        <f t="shared" si="8"/>
        <v>680.4</v>
      </c>
      <c r="H32" s="27">
        <f t="shared" si="8"/>
        <v>680.4</v>
      </c>
    </row>
    <row r="33" spans="1:11" x14ac:dyDescent="0.2">
      <c r="C33" s="27"/>
      <c r="D33" s="25">
        <v>2</v>
      </c>
      <c r="E33" s="27">
        <f t="shared" ref="E33:E36" si="9">$C$32*1.2*E$23*(1+E$9/5*($D33-1))</f>
        <v>612.36</v>
      </c>
      <c r="F33" s="27">
        <f t="shared" si="8"/>
        <v>680.4</v>
      </c>
      <c r="G33" s="27">
        <f t="shared" si="8"/>
        <v>748.44</v>
      </c>
      <c r="H33" s="27">
        <f t="shared" si="8"/>
        <v>775.65599999999995</v>
      </c>
    </row>
    <row r="34" spans="1:11" x14ac:dyDescent="0.2">
      <c r="C34" s="27"/>
      <c r="D34" s="25">
        <v>3</v>
      </c>
      <c r="E34" s="27">
        <f t="shared" si="9"/>
        <v>544.32000000000005</v>
      </c>
      <c r="F34" s="27">
        <f t="shared" si="8"/>
        <v>680.4</v>
      </c>
      <c r="G34" s="27">
        <f t="shared" si="8"/>
        <v>816.4799999999999</v>
      </c>
      <c r="H34" s="27">
        <f t="shared" si="8"/>
        <v>870.91200000000003</v>
      </c>
    </row>
    <row r="35" spans="1:11" x14ac:dyDescent="0.2">
      <c r="C35" s="27"/>
      <c r="D35" s="25">
        <v>4</v>
      </c>
      <c r="E35" s="27">
        <f t="shared" si="9"/>
        <v>476.28</v>
      </c>
      <c r="F35" s="27">
        <f t="shared" si="8"/>
        <v>680.4</v>
      </c>
      <c r="G35" s="27">
        <f t="shared" si="8"/>
        <v>884.52</v>
      </c>
      <c r="H35" s="27">
        <f t="shared" si="8"/>
        <v>966.16799999999989</v>
      </c>
    </row>
    <row r="36" spans="1:11" x14ac:dyDescent="0.2">
      <c r="C36" s="27"/>
      <c r="D36" s="25">
        <v>5</v>
      </c>
      <c r="E36" s="27">
        <f t="shared" si="9"/>
        <v>408.23999999999995</v>
      </c>
      <c r="F36" s="27">
        <f t="shared" si="8"/>
        <v>680.4</v>
      </c>
      <c r="G36" s="27">
        <f t="shared" si="8"/>
        <v>952.56</v>
      </c>
      <c r="H36" s="27">
        <f t="shared" si="8"/>
        <v>1061.424</v>
      </c>
    </row>
    <row r="37" spans="1:11" x14ac:dyDescent="0.2">
      <c r="C37" s="27"/>
      <c r="D37" s="25" t="s">
        <v>28</v>
      </c>
      <c r="E37" s="27">
        <f>SUM(E32:E36)</f>
        <v>2661.4636910330082</v>
      </c>
      <c r="F37" s="27">
        <f t="shared" ref="F37:H37" si="10">SUM(F32:F36)</f>
        <v>3402</v>
      </c>
      <c r="G37" s="27">
        <f t="shared" si="10"/>
        <v>4082.4</v>
      </c>
      <c r="H37" s="27">
        <f t="shared" si="10"/>
        <v>4354.5599999999995</v>
      </c>
    </row>
    <row r="38" spans="1:11" x14ac:dyDescent="0.2">
      <c r="C38" s="27"/>
      <c r="E38" s="27"/>
      <c r="F38" s="27"/>
      <c r="G38" s="27"/>
      <c r="H38" s="27"/>
    </row>
    <row r="39" spans="1:11" x14ac:dyDescent="0.2">
      <c r="A39" s="25" t="s">
        <v>188</v>
      </c>
      <c r="C39" s="32">
        <v>5.7999999999999996E-3</v>
      </c>
      <c r="E39" s="27">
        <f>$C39*E$23*Term*PercentInvested</f>
        <v>2192.3999999999996</v>
      </c>
      <c r="F39" s="27">
        <f>$C39*F$23*Term*PercentInvested</f>
        <v>2192.3999999999996</v>
      </c>
      <c r="G39" s="27">
        <f>$C39*G$23*Term*PercentInvested</f>
        <v>2192.3999999999996</v>
      </c>
      <c r="H39" s="27">
        <f>$C39*H$23*Term*PercentInvested</f>
        <v>2192.3999999999996</v>
      </c>
    </row>
    <row r="40" spans="1:11" x14ac:dyDescent="0.2">
      <c r="A40" s="25" t="s">
        <v>189</v>
      </c>
      <c r="C40" s="27">
        <v>0</v>
      </c>
      <c r="D40" s="25" t="s">
        <v>192</v>
      </c>
      <c r="E40" s="27">
        <f t="shared" ref="E40:H40" si="11">$C40*E$23/$B$6*Term*PercentInvested</f>
        <v>0</v>
      </c>
      <c r="F40" s="27">
        <f t="shared" si="11"/>
        <v>0</v>
      </c>
      <c r="G40" s="27">
        <f t="shared" si="11"/>
        <v>0</v>
      </c>
      <c r="H40" s="27">
        <f t="shared" si="11"/>
        <v>0</v>
      </c>
    </row>
    <row r="41" spans="1:11" x14ac:dyDescent="0.2">
      <c r="A41" s="25" t="s">
        <v>190</v>
      </c>
      <c r="C41" s="27">
        <v>9000</v>
      </c>
      <c r="D41" s="25" t="s">
        <v>191</v>
      </c>
      <c r="E41" s="27">
        <f>$C41/$B$7*$B$5*Term</f>
        <v>300.68154483495925</v>
      </c>
      <c r="F41" s="27">
        <f>$C41/$B$7*$B$5*Term</f>
        <v>300.68154483495925</v>
      </c>
      <c r="G41" s="27">
        <f>$C41/$B$7*$B$5*Term</f>
        <v>300.68154483495925</v>
      </c>
      <c r="H41" s="27">
        <f>$C41/$B$7*$B$5*Term</f>
        <v>300.68154483495925</v>
      </c>
      <c r="J41" s="25" t="s">
        <v>195</v>
      </c>
    </row>
    <row r="43" spans="1:11" x14ac:dyDescent="0.2">
      <c r="A43" s="25" t="s">
        <v>180</v>
      </c>
      <c r="E43" s="27">
        <f>E23*(1+E9)-E31-E37</f>
        <v>35516.536308966992</v>
      </c>
      <c r="F43" s="27">
        <f t="shared" ref="F43:H43" si="12">F23*(1+F9)-F31-F37</f>
        <v>79758</v>
      </c>
      <c r="G43" s="27">
        <f t="shared" si="12"/>
        <v>124059.6</v>
      </c>
      <c r="H43" s="27">
        <f t="shared" si="12"/>
        <v>141780.24</v>
      </c>
    </row>
    <row r="44" spans="1:11" x14ac:dyDescent="0.2">
      <c r="E44" s="27"/>
      <c r="F44" s="27"/>
      <c r="G44" s="27"/>
      <c r="H44" s="27"/>
    </row>
    <row r="45" spans="1:11" x14ac:dyDescent="0.2">
      <c r="A45" s="25" t="s">
        <v>181</v>
      </c>
      <c r="B45" s="25" t="s">
        <v>182</v>
      </c>
      <c r="C45" s="30">
        <v>0</v>
      </c>
      <c r="E45" s="27">
        <f>$C45*E43</f>
        <v>0</v>
      </c>
      <c r="F45" s="27">
        <f>$C45*F43</f>
        <v>0</v>
      </c>
      <c r="G45" s="27">
        <f>$C45*G43</f>
        <v>0</v>
      </c>
      <c r="H45" s="27">
        <f>$C45*H43</f>
        <v>0</v>
      </c>
    </row>
    <row r="46" spans="1:11" x14ac:dyDescent="0.2">
      <c r="A46" s="25" t="s">
        <v>183</v>
      </c>
      <c r="C46" s="30">
        <v>0</v>
      </c>
      <c r="E46" s="27">
        <f>$C46*E$10</f>
        <v>0</v>
      </c>
      <c r="F46" s="27">
        <f t="shared" ref="F46:H46" si="13">$C46*F$10</f>
        <v>0</v>
      </c>
      <c r="G46" s="27">
        <f t="shared" si="13"/>
        <v>0</v>
      </c>
      <c r="H46" s="27">
        <f t="shared" si="13"/>
        <v>0</v>
      </c>
    </row>
    <row r="47" spans="1:11" x14ac:dyDescent="0.2">
      <c r="A47" s="25" t="s">
        <v>137</v>
      </c>
      <c r="B47" s="29">
        <v>0.2</v>
      </c>
      <c r="C47" s="25" t="s">
        <v>241</v>
      </c>
      <c r="E47" s="27">
        <f t="shared" ref="E47:F47" si="14">MAX((E43-E45-E46-E23*$J47)*$B47,0)</f>
        <v>0</v>
      </c>
      <c r="F47" s="27">
        <f t="shared" si="14"/>
        <v>0</v>
      </c>
      <c r="G47" s="27">
        <f>$B47*G9/5*G23*(1+5%)^4</f>
        <v>2297.3068125</v>
      </c>
      <c r="H47" s="27">
        <f>$B47*H9/5*H23*(1+5%)^4</f>
        <v>3216.2295374999994</v>
      </c>
      <c r="J47" s="29">
        <v>1.6</v>
      </c>
      <c r="K47" s="25" t="s">
        <v>242</v>
      </c>
    </row>
    <row r="48" spans="1:11" x14ac:dyDescent="0.2">
      <c r="E48" s="27"/>
      <c r="F48" s="27"/>
      <c r="G48" s="27"/>
      <c r="H48" s="27"/>
    </row>
    <row r="49" spans="1:8" x14ac:dyDescent="0.2">
      <c r="A49" s="25" t="s">
        <v>184</v>
      </c>
      <c r="E49" s="27">
        <f>E43-SUM(E45:E47)</f>
        <v>35516.536308966992</v>
      </c>
      <c r="F49" s="27">
        <f t="shared" ref="F49:H49" si="15">F43-SUM(F45:F47)</f>
        <v>79758</v>
      </c>
      <c r="G49" s="27">
        <f t="shared" si="15"/>
        <v>121762.29318750001</v>
      </c>
      <c r="H49" s="27">
        <f t="shared" si="15"/>
        <v>138564.01046249998</v>
      </c>
    </row>
    <row r="50" spans="1:8" x14ac:dyDescent="0.2">
      <c r="A50" s="25" t="s">
        <v>185</v>
      </c>
      <c r="E50" s="27">
        <f>E49-E10</f>
        <v>-64483.463691033008</v>
      </c>
      <c r="F50" s="27">
        <f>F49-F10</f>
        <v>-20242</v>
      </c>
      <c r="G50" s="27">
        <f>G49-G10</f>
        <v>21762.293187500007</v>
      </c>
      <c r="H50" s="27">
        <f>H49-H10</f>
        <v>38564.01046249998</v>
      </c>
    </row>
    <row r="51" spans="1:8" x14ac:dyDescent="0.2">
      <c r="A51" s="25" t="s">
        <v>186</v>
      </c>
      <c r="E51" s="27">
        <f>E50+E10*0.3</f>
        <v>-34483.463691033008</v>
      </c>
      <c r="F51" s="27">
        <f t="shared" ref="F51:H51" si="16">F50+F10*0.3</f>
        <v>9758</v>
      </c>
      <c r="G51" s="27">
        <f t="shared" si="16"/>
        <v>51762.293187500007</v>
      </c>
      <c r="H51" s="27">
        <f t="shared" si="16"/>
        <v>68564.01046249998</v>
      </c>
    </row>
    <row r="52" spans="1:8" x14ac:dyDescent="0.2">
      <c r="A52" s="25" t="s">
        <v>187</v>
      </c>
      <c r="E52" s="27">
        <f>E17+E21+E31+SUM(E39:E41)+SUM(E45:E47)</f>
        <v>17375.08154483496</v>
      </c>
      <c r="F52" s="27">
        <f t="shared" ref="F52:H52" si="17">F17+F21+F31+SUM(F39:F41)+SUM(F45:F47)</f>
        <v>19643.08154483496</v>
      </c>
      <c r="G52" s="27">
        <f t="shared" si="17"/>
        <v>24208.388357334959</v>
      </c>
      <c r="H52" s="27">
        <f t="shared" si="17"/>
        <v>26034.511082334961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Income</vt:lpstr>
      <vt:lpstr>Balance Sheet</vt:lpstr>
      <vt:lpstr>Balance Sheet Ord</vt:lpstr>
      <vt:lpstr>NAV</vt:lpstr>
      <vt:lpstr>Publish</vt:lpstr>
      <vt:lpstr>Portfolio</vt:lpstr>
      <vt:lpstr>Exits</vt:lpstr>
      <vt:lpstr>Fees</vt:lpstr>
      <vt:lpstr>NAV</vt:lpstr>
      <vt:lpstr>PercentInvested</vt:lpstr>
      <vt:lpstr>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Moretta</dc:creator>
  <cp:lastModifiedBy>Dr Brian Moretta FFA</cp:lastModifiedBy>
  <dcterms:created xsi:type="dcterms:W3CDTF">2022-09-28T15:59:00Z</dcterms:created>
  <dcterms:modified xsi:type="dcterms:W3CDTF">2022-12-23T12:05:52Z</dcterms:modified>
</cp:coreProperties>
</file>