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rdmanandco-my.sharepoint.com/personal/bm_hardmanandco_com/Documents/Tax Enhanced - VCTs/Aggregate stuff/"/>
    </mc:Choice>
  </mc:AlternateContent>
  <xr:revisionPtr revIDLastSave="2023" documentId="13_ncr:1_{1F29A8CF-35BB-473B-BE65-8F1AA07437AA}" xr6:coauthVersionLast="45" xr6:coauthVersionMax="46" xr10:uidLastSave="{135BFF0B-853F-1646-A021-5FD2D421DEA7}"/>
  <bookViews>
    <workbookView xWindow="11320" yWindow="460" windowWidth="26320" windowHeight="20920" tabRatio="856" xr2:uid="{6BD2F7D2-89DC-5F4E-8128-3429B084183D}"/>
  </bookViews>
  <sheets>
    <sheet name="AlbionDevelopment" sheetId="2" r:id="rId1"/>
    <sheet name="AlbionEnterprise" sheetId="6" r:id="rId2"/>
    <sheet name="AlbionTechGeneral" sheetId="7" r:id="rId3"/>
    <sheet name="AlbionVCT" sheetId="8" r:id="rId4"/>
    <sheet name="Crown" sheetId="16" r:id="rId5"/>
    <sheet name="KingsArm" sheetId="17" r:id="rId6"/>
    <sheet name="ALBION (2)" sheetId="20" r:id="rId7"/>
    <sheet name="Totals" sheetId="18" r:id="rId8"/>
    <sheet name="Amati" sheetId="1" r:id="rId9"/>
    <sheet name="Mobeus Income &amp; Growth 2" sheetId="3" r:id="rId10"/>
    <sheet name="Mobeus Income &amp; Growth 4" sheetId="9" r:id="rId11"/>
    <sheet name="Mobeus Income &amp; Growth" sheetId="10" r:id="rId12"/>
    <sheet name="Pembroke " sheetId="4" r:id="rId13"/>
    <sheet name="Pembroke B" sheetId="11" r:id="rId14"/>
    <sheet name="Maven Income &amp; Growth" sheetId="5" r:id="rId15"/>
    <sheet name="Maven Income &amp; Growth 4" sheetId="14" r:id="rId16"/>
    <sheet name="Maven Income &amp; Growth 3" sheetId="13" r:id="rId17"/>
    <sheet name="Maven Income &amp; Growth 5" sheetId="15" r:id="rId18"/>
    <sheet name="Calculus" sheetId="12" r:id="rId19"/>
    <sheet name="Blackfinch" sheetId="21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2" i="8" l="1"/>
  <c r="L42" i="6"/>
  <c r="H10" i="11" l="1"/>
  <c r="H9" i="11"/>
  <c r="H8" i="11"/>
  <c r="H7" i="11"/>
  <c r="H13" i="11" s="1"/>
  <c r="H12" i="11"/>
  <c r="A67" i="11" l="1"/>
  <c r="A68" i="11"/>
  <c r="A66" i="11"/>
  <c r="G69" i="11"/>
  <c r="F69" i="11"/>
  <c r="G66" i="11"/>
  <c r="G67" i="11"/>
  <c r="G68" i="11"/>
  <c r="F67" i="11"/>
  <c r="F68" i="11"/>
  <c r="F66" i="11"/>
  <c r="G12" i="11"/>
  <c r="G13" i="11"/>
  <c r="F6" i="11"/>
  <c r="G6" i="11"/>
  <c r="G30" i="11"/>
  <c r="B10" i="21" l="1"/>
  <c r="M27" i="21" l="1"/>
  <c r="M32" i="21" l="1"/>
  <c r="L32" i="21"/>
  <c r="L45" i="21"/>
  <c r="B45" i="21"/>
  <c r="L10" i="21"/>
  <c r="B27" i="21"/>
  <c r="G66" i="21"/>
  <c r="F66" i="21"/>
  <c r="E66" i="21"/>
  <c r="D66" i="21"/>
  <c r="C66" i="21"/>
  <c r="G65" i="21"/>
  <c r="F65" i="21"/>
  <c r="E65" i="21"/>
  <c r="D65" i="21"/>
  <c r="C65" i="21"/>
  <c r="G64" i="21"/>
  <c r="F64" i="21"/>
  <c r="E64" i="21"/>
  <c r="D64" i="21"/>
  <c r="C64" i="21"/>
  <c r="G63" i="21"/>
  <c r="C63" i="21"/>
  <c r="I55" i="21"/>
  <c r="I54" i="21"/>
  <c r="G45" i="21"/>
  <c r="F45" i="21"/>
  <c r="E45" i="21"/>
  <c r="D45" i="21"/>
  <c r="C45" i="21"/>
  <c r="L35" i="21"/>
  <c r="G35" i="21"/>
  <c r="F35" i="21"/>
  <c r="E35" i="21"/>
  <c r="D35" i="21"/>
  <c r="C35" i="21"/>
  <c r="L18" i="21"/>
  <c r="F63" i="21"/>
  <c r="E63" i="21"/>
  <c r="D63" i="21"/>
  <c r="L17" i="21"/>
  <c r="G62" i="21"/>
  <c r="F62" i="21"/>
  <c r="E62" i="21"/>
  <c r="D62" i="21"/>
  <c r="C62" i="21"/>
  <c r="L36" i="21" l="1"/>
  <c r="H36" i="21"/>
  <c r="H14" i="6"/>
  <c r="H15" i="6"/>
  <c r="G63" i="17"/>
  <c r="F63" i="17"/>
  <c r="E63" i="17"/>
  <c r="D63" i="17"/>
  <c r="C63" i="17"/>
  <c r="G62" i="17"/>
  <c r="F62" i="17"/>
  <c r="E62" i="17"/>
  <c r="D62" i="17"/>
  <c r="C62" i="17"/>
  <c r="G61" i="17"/>
  <c r="F61" i="17"/>
  <c r="E61" i="17"/>
  <c r="D61" i="17"/>
  <c r="C61" i="17"/>
  <c r="G60" i="17"/>
  <c r="F60" i="17"/>
  <c r="E60" i="17"/>
  <c r="D60" i="17"/>
  <c r="C60" i="17"/>
  <c r="G59" i="17"/>
  <c r="F59" i="17"/>
  <c r="E59" i="17"/>
  <c r="D59" i="17"/>
  <c r="C59" i="17"/>
  <c r="G63" i="2"/>
  <c r="F63" i="2"/>
  <c r="E63" i="2"/>
  <c r="D63" i="2"/>
  <c r="C63" i="2"/>
  <c r="G62" i="2"/>
  <c r="F62" i="2"/>
  <c r="E62" i="2"/>
  <c r="D62" i="2"/>
  <c r="C62" i="2"/>
  <c r="G61" i="2"/>
  <c r="F61" i="2"/>
  <c r="E61" i="2"/>
  <c r="D61" i="2"/>
  <c r="C61" i="2"/>
  <c r="G60" i="2"/>
  <c r="F60" i="2"/>
  <c r="E60" i="2"/>
  <c r="D60" i="2"/>
  <c r="C60" i="2"/>
  <c r="G59" i="2"/>
  <c r="F59" i="2"/>
  <c r="E59" i="2"/>
  <c r="D59" i="2"/>
  <c r="C59" i="2"/>
  <c r="G63" i="16"/>
  <c r="F63" i="16"/>
  <c r="E63" i="16"/>
  <c r="D63" i="16"/>
  <c r="C63" i="16"/>
  <c r="G62" i="16"/>
  <c r="F62" i="16"/>
  <c r="E62" i="16"/>
  <c r="D62" i="16"/>
  <c r="C62" i="16"/>
  <c r="G61" i="16"/>
  <c r="F61" i="16"/>
  <c r="E61" i="16"/>
  <c r="D61" i="16"/>
  <c r="C61" i="16"/>
  <c r="G60" i="16"/>
  <c r="F60" i="16"/>
  <c r="E60" i="16"/>
  <c r="D60" i="16"/>
  <c r="C60" i="16"/>
  <c r="G59" i="16"/>
  <c r="F59" i="16"/>
  <c r="E59" i="16"/>
  <c r="D59" i="16"/>
  <c r="C59" i="16"/>
  <c r="G63" i="8"/>
  <c r="F63" i="8"/>
  <c r="E63" i="8"/>
  <c r="D63" i="8"/>
  <c r="C63" i="8"/>
  <c r="G62" i="8"/>
  <c r="F62" i="8"/>
  <c r="E62" i="8"/>
  <c r="D62" i="8"/>
  <c r="C62" i="8"/>
  <c r="G61" i="8"/>
  <c r="F61" i="8"/>
  <c r="E61" i="8"/>
  <c r="D61" i="8"/>
  <c r="C61" i="8"/>
  <c r="G60" i="8"/>
  <c r="F60" i="8"/>
  <c r="E60" i="8"/>
  <c r="D60" i="8"/>
  <c r="C60" i="8"/>
  <c r="G59" i="8"/>
  <c r="F59" i="8"/>
  <c r="E59" i="8"/>
  <c r="D59" i="8"/>
  <c r="C59" i="8"/>
  <c r="G63" i="7"/>
  <c r="F63" i="7"/>
  <c r="E63" i="7"/>
  <c r="D63" i="7"/>
  <c r="C63" i="7"/>
  <c r="G62" i="7"/>
  <c r="F62" i="7"/>
  <c r="E62" i="7"/>
  <c r="D62" i="7"/>
  <c r="C62" i="7"/>
  <c r="G61" i="7"/>
  <c r="F61" i="7"/>
  <c r="E61" i="7"/>
  <c r="D61" i="7"/>
  <c r="C61" i="7"/>
  <c r="G60" i="7"/>
  <c r="F60" i="7"/>
  <c r="E60" i="7"/>
  <c r="D60" i="7"/>
  <c r="C60" i="7"/>
  <c r="G59" i="7"/>
  <c r="F59" i="7"/>
  <c r="E59" i="7"/>
  <c r="D59" i="7"/>
  <c r="C59" i="7"/>
  <c r="D59" i="6"/>
  <c r="E59" i="6"/>
  <c r="F59" i="6"/>
  <c r="G59" i="6"/>
  <c r="D60" i="6"/>
  <c r="E60" i="6"/>
  <c r="F60" i="6"/>
  <c r="G60" i="6"/>
  <c r="D61" i="6"/>
  <c r="E61" i="6"/>
  <c r="F61" i="6"/>
  <c r="G61" i="6"/>
  <c r="D62" i="6"/>
  <c r="E62" i="6"/>
  <c r="F62" i="6"/>
  <c r="G62" i="6"/>
  <c r="D63" i="6"/>
  <c r="E63" i="6"/>
  <c r="F63" i="6"/>
  <c r="G63" i="6"/>
  <c r="C60" i="6"/>
  <c r="C59" i="6"/>
  <c r="C63" i="6"/>
  <c r="C62" i="6"/>
  <c r="C61" i="6"/>
  <c r="G14" i="6"/>
  <c r="G15" i="6"/>
  <c r="L32" i="17"/>
  <c r="L32" i="7"/>
  <c r="L33" i="7" s="1"/>
  <c r="B36" i="18" a="1"/>
  <c r="E35" i="18" a="1"/>
  <c r="B35" i="18" a="1"/>
  <c r="E36" i="18" a="1"/>
  <c r="C37" i="18" a="1"/>
  <c r="F36" i="18" a="1"/>
  <c r="F35" i="18" a="1"/>
  <c r="G39" i="18" a="1"/>
  <c r="D37" i="18" a="1"/>
  <c r="D36" i="18" a="1"/>
  <c r="D35" i="18" a="1"/>
  <c r="C35" i="18" a="1"/>
  <c r="E39" i="18" a="1"/>
  <c r="E37" i="18" a="1"/>
  <c r="G35" i="18" a="1"/>
  <c r="F39" i="18" a="1"/>
  <c r="B37" i="18" a="1"/>
  <c r="C39" i="18" a="1"/>
  <c r="G36" i="18" a="1"/>
  <c r="F37" i="18" a="1"/>
  <c r="B39" i="18" a="1"/>
  <c r="G37" i="18" a="1"/>
  <c r="D39" i="18" a="1"/>
  <c r="C36" i="18" a="1"/>
  <c r="G37" i="18" l="1"/>
  <c r="G39" i="18"/>
  <c r="G36" i="18"/>
  <c r="D37" i="18"/>
  <c r="D39" i="18"/>
  <c r="D36" i="18"/>
  <c r="D35" i="18"/>
  <c r="G35" i="18"/>
  <c r="F39" i="18"/>
  <c r="F37" i="18"/>
  <c r="C37" i="18"/>
  <c r="C39" i="18"/>
  <c r="E39" i="18"/>
  <c r="B39" i="18"/>
  <c r="E37" i="18"/>
  <c r="B37" i="18"/>
  <c r="C36" i="18"/>
  <c r="F36" i="18"/>
  <c r="E36" i="18"/>
  <c r="B36" i="18"/>
  <c r="B35" i="18"/>
  <c r="E35" i="18"/>
  <c r="F35" i="18"/>
  <c r="C35" i="18"/>
  <c r="L33" i="2"/>
  <c r="L32" i="2"/>
  <c r="L43" i="17" l="1"/>
  <c r="L52" i="17" s="1"/>
  <c r="L29" i="17"/>
  <c r="G42" i="17"/>
  <c r="G29" i="17"/>
  <c r="G14" i="17"/>
  <c r="G15" i="17"/>
  <c r="H11" i="17"/>
  <c r="G32" i="17"/>
  <c r="H10" i="17"/>
  <c r="H9" i="17"/>
  <c r="H15" i="17" s="1"/>
  <c r="H7" i="17"/>
  <c r="H14" i="17" s="1"/>
  <c r="H12" i="17"/>
  <c r="G52" i="16"/>
  <c r="G51" i="16"/>
  <c r="F42" i="16"/>
  <c r="G42" i="16"/>
  <c r="G38" i="16"/>
  <c r="G14" i="16"/>
  <c r="H14" i="16"/>
  <c r="G15" i="16"/>
  <c r="H15" i="16"/>
  <c r="H11" i="16"/>
  <c r="G29" i="16"/>
  <c r="H10" i="16"/>
  <c r="H9" i="16"/>
  <c r="H7" i="16"/>
  <c r="H12" i="8"/>
  <c r="F24" i="16"/>
  <c r="E24" i="16"/>
  <c r="D24" i="16"/>
  <c r="C24" i="16"/>
  <c r="B24" i="16"/>
  <c r="F15" i="16"/>
  <c r="E15" i="16"/>
  <c r="D15" i="16"/>
  <c r="C15" i="16"/>
  <c r="B15" i="16"/>
  <c r="F14" i="16"/>
  <c r="E14" i="16"/>
  <c r="D14" i="16"/>
  <c r="C14" i="16"/>
  <c r="B14" i="16"/>
  <c r="D3" i="16"/>
  <c r="C3" i="16" s="1"/>
  <c r="B3" i="16" s="1"/>
  <c r="N40" i="8"/>
  <c r="G32" i="8"/>
  <c r="G42" i="8"/>
  <c r="F42" i="8"/>
  <c r="G14" i="8"/>
  <c r="G15" i="8"/>
  <c r="H11" i="8"/>
  <c r="G29" i="8"/>
  <c r="H10" i="8"/>
  <c r="H9" i="8"/>
  <c r="H15" i="8" s="1"/>
  <c r="H7" i="8"/>
  <c r="H14" i="8" s="1"/>
  <c r="L51" i="17" l="1"/>
  <c r="L52" i="7"/>
  <c r="L51" i="7"/>
  <c r="L29" i="7"/>
  <c r="L15" i="7"/>
  <c r="L14" i="7"/>
  <c r="F42" i="7"/>
  <c r="G42" i="7"/>
  <c r="H33" i="7"/>
  <c r="G32" i="7"/>
  <c r="F38" i="7"/>
  <c r="G14" i="7"/>
  <c r="H14" i="7"/>
  <c r="G15" i="7"/>
  <c r="H15" i="7"/>
  <c r="H11" i="7"/>
  <c r="H10" i="7"/>
  <c r="H9" i="7"/>
  <c r="H7" i="7"/>
  <c r="H12" i="7"/>
  <c r="I52" i="2"/>
  <c r="I51" i="2"/>
  <c r="H52" i="6"/>
  <c r="H51" i="6"/>
  <c r="H33" i="2"/>
  <c r="H33" i="6"/>
  <c r="G32" i="6"/>
  <c r="G42" i="6"/>
  <c r="H11" i="6"/>
  <c r="F29" i="6"/>
  <c r="G29" i="6"/>
  <c r="H10" i="6"/>
  <c r="H9" i="6"/>
  <c r="H7" i="6"/>
  <c r="H12" i="6"/>
  <c r="L52" i="2"/>
  <c r="L51" i="2"/>
  <c r="L15" i="2"/>
  <c r="L14" i="2"/>
  <c r="C42" i="2"/>
  <c r="D42" i="2"/>
  <c r="E42" i="2"/>
  <c r="F42" i="2"/>
  <c r="G42" i="2"/>
  <c r="G32" i="2"/>
  <c r="G15" i="2"/>
  <c r="G14" i="2"/>
  <c r="H11" i="2"/>
  <c r="H14" i="2" s="1"/>
  <c r="H10" i="2"/>
  <c r="H9" i="2"/>
  <c r="H7" i="2"/>
  <c r="H12" i="2"/>
  <c r="H7" i="15"/>
  <c r="H15" i="2" l="1"/>
  <c r="H93" i="12"/>
  <c r="E93" i="12"/>
  <c r="F93" i="12"/>
  <c r="G93" i="12"/>
  <c r="D93" i="12"/>
  <c r="H92" i="12"/>
  <c r="H91" i="12"/>
  <c r="H90" i="12"/>
  <c r="H89" i="12"/>
  <c r="H88" i="12"/>
  <c r="L53" i="12"/>
  <c r="L52" i="12"/>
  <c r="L54" i="12"/>
  <c r="L48" i="12"/>
  <c r="L45" i="12"/>
  <c r="L47" i="12" s="1"/>
  <c r="L44" i="12"/>
  <c r="L43" i="12"/>
  <c r="L20" i="12"/>
  <c r="L41" i="12"/>
  <c r="L46" i="12" l="1"/>
  <c r="G72" i="12"/>
  <c r="G79" i="12"/>
  <c r="G80" i="12"/>
  <c r="G81" i="12"/>
  <c r="G82" i="12"/>
  <c r="D51" i="12"/>
  <c r="E51" i="12"/>
  <c r="F51" i="12"/>
  <c r="D50" i="12"/>
  <c r="D54" i="12" s="1"/>
  <c r="E50" i="12"/>
  <c r="G50" i="12"/>
  <c r="F50" i="12"/>
  <c r="G59" i="12"/>
  <c r="G53" i="12"/>
  <c r="G52" i="12"/>
  <c r="G63" i="12"/>
  <c r="G71" i="12"/>
  <c r="G73" i="12"/>
  <c r="G83" i="12"/>
  <c r="G43" i="12"/>
  <c r="G46" i="12"/>
  <c r="G47" i="12"/>
  <c r="G48" i="12"/>
  <c r="G45" i="12"/>
  <c r="G44" i="12"/>
  <c r="G41" i="12"/>
  <c r="H67" i="12"/>
  <c r="G60" i="12"/>
  <c r="G62" i="12" s="1"/>
  <c r="C60" i="12"/>
  <c r="F59" i="12"/>
  <c r="F63" i="12" s="1"/>
  <c r="E59" i="12"/>
  <c r="E63" i="12" s="1"/>
  <c r="D59" i="12"/>
  <c r="D63" i="12" s="1"/>
  <c r="C59" i="12"/>
  <c r="C62" i="12" s="1"/>
  <c r="B59" i="12"/>
  <c r="B63" i="12" s="1"/>
  <c r="C54" i="12"/>
  <c r="F53" i="12"/>
  <c r="F60" i="12" s="1"/>
  <c r="F64" i="12" s="1"/>
  <c r="F66" i="12" s="1"/>
  <c r="E53" i="12"/>
  <c r="E60" i="12" s="1"/>
  <c r="D53" i="12"/>
  <c r="D60" i="12" s="1"/>
  <c r="D64" i="12" s="1"/>
  <c r="D66" i="12" s="1"/>
  <c r="C53" i="12"/>
  <c r="B53" i="12"/>
  <c r="B60" i="12" s="1"/>
  <c r="B64" i="12" s="1"/>
  <c r="B66" i="12" s="1"/>
  <c r="F52" i="12"/>
  <c r="F54" i="12" s="1"/>
  <c r="E52" i="12"/>
  <c r="D52" i="12"/>
  <c r="C52" i="12"/>
  <c r="B52" i="12"/>
  <c r="B54" i="12"/>
  <c r="F48" i="12"/>
  <c r="D48" i="12"/>
  <c r="C48" i="12"/>
  <c r="B48" i="12"/>
  <c r="F46" i="12"/>
  <c r="F45" i="12"/>
  <c r="E45" i="12"/>
  <c r="E47" i="12" s="1"/>
  <c r="D45" i="12"/>
  <c r="D46" i="12" s="1"/>
  <c r="C45" i="12"/>
  <c r="B45" i="12"/>
  <c r="F44" i="12"/>
  <c r="E44" i="12"/>
  <c r="D44" i="12"/>
  <c r="C44" i="12"/>
  <c r="B44" i="12"/>
  <c r="H44" i="12" s="1"/>
  <c r="H43" i="12"/>
  <c r="F47" i="12"/>
  <c r="D47" i="12"/>
  <c r="C47" i="12"/>
  <c r="B47" i="12"/>
  <c r="C46" i="12"/>
  <c r="H42" i="12"/>
  <c r="F41" i="12"/>
  <c r="E41" i="12"/>
  <c r="D41" i="12"/>
  <c r="C41" i="12"/>
  <c r="B41" i="12"/>
  <c r="G28" i="12"/>
  <c r="G87" i="12"/>
  <c r="G88" i="12"/>
  <c r="G89" i="12"/>
  <c r="G90" i="12"/>
  <c r="G91" i="12"/>
  <c r="G92" i="12"/>
  <c r="G11" i="12"/>
  <c r="G10" i="12"/>
  <c r="H8" i="12"/>
  <c r="H7" i="12"/>
  <c r="H6" i="12"/>
  <c r="H5" i="12"/>
  <c r="H4" i="12"/>
  <c r="G51" i="12" l="1"/>
  <c r="G54" i="12"/>
  <c r="H54" i="12" s="1"/>
  <c r="H45" i="12"/>
  <c r="H47" i="12"/>
  <c r="E46" i="12"/>
  <c r="H46" i="12"/>
  <c r="H48" i="12"/>
  <c r="E54" i="12"/>
  <c r="C64" i="12"/>
  <c r="C66" i="12" s="1"/>
  <c r="G64" i="12"/>
  <c r="G66" i="12" s="1"/>
  <c r="E64" i="12"/>
  <c r="E66" i="12" s="1"/>
  <c r="E62" i="12"/>
  <c r="D62" i="12"/>
  <c r="C63" i="12"/>
  <c r="B46" i="12"/>
  <c r="B62" i="12"/>
  <c r="F62" i="12"/>
  <c r="D93" i="20"/>
  <c r="E93" i="20"/>
  <c r="D94" i="20"/>
  <c r="E94" i="20"/>
  <c r="C94" i="20"/>
  <c r="C93" i="20"/>
  <c r="D85" i="20"/>
  <c r="E85" i="20"/>
  <c r="F85" i="20"/>
  <c r="D86" i="20"/>
  <c r="E86" i="20"/>
  <c r="F86" i="20"/>
  <c r="D87" i="20"/>
  <c r="E87" i="20"/>
  <c r="F87" i="20"/>
  <c r="C87" i="20"/>
  <c r="C86" i="20"/>
  <c r="C85" i="20"/>
  <c r="D78" i="20"/>
  <c r="E78" i="20"/>
  <c r="D79" i="20"/>
  <c r="E79" i="20"/>
  <c r="D80" i="20"/>
  <c r="E80" i="20"/>
  <c r="C80" i="20"/>
  <c r="C79" i="20"/>
  <c r="C78" i="20"/>
  <c r="D71" i="20"/>
  <c r="E71" i="20"/>
  <c r="F71" i="20"/>
  <c r="D72" i="20"/>
  <c r="E72" i="20"/>
  <c r="F72" i="20"/>
  <c r="D73" i="20"/>
  <c r="E73" i="20"/>
  <c r="F73" i="20"/>
  <c r="C73" i="20"/>
  <c r="C72" i="20"/>
  <c r="C71" i="20"/>
  <c r="D66" i="20"/>
  <c r="E66" i="20"/>
  <c r="C66" i="20"/>
  <c r="D65" i="20"/>
  <c r="E65" i="20"/>
  <c r="C65" i="20"/>
  <c r="D64" i="20"/>
  <c r="E64" i="20"/>
  <c r="F64" i="20"/>
  <c r="C64" i="20"/>
  <c r="H27" i="15"/>
  <c r="H66" i="12" l="1"/>
  <c r="I66" i="12" s="1"/>
  <c r="H67" i="5"/>
  <c r="H70" i="15"/>
  <c r="H54" i="5"/>
  <c r="C66" i="5"/>
  <c r="D66" i="5"/>
  <c r="E66" i="5"/>
  <c r="F66" i="5"/>
  <c r="G66" i="5"/>
  <c r="B66" i="5"/>
  <c r="H66" i="5" s="1"/>
  <c r="B64" i="5"/>
  <c r="C64" i="5"/>
  <c r="D64" i="5"/>
  <c r="E64" i="5"/>
  <c r="F64" i="5"/>
  <c r="G64" i="5"/>
  <c r="B54" i="15"/>
  <c r="B53" i="15"/>
  <c r="B46" i="15"/>
  <c r="B45" i="15"/>
  <c r="E95" i="20"/>
  <c r="D95" i="20"/>
  <c r="C95" i="20"/>
  <c r="D88" i="20"/>
  <c r="D89" i="20" s="1"/>
  <c r="C88" i="20"/>
  <c r="C89" i="20" s="1"/>
  <c r="D81" i="20"/>
  <c r="D82" i="20" s="1"/>
  <c r="E81" i="20"/>
  <c r="E82" i="20" s="1"/>
  <c r="F74" i="20"/>
  <c r="F75" i="20" s="1"/>
  <c r="C74" i="20"/>
  <c r="C75" i="20" s="1"/>
  <c r="D67" i="20"/>
  <c r="D68" i="20" s="1"/>
  <c r="E67" i="20"/>
  <c r="E68" i="20" s="1"/>
  <c r="G23" i="20"/>
  <c r="F23" i="20"/>
  <c r="E23" i="20"/>
  <c r="D23" i="20"/>
  <c r="C23" i="20"/>
  <c r="B23" i="20"/>
  <c r="B4" i="20"/>
  <c r="G32" i="16"/>
  <c r="H64" i="12" l="1"/>
  <c r="C67" i="20"/>
  <c r="C68" i="20" s="1"/>
  <c r="C81" i="20"/>
  <c r="C82" i="20" s="1"/>
  <c r="E74" i="20"/>
  <c r="E75" i="20" s="1"/>
  <c r="E88" i="20"/>
  <c r="E89" i="20" s="1"/>
  <c r="D74" i="20"/>
  <c r="D75" i="20" s="1"/>
  <c r="F88" i="20"/>
  <c r="F89" i="20" s="1"/>
  <c r="I66" i="5"/>
  <c r="H64" i="5"/>
  <c r="H43" i="5"/>
  <c r="H44" i="5"/>
  <c r="G63" i="15"/>
  <c r="G57" i="15"/>
  <c r="F46" i="15"/>
  <c r="F50" i="15" s="1"/>
  <c r="E46" i="15"/>
  <c r="D46" i="15"/>
  <c r="C46" i="15"/>
  <c r="C45" i="15"/>
  <c r="H45" i="15" s="1"/>
  <c r="C62" i="15"/>
  <c r="C66" i="15" s="1"/>
  <c r="D62" i="15"/>
  <c r="D66" i="15" s="1"/>
  <c r="E62" i="15"/>
  <c r="E66" i="15" s="1"/>
  <c r="F62" i="15"/>
  <c r="C55" i="15"/>
  <c r="D55" i="15"/>
  <c r="E55" i="15"/>
  <c r="F55" i="15"/>
  <c r="F57" i="15" s="1"/>
  <c r="C56" i="15"/>
  <c r="C63" i="15" s="1"/>
  <c r="D56" i="15"/>
  <c r="D63" i="15" s="1"/>
  <c r="E56" i="15"/>
  <c r="E63" i="15" s="1"/>
  <c r="F56" i="15"/>
  <c r="F63" i="15" s="1"/>
  <c r="C57" i="15"/>
  <c r="D57" i="15"/>
  <c r="E57" i="15"/>
  <c r="C47" i="15"/>
  <c r="D47" i="15"/>
  <c r="E47" i="15"/>
  <c r="F47" i="15"/>
  <c r="C48" i="15"/>
  <c r="D48" i="15"/>
  <c r="D49" i="15" s="1"/>
  <c r="E48" i="15"/>
  <c r="E49" i="15" s="1"/>
  <c r="F48" i="15"/>
  <c r="F49" i="15" s="1"/>
  <c r="F44" i="15"/>
  <c r="C46" i="5"/>
  <c r="D46" i="5"/>
  <c r="B62" i="15"/>
  <c r="B66" i="15" s="1"/>
  <c r="B47" i="15"/>
  <c r="B48" i="15"/>
  <c r="B49" i="15" s="1"/>
  <c r="B55" i="15"/>
  <c r="B57" i="15" s="1"/>
  <c r="B56" i="15"/>
  <c r="B63" i="15" s="1"/>
  <c r="G51" i="5"/>
  <c r="G54" i="5"/>
  <c r="B43" i="5"/>
  <c r="B47" i="5" s="1"/>
  <c r="D43" i="5"/>
  <c r="F43" i="5"/>
  <c r="G43" i="5"/>
  <c r="G53" i="5"/>
  <c r="G60" i="5" s="1"/>
  <c r="F51" i="5"/>
  <c r="D47" i="5"/>
  <c r="C51" i="5"/>
  <c r="C43" i="5"/>
  <c r="C47" i="5" s="1"/>
  <c r="B42" i="5"/>
  <c r="H42" i="5" s="1"/>
  <c r="C42" i="5"/>
  <c r="C63" i="5"/>
  <c r="D63" i="5"/>
  <c r="E63" i="5"/>
  <c r="B63" i="5"/>
  <c r="F60" i="5"/>
  <c r="B60" i="5"/>
  <c r="B62" i="5" s="1"/>
  <c r="C59" i="5"/>
  <c r="D59" i="5"/>
  <c r="E59" i="5"/>
  <c r="F59" i="5"/>
  <c r="F62" i="5" s="1"/>
  <c r="B59" i="5"/>
  <c r="C54" i="5"/>
  <c r="D54" i="5"/>
  <c r="E54" i="5"/>
  <c r="C52" i="5"/>
  <c r="D52" i="5"/>
  <c r="E52" i="5"/>
  <c r="F52" i="5"/>
  <c r="F54" i="5" s="1"/>
  <c r="C53" i="5"/>
  <c r="C60" i="5" s="1"/>
  <c r="C62" i="5" s="1"/>
  <c r="D53" i="5"/>
  <c r="D60" i="5" s="1"/>
  <c r="D62" i="5" s="1"/>
  <c r="E53" i="5"/>
  <c r="E60" i="5" s="1"/>
  <c r="F53" i="5"/>
  <c r="B52" i="5"/>
  <c r="B53" i="5"/>
  <c r="D48" i="5"/>
  <c r="E48" i="5"/>
  <c r="F48" i="5"/>
  <c r="D44" i="5"/>
  <c r="E44" i="5"/>
  <c r="F44" i="5"/>
  <c r="D45" i="5"/>
  <c r="E45" i="5"/>
  <c r="E47" i="5" s="1"/>
  <c r="F45" i="5"/>
  <c r="F47" i="5" s="1"/>
  <c r="C41" i="5"/>
  <c r="D41" i="5"/>
  <c r="E41" i="5"/>
  <c r="F41" i="5"/>
  <c r="B41" i="5"/>
  <c r="C48" i="5"/>
  <c r="C45" i="5"/>
  <c r="C44" i="5"/>
  <c r="B51" i="5"/>
  <c r="B50" i="5"/>
  <c r="B54" i="5" s="1"/>
  <c r="B48" i="5"/>
  <c r="B45" i="5"/>
  <c r="H45" i="5" s="1"/>
  <c r="B44" i="5"/>
  <c r="H47" i="15" l="1"/>
  <c r="C50" i="15"/>
  <c r="E67" i="15"/>
  <c r="E69" i="15" s="1"/>
  <c r="F65" i="15"/>
  <c r="H57" i="15"/>
  <c r="B65" i="15"/>
  <c r="B67" i="15"/>
  <c r="B69" i="15" s="1"/>
  <c r="D65" i="15"/>
  <c r="D67" i="15"/>
  <c r="D69" i="15" s="1"/>
  <c r="B50" i="15"/>
  <c r="H48" i="15"/>
  <c r="H49" i="15" s="1"/>
  <c r="F67" i="15"/>
  <c r="F69" i="15" s="1"/>
  <c r="E50" i="15"/>
  <c r="H46" i="15"/>
  <c r="C49" i="15"/>
  <c r="C67" i="15"/>
  <c r="C69" i="15" s="1"/>
  <c r="E65" i="15"/>
  <c r="D50" i="15"/>
  <c r="G67" i="15"/>
  <c r="G69" i="15" s="1"/>
  <c r="E62" i="5"/>
  <c r="H48" i="5"/>
  <c r="C65" i="15"/>
  <c r="H46" i="5"/>
  <c r="H47" i="5"/>
  <c r="B46" i="5"/>
  <c r="F46" i="5"/>
  <c r="F63" i="5"/>
  <c r="E46" i="5"/>
  <c r="F66" i="15"/>
  <c r="H50" i="15" l="1"/>
  <c r="H69" i="15"/>
  <c r="H51" i="15"/>
  <c r="C57" i="11"/>
  <c r="D57" i="11"/>
  <c r="E57" i="11"/>
  <c r="F57" i="11"/>
  <c r="C58" i="11"/>
  <c r="D58" i="11"/>
  <c r="E58" i="11"/>
  <c r="F58" i="11"/>
  <c r="B58" i="11"/>
  <c r="B57" i="11"/>
  <c r="B36" i="11"/>
  <c r="B39" i="11"/>
  <c r="B40" i="11" s="1"/>
  <c r="C36" i="11"/>
  <c r="C39" i="11"/>
  <c r="C40" i="11" s="1"/>
  <c r="D39" i="11"/>
  <c r="D40" i="11" s="1"/>
  <c r="D36" i="11"/>
  <c r="E39" i="11"/>
  <c r="E40" i="11" s="1"/>
  <c r="E36" i="11"/>
  <c r="H67" i="15" l="1"/>
  <c r="I69" i="15"/>
  <c r="D92" i="12"/>
  <c r="E92" i="12"/>
  <c r="F92" i="12"/>
  <c r="C91" i="12"/>
  <c r="D91" i="12"/>
  <c r="E91" i="12"/>
  <c r="F91" i="12"/>
  <c r="B91" i="12"/>
  <c r="C88" i="12"/>
  <c r="D88" i="12"/>
  <c r="E88" i="12"/>
  <c r="F88" i="12"/>
  <c r="C89" i="12"/>
  <c r="D89" i="12"/>
  <c r="E89" i="12"/>
  <c r="F89" i="12"/>
  <c r="C90" i="12"/>
  <c r="D90" i="12"/>
  <c r="E90" i="12"/>
  <c r="F90" i="12"/>
  <c r="B89" i="12"/>
  <c r="B90" i="12"/>
  <c r="B88" i="12"/>
  <c r="A92" i="12"/>
  <c r="A90" i="12"/>
  <c r="D87" i="12"/>
  <c r="E87" i="12"/>
  <c r="F87" i="12"/>
  <c r="E71" i="12" l="1"/>
  <c r="F71" i="12"/>
  <c r="D71" i="12"/>
  <c r="D79" i="12"/>
  <c r="D80" i="12"/>
  <c r="D81" i="12"/>
  <c r="D82" i="12"/>
  <c r="D83" i="12"/>
  <c r="E79" i="12"/>
  <c r="E80" i="12"/>
  <c r="E81" i="12"/>
  <c r="E82" i="12"/>
  <c r="E83" i="12"/>
  <c r="F80" i="12"/>
  <c r="F81" i="12"/>
  <c r="F82" i="12"/>
  <c r="F83" i="12"/>
  <c r="F79" i="12"/>
  <c r="A80" i="12"/>
  <c r="A81" i="12"/>
  <c r="A82" i="12"/>
  <c r="A83" i="12"/>
  <c r="A79" i="12"/>
  <c r="G35" i="12"/>
  <c r="G36" i="12"/>
  <c r="G34" i="12"/>
  <c r="F38" i="12"/>
  <c r="O5" i="18" l="1"/>
  <c r="E5" i="18" s="1"/>
  <c r="O6" i="18"/>
  <c r="E6" i="18" s="1"/>
  <c r="O7" i="18"/>
  <c r="E7" i="18" s="1"/>
  <c r="O8" i="18"/>
  <c r="E20" i="18" l="1"/>
  <c r="E18" i="18"/>
  <c r="E17" i="18"/>
  <c r="E16" i="18"/>
  <c r="E15" i="18"/>
  <c r="H31" i="18" l="1"/>
  <c r="G29" i="18"/>
  <c r="M27" i="18"/>
  <c r="C27" i="18" s="1"/>
  <c r="N27" i="18"/>
  <c r="D27" i="18" s="1"/>
  <c r="O27" i="18"/>
  <c r="E27" i="18" s="1"/>
  <c r="M28" i="18"/>
  <c r="C28" i="18" s="1"/>
  <c r="N28" i="18"/>
  <c r="D28" i="18" s="1"/>
  <c r="O28" i="18"/>
  <c r="E28" i="18" s="1"/>
  <c r="M29" i="18"/>
  <c r="N29" i="18"/>
  <c r="O29" i="18"/>
  <c r="M30" i="18"/>
  <c r="C30" i="18" s="1"/>
  <c r="N30" i="18"/>
  <c r="D30" i="18" s="1"/>
  <c r="O26" i="18"/>
  <c r="E26" i="18" s="1"/>
  <c r="N26" i="18"/>
  <c r="D26" i="18" s="1"/>
  <c r="M26" i="18"/>
  <c r="C26" i="18" s="1"/>
  <c r="L27" i="18"/>
  <c r="B27" i="18" s="1"/>
  <c r="L28" i="18"/>
  <c r="B28" i="18" s="1"/>
  <c r="L29" i="18"/>
  <c r="L30" i="18"/>
  <c r="B30" i="18" s="1"/>
  <c r="L26" i="18"/>
  <c r="B26" i="18" s="1"/>
  <c r="N16" i="18"/>
  <c r="D16" i="18" s="1"/>
  <c r="N17" i="18"/>
  <c r="D17" i="18" s="1"/>
  <c r="N18" i="18"/>
  <c r="D18" i="18" s="1"/>
  <c r="N19" i="18"/>
  <c r="N20" i="18"/>
  <c r="D20" i="18" s="1"/>
  <c r="M16" i="18"/>
  <c r="C16" i="18" s="1"/>
  <c r="M17" i="18"/>
  <c r="C17" i="18" s="1"/>
  <c r="M18" i="18"/>
  <c r="C18" i="18" s="1"/>
  <c r="M19" i="18"/>
  <c r="M20" i="18"/>
  <c r="C20" i="18" s="1"/>
  <c r="M15" i="18"/>
  <c r="C15" i="18" s="1"/>
  <c r="L16" i="18"/>
  <c r="B16" i="18" s="1"/>
  <c r="L17" i="18"/>
  <c r="B17" i="18" s="1"/>
  <c r="L18" i="18"/>
  <c r="B18" i="18" s="1"/>
  <c r="L19" i="18"/>
  <c r="L20" i="18"/>
  <c r="B20" i="18" s="1"/>
  <c r="L15" i="18"/>
  <c r="B15" i="18" s="1"/>
  <c r="N15" i="18"/>
  <c r="D15" i="18" s="1"/>
  <c r="M9" i="18"/>
  <c r="C9" i="18" s="1"/>
  <c r="L6" i="18"/>
  <c r="M6" i="18"/>
  <c r="C6" i="18" s="1"/>
  <c r="N6" i="18"/>
  <c r="D6" i="18" s="1"/>
  <c r="P6" i="18"/>
  <c r="F6" i="18" s="1"/>
  <c r="Q6" i="18"/>
  <c r="G6" i="18" s="1"/>
  <c r="L7" i="18"/>
  <c r="B7" i="18" s="1"/>
  <c r="M7" i="18"/>
  <c r="C7" i="18" s="1"/>
  <c r="N7" i="18"/>
  <c r="D7" i="18" s="1"/>
  <c r="P7" i="18"/>
  <c r="F7" i="18" s="1"/>
  <c r="Q7" i="18"/>
  <c r="G7" i="18" s="1"/>
  <c r="L8" i="18"/>
  <c r="M8" i="18"/>
  <c r="N8" i="18"/>
  <c r="P8" i="18"/>
  <c r="Q8" i="18"/>
  <c r="Q5" i="18"/>
  <c r="G5" i="18" s="1"/>
  <c r="P5" i="18"/>
  <c r="F5" i="18" s="1"/>
  <c r="M5" i="18"/>
  <c r="C5" i="18" s="1"/>
  <c r="N5" i="18"/>
  <c r="D5" i="18" s="1"/>
  <c r="L5" i="18"/>
  <c r="B5" i="18" s="1"/>
  <c r="S18" i="18" l="1"/>
  <c r="F18" i="18" s="1"/>
  <c r="S29" i="18"/>
  <c r="S15" i="18"/>
  <c r="F15" i="18" s="1"/>
  <c r="S20" i="18"/>
  <c r="S16" i="18"/>
  <c r="F16" i="18" s="1"/>
  <c r="S17" i="18"/>
  <c r="F17" i="18" s="1"/>
  <c r="S19" i="18"/>
  <c r="S27" i="18"/>
  <c r="F27" i="18" s="1"/>
  <c r="S26" i="18"/>
  <c r="F26" i="18" s="1"/>
  <c r="S28" i="18"/>
  <c r="F28" i="18" s="1"/>
  <c r="S8" i="18"/>
  <c r="S7" i="18"/>
  <c r="H7" i="18" s="1"/>
  <c r="S6" i="18"/>
  <c r="H6" i="18" s="1"/>
  <c r="S5" i="18"/>
  <c r="H5" i="18" s="1"/>
  <c r="F25" i="15"/>
  <c r="F20" i="4"/>
  <c r="E20" i="4"/>
  <c r="D20" i="4"/>
  <c r="C20" i="4"/>
  <c r="B20" i="4"/>
  <c r="F22" i="4"/>
  <c r="B21" i="3"/>
  <c r="C21" i="3"/>
  <c r="D21" i="3"/>
  <c r="E21" i="3"/>
  <c r="F21" i="3"/>
  <c r="C21" i="1"/>
  <c r="B21" i="1"/>
  <c r="D21" i="1"/>
  <c r="E21" i="1"/>
  <c r="F21" i="1"/>
  <c r="F32" i="17"/>
  <c r="E32" i="17"/>
  <c r="D32" i="17"/>
  <c r="C32" i="17"/>
  <c r="F24" i="17"/>
  <c r="F42" i="17" s="1"/>
  <c r="E24" i="17"/>
  <c r="E92" i="20" s="1"/>
  <c r="E96" i="20" s="1"/>
  <c r="D24" i="17"/>
  <c r="D92" i="20" s="1"/>
  <c r="D96" i="20" s="1"/>
  <c r="C24" i="17"/>
  <c r="C92" i="20" s="1"/>
  <c r="C96" i="20" s="1"/>
  <c r="B24" i="17"/>
  <c r="F15" i="17"/>
  <c r="E15" i="17"/>
  <c r="D15" i="17"/>
  <c r="C15" i="17"/>
  <c r="B15" i="17"/>
  <c r="F14" i="17"/>
  <c r="E14" i="17"/>
  <c r="D14" i="17"/>
  <c r="C14" i="17"/>
  <c r="B14" i="17"/>
  <c r="E3" i="17"/>
  <c r="D3" i="17"/>
  <c r="C3" i="17" s="1"/>
  <c r="B3" i="17" s="1"/>
  <c r="F32" i="16"/>
  <c r="E32" i="16"/>
  <c r="D32" i="16"/>
  <c r="C32" i="16"/>
  <c r="H12" i="16"/>
  <c r="L33" i="17" l="1"/>
  <c r="H33" i="17"/>
  <c r="H33" i="16"/>
  <c r="Q9" i="18"/>
  <c r="G9" i="18" s="1"/>
  <c r="P9" i="18"/>
  <c r="F9" i="18" s="1"/>
  <c r="T15" i="18"/>
  <c r="G15" i="18" s="1"/>
  <c r="T18" i="18"/>
  <c r="G18" i="18" s="1"/>
  <c r="F20" i="18"/>
  <c r="T16" i="18"/>
  <c r="G16" i="18" s="1"/>
  <c r="T17" i="18"/>
  <c r="G17" i="18" s="1"/>
  <c r="C41" i="15" l="1"/>
  <c r="F29" i="14"/>
  <c r="F27" i="14"/>
  <c r="E29" i="14"/>
  <c r="E27" i="14"/>
  <c r="C41" i="14"/>
  <c r="D39" i="14" s="1"/>
  <c r="C38" i="13"/>
  <c r="D36" i="13" s="1"/>
  <c r="D34" i="13"/>
  <c r="C38" i="5"/>
  <c r="D36" i="5" s="1"/>
  <c r="D39" i="15" l="1"/>
  <c r="O30" i="18"/>
  <c r="D37" i="15"/>
  <c r="D38" i="15"/>
  <c r="D37" i="14"/>
  <c r="D38" i="14"/>
  <c r="D35" i="13"/>
  <c r="D35" i="5"/>
  <c r="D34" i="5"/>
  <c r="F42" i="11"/>
  <c r="F44" i="11"/>
  <c r="F43" i="11"/>
  <c r="C41" i="4"/>
  <c r="C42" i="4" s="1"/>
  <c r="C40" i="4"/>
  <c r="G37" i="11" l="1"/>
  <c r="F40" i="11"/>
  <c r="G39" i="11"/>
  <c r="E30" i="18"/>
  <c r="S30" i="18"/>
  <c r="G38" i="11"/>
  <c r="D36" i="4"/>
  <c r="D35" i="4"/>
  <c r="D37" i="4"/>
  <c r="D34" i="4"/>
  <c r="G36" i="11"/>
  <c r="F30" i="18" l="1"/>
  <c r="T27" i="18"/>
  <c r="G27" i="18" s="1"/>
  <c r="T26" i="18"/>
  <c r="G26" i="18" s="1"/>
  <c r="T28" i="18"/>
  <c r="G28" i="18" s="1"/>
  <c r="C41" i="10"/>
  <c r="D37" i="10" s="1"/>
  <c r="D38" i="10"/>
  <c r="D35" i="10"/>
  <c r="D38" i="9"/>
  <c r="D37" i="9"/>
  <c r="D36" i="9"/>
  <c r="D35" i="9"/>
  <c r="C41" i="9"/>
  <c r="D37" i="3"/>
  <c r="C41" i="3"/>
  <c r="D38" i="3" s="1"/>
  <c r="C40" i="1"/>
  <c r="D37" i="1" s="1"/>
  <c r="L9" i="18"/>
  <c r="B9" i="18" s="1"/>
  <c r="O9" i="18"/>
  <c r="E9" i="18" s="1"/>
  <c r="D36" i="10" l="1"/>
  <c r="D35" i="3"/>
  <c r="D36" i="3"/>
  <c r="D36" i="1"/>
  <c r="D35" i="1"/>
  <c r="N9" i="18" l="1"/>
  <c r="D9" i="18" l="1"/>
  <c r="S9" i="18"/>
  <c r="F28" i="12"/>
  <c r="E28" i="12"/>
  <c r="D28" i="12"/>
  <c r="C28" i="12"/>
  <c r="F11" i="12"/>
  <c r="E11" i="12"/>
  <c r="E48" i="12" s="1"/>
  <c r="D11" i="12"/>
  <c r="C11" i="12"/>
  <c r="B11" i="12"/>
  <c r="F10" i="12"/>
  <c r="E10" i="12"/>
  <c r="D10" i="12"/>
  <c r="C10" i="12"/>
  <c r="B10" i="12"/>
  <c r="E3" i="12"/>
  <c r="D3" i="12" s="1"/>
  <c r="F31" i="15"/>
  <c r="E31" i="15"/>
  <c r="D31" i="15"/>
  <c r="C31" i="15"/>
  <c r="F14" i="15"/>
  <c r="F51" i="15" s="1"/>
  <c r="E14" i="15"/>
  <c r="E51" i="15" s="1"/>
  <c r="D14" i="15"/>
  <c r="D51" i="15" s="1"/>
  <c r="C14" i="15"/>
  <c r="C51" i="15" s="1"/>
  <c r="B14" i="15"/>
  <c r="B51" i="15" s="1"/>
  <c r="F13" i="15"/>
  <c r="E13" i="15"/>
  <c r="D13" i="15"/>
  <c r="C13" i="15"/>
  <c r="B13" i="15"/>
  <c r="H11" i="15"/>
  <c r="H10" i="15"/>
  <c r="H9" i="15"/>
  <c r="H8" i="15"/>
  <c r="E3" i="15"/>
  <c r="F31" i="14"/>
  <c r="E31" i="14"/>
  <c r="D31" i="14"/>
  <c r="C31" i="14"/>
  <c r="F11" i="14"/>
  <c r="E11" i="14"/>
  <c r="D11" i="14"/>
  <c r="C11" i="14"/>
  <c r="B11" i="14"/>
  <c r="F10" i="14"/>
  <c r="E10" i="14"/>
  <c r="D10" i="14"/>
  <c r="C10" i="14"/>
  <c r="B10" i="14"/>
  <c r="H8" i="14"/>
  <c r="H7" i="14"/>
  <c r="H6" i="14"/>
  <c r="H5" i="14"/>
  <c r="H4" i="14"/>
  <c r="E3" i="14"/>
  <c r="D3" i="14" s="1"/>
  <c r="C3" i="14" s="1"/>
  <c r="B3" i="14" s="1"/>
  <c r="H9" i="18" l="1"/>
  <c r="T8" i="18"/>
  <c r="T5" i="18"/>
  <c r="I5" i="18" s="1"/>
  <c r="T6" i="18"/>
  <c r="I6" i="18" s="1"/>
  <c r="T7" i="18"/>
  <c r="I7" i="18" s="1"/>
  <c r="D3" i="15"/>
  <c r="E44" i="15"/>
  <c r="H29" i="12"/>
  <c r="H32" i="15"/>
  <c r="H32" i="14"/>
  <c r="F28" i="13"/>
  <c r="E28" i="13"/>
  <c r="D28" i="13"/>
  <c r="C28" i="13"/>
  <c r="F11" i="13"/>
  <c r="E11" i="13"/>
  <c r="D11" i="13"/>
  <c r="C11" i="13"/>
  <c r="B11" i="13"/>
  <c r="F10" i="13"/>
  <c r="E10" i="13"/>
  <c r="D10" i="13"/>
  <c r="C10" i="13"/>
  <c r="B10" i="13"/>
  <c r="H8" i="13"/>
  <c r="H7" i="13"/>
  <c r="H6" i="13"/>
  <c r="H5" i="13"/>
  <c r="H4" i="13"/>
  <c r="E3" i="13"/>
  <c r="D3" i="13" s="1"/>
  <c r="C3" i="13" s="1"/>
  <c r="B3" i="13" s="1"/>
  <c r="C3" i="15" l="1"/>
  <c r="D44" i="15"/>
  <c r="H29" i="13"/>
  <c r="F28" i="5"/>
  <c r="E28" i="5"/>
  <c r="D28" i="5"/>
  <c r="C28" i="5"/>
  <c r="F11" i="5"/>
  <c r="E11" i="5"/>
  <c r="D11" i="5"/>
  <c r="C11" i="5"/>
  <c r="B11" i="5"/>
  <c r="F10" i="5"/>
  <c r="E10" i="5"/>
  <c r="D10" i="5"/>
  <c r="C10" i="5"/>
  <c r="B10" i="5"/>
  <c r="H8" i="5"/>
  <c r="H7" i="5"/>
  <c r="H6" i="5"/>
  <c r="H5" i="5"/>
  <c r="H4" i="5"/>
  <c r="E3" i="5"/>
  <c r="D3" i="5" s="1"/>
  <c r="C3" i="5" s="1"/>
  <c r="B3" i="5" s="1"/>
  <c r="B3" i="15" l="1"/>
  <c r="B44" i="15" s="1"/>
  <c r="C44" i="15"/>
  <c r="H29" i="5"/>
  <c r="F30" i="11"/>
  <c r="E30" i="11"/>
  <c r="D30" i="11"/>
  <c r="C30" i="11"/>
  <c r="F13" i="11"/>
  <c r="E13" i="11"/>
  <c r="D13" i="11"/>
  <c r="C13" i="11"/>
  <c r="B13" i="11"/>
  <c r="F12" i="11"/>
  <c r="E12" i="11"/>
  <c r="D12" i="11"/>
  <c r="C12" i="11"/>
  <c r="B12" i="11"/>
  <c r="H4" i="11"/>
  <c r="E3" i="11"/>
  <c r="D3" i="11" s="1"/>
  <c r="C3" i="11" s="1"/>
  <c r="B3" i="11" s="1"/>
  <c r="F28" i="4"/>
  <c r="E28" i="4"/>
  <c r="D28" i="4"/>
  <c r="C28" i="4"/>
  <c r="F11" i="4"/>
  <c r="E11" i="4"/>
  <c r="D11" i="4"/>
  <c r="C11" i="4"/>
  <c r="B11" i="4"/>
  <c r="F10" i="4"/>
  <c r="E10" i="4"/>
  <c r="D10" i="4"/>
  <c r="C10" i="4"/>
  <c r="B10" i="4"/>
  <c r="H8" i="4"/>
  <c r="H7" i="4"/>
  <c r="H6" i="4"/>
  <c r="H5" i="4"/>
  <c r="H4" i="4"/>
  <c r="E3" i="4"/>
  <c r="D3" i="4" s="1"/>
  <c r="C3" i="4" s="1"/>
  <c r="B3" i="4" s="1"/>
  <c r="F29" i="10"/>
  <c r="E29" i="10"/>
  <c r="D29" i="10"/>
  <c r="C29" i="10"/>
  <c r="F11" i="10"/>
  <c r="E11" i="10"/>
  <c r="D11" i="10"/>
  <c r="C11" i="10"/>
  <c r="B11" i="10"/>
  <c r="F10" i="10"/>
  <c r="E10" i="10"/>
  <c r="D10" i="10"/>
  <c r="C10" i="10"/>
  <c r="B10" i="10"/>
  <c r="H8" i="10"/>
  <c r="H7" i="10"/>
  <c r="H6" i="10"/>
  <c r="H5" i="10"/>
  <c r="H4" i="10"/>
  <c r="E3" i="10"/>
  <c r="D3" i="10"/>
  <c r="C3" i="10" s="1"/>
  <c r="B3" i="10" s="1"/>
  <c r="H29" i="4" l="1"/>
  <c r="H31" i="11"/>
  <c r="H30" i="10"/>
  <c r="C19" i="1"/>
  <c r="D19" i="1"/>
  <c r="E19" i="1"/>
  <c r="F19" i="1"/>
  <c r="F29" i="9"/>
  <c r="E29" i="9"/>
  <c r="D29" i="9"/>
  <c r="C29" i="9"/>
  <c r="F11" i="9"/>
  <c r="E11" i="9"/>
  <c r="D11" i="9"/>
  <c r="C11" i="9"/>
  <c r="B11" i="9"/>
  <c r="F10" i="9"/>
  <c r="E10" i="9"/>
  <c r="D10" i="9"/>
  <c r="C10" i="9"/>
  <c r="B10" i="9"/>
  <c r="H8" i="9"/>
  <c r="H7" i="9"/>
  <c r="H6" i="9"/>
  <c r="H5" i="9"/>
  <c r="H4" i="9"/>
  <c r="E3" i="9"/>
  <c r="D3" i="9" s="1"/>
  <c r="C3" i="9" s="1"/>
  <c r="B3" i="9" s="1"/>
  <c r="F29" i="3"/>
  <c r="E29" i="3"/>
  <c r="D29" i="3"/>
  <c r="C29" i="3"/>
  <c r="H30" i="3" s="1"/>
  <c r="F11" i="3"/>
  <c r="E11" i="3"/>
  <c r="D11" i="3"/>
  <c r="C11" i="3"/>
  <c r="B11" i="3"/>
  <c r="F10" i="3"/>
  <c r="E10" i="3"/>
  <c r="D10" i="3"/>
  <c r="C10" i="3"/>
  <c r="B10" i="3"/>
  <c r="H8" i="3"/>
  <c r="H7" i="3"/>
  <c r="H6" i="3"/>
  <c r="H5" i="3"/>
  <c r="H4" i="3"/>
  <c r="E3" i="3"/>
  <c r="D3" i="3" s="1"/>
  <c r="C3" i="3" s="1"/>
  <c r="B3" i="3" s="1"/>
  <c r="B26" i="1"/>
  <c r="F29" i="1"/>
  <c r="E29" i="1"/>
  <c r="D29" i="1"/>
  <c r="C29" i="1"/>
  <c r="H30" i="1" s="1"/>
  <c r="F11" i="1"/>
  <c r="E11" i="1"/>
  <c r="D11" i="1"/>
  <c r="C11" i="1"/>
  <c r="B11" i="1"/>
  <c r="F10" i="1"/>
  <c r="E10" i="1"/>
  <c r="D10" i="1"/>
  <c r="C10" i="1"/>
  <c r="B10" i="1"/>
  <c r="H8" i="1"/>
  <c r="H7" i="1"/>
  <c r="H6" i="1"/>
  <c r="H5" i="1"/>
  <c r="H4" i="1"/>
  <c r="E3" i="1"/>
  <c r="D3" i="1" s="1"/>
  <c r="C3" i="1" s="1"/>
  <c r="B3" i="1" s="1"/>
  <c r="F32" i="8"/>
  <c r="E32" i="8"/>
  <c r="D32" i="8"/>
  <c r="C32" i="8"/>
  <c r="H33" i="8" s="1"/>
  <c r="F15" i="8"/>
  <c r="E15" i="8"/>
  <c r="D15" i="8"/>
  <c r="C15" i="8"/>
  <c r="B15" i="8"/>
  <c r="F14" i="8"/>
  <c r="E14" i="8"/>
  <c r="D14" i="8"/>
  <c r="C14" i="8"/>
  <c r="B14" i="8"/>
  <c r="E3" i="8"/>
  <c r="D3" i="8" s="1"/>
  <c r="C3" i="8" s="1"/>
  <c r="B3" i="8" s="1"/>
  <c r="E3" i="7"/>
  <c r="D3" i="7" s="1"/>
  <c r="C3" i="7" s="1"/>
  <c r="B3" i="7" s="1"/>
  <c r="H30" i="9" l="1"/>
  <c r="F32" i="7"/>
  <c r="E32" i="7"/>
  <c r="D32" i="7"/>
  <c r="C32" i="7"/>
  <c r="F15" i="7"/>
  <c r="E15" i="7"/>
  <c r="D15" i="7"/>
  <c r="C15" i="7"/>
  <c r="B15" i="7"/>
  <c r="F14" i="7"/>
  <c r="E14" i="7"/>
  <c r="D14" i="7"/>
  <c r="C14" i="7"/>
  <c r="B14" i="7"/>
  <c r="C32" i="2"/>
  <c r="D32" i="2"/>
  <c r="E32" i="2"/>
  <c r="F32" i="2"/>
  <c r="F32" i="6"/>
  <c r="C32" i="6"/>
  <c r="D32" i="6"/>
  <c r="E32" i="6"/>
  <c r="F15" i="6" l="1"/>
  <c r="E15" i="6"/>
  <c r="D15" i="6"/>
  <c r="C15" i="6"/>
  <c r="B15" i="6"/>
  <c r="F14" i="6"/>
  <c r="E14" i="6"/>
  <c r="D14" i="6"/>
  <c r="C14" i="6"/>
  <c r="B14" i="6"/>
  <c r="B14" i="2" l="1"/>
  <c r="C14" i="2"/>
  <c r="D14" i="2"/>
  <c r="E14" i="2"/>
  <c r="B15" i="2"/>
  <c r="C15" i="2"/>
  <c r="D15" i="2"/>
  <c r="E15" i="2"/>
  <c r="F15" i="2"/>
  <c r="F14" i="2"/>
  <c r="I51" i="8" l="1"/>
  <c r="I5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laptop</author>
  </authors>
  <commentList>
    <comment ref="E11" authorId="0" shapeId="0" xr:uid="{0FD16643-3FF5-6148-8FAD-A81290F43393}">
      <text>
        <r>
          <rPr>
            <b/>
            <sz val="9"/>
            <color indexed="81"/>
            <rFont val="Tahoma"/>
            <family val="2"/>
          </rPr>
          <t>Marcus laptop:</t>
        </r>
        <r>
          <rPr>
            <sz val="9"/>
            <color indexed="81"/>
            <rFont val="Tahoma"/>
            <family val="2"/>
          </rPr>
          <t xml:space="preserve">
was 2.75? Not sure where that came from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laptop</author>
  </authors>
  <commentList>
    <comment ref="A54" authorId="0" shapeId="0" xr:uid="{2925A3B5-ED78-494E-85A7-F525878FE3BF}">
      <text>
        <r>
          <rPr>
            <b/>
            <sz val="9"/>
            <color indexed="81"/>
            <rFont val="Tahoma"/>
            <family val="2"/>
          </rPr>
          <t>Marcus laptop:</t>
        </r>
        <r>
          <rPr>
            <sz val="9"/>
            <color indexed="81"/>
            <rFont val="Tahoma"/>
            <family val="2"/>
          </rPr>
          <t xml:space="preserve">
This follows the exit of Grapeshot
Limited to Oracle Corporation in May 2018 which is expected to deliver total proceeds of approximately £28 million, a
return of approximately 10.0 times cost.</t>
        </r>
      </text>
    </comment>
    <comment ref="A55" authorId="0" shapeId="0" xr:uid="{C1C44C44-1FB4-4122-BC0B-2666D72B7D1F}">
      <text>
        <r>
          <rPr>
            <b/>
            <sz val="9"/>
            <color indexed="81"/>
            <rFont val="Tahoma"/>
            <family val="2"/>
          </rPr>
          <t>Marcus laptop:</t>
        </r>
        <r>
          <rPr>
            <sz val="9"/>
            <color indexed="81"/>
            <rFont val="Tahoma"/>
            <family val="2"/>
          </rPr>
          <t xml:space="preserve">
disposal of Process Systems Enterprise Limited to Siemens AG, for expected proceeds of
approximately £21 million, resulting in a total return of approximately 10.4 times cost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laptop</author>
  </authors>
  <commentList>
    <comment ref="D21" authorId="0" shapeId="0" xr:uid="{8DE5D312-8088-4B43-85E1-49A2A819BA09}">
      <text>
        <r>
          <rPr>
            <b/>
            <sz val="9"/>
            <color indexed="81"/>
            <rFont val="Tahoma"/>
            <family val="2"/>
          </rPr>
          <t>Marcus laptop:</t>
        </r>
        <r>
          <rPr>
            <sz val="9"/>
            <color indexed="81"/>
            <rFont val="Tahoma"/>
            <family val="2"/>
          </rPr>
          <t xml:space="preserve">
recorded as 124.03
I think should be 
see R&amp;A 2020 page 6 
83.14 + 43.17 = 126.31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<sst xmlns="http://schemas.openxmlformats.org/spreadsheetml/2006/main" count="1138" uniqueCount="268">
  <si>
    <t>Year end</t>
  </si>
  <si>
    <t>Albion Development</t>
  </si>
  <si>
    <t>Total</t>
  </si>
  <si>
    <t>*Note</t>
  </si>
  <si>
    <t>def</t>
  </si>
  <si>
    <t>Realised gains (£m)</t>
  </si>
  <si>
    <t>Return on activities (£m)</t>
  </si>
  <si>
    <t xml:space="preserve">profit/loss after tax </t>
  </si>
  <si>
    <t>Return on activities (p/share)</t>
  </si>
  <si>
    <t>Dividends paid (£m)</t>
  </si>
  <si>
    <t>Regular dividend per share (p)</t>
  </si>
  <si>
    <t>Special dividend per share (p)</t>
  </si>
  <si>
    <t>Dividend coverage (CG)</t>
  </si>
  <si>
    <t>Dividend coverage (all)</t>
  </si>
  <si>
    <t>Called up share capital account (£'000)</t>
  </si>
  <si>
    <t>Share premium account (£'000)</t>
  </si>
  <si>
    <t>Special distributable reserve (£'000)</t>
  </si>
  <si>
    <t>Capital redemption reserve (£'000)</t>
  </si>
  <si>
    <t>Capital reserve gains &amp; losses on disposal (£'000)</t>
  </si>
  <si>
    <t>capital reserve realised</t>
  </si>
  <si>
    <t>Capital reserve holdings gains &amp; losses (£'000)</t>
  </si>
  <si>
    <t xml:space="preserve">capital reserve unrealised </t>
  </si>
  <si>
    <t>Revenue &amp; translation reserves (£'000)</t>
  </si>
  <si>
    <t>included in distributable reserve</t>
  </si>
  <si>
    <t>Total shareholders funds (£'000)</t>
  </si>
  <si>
    <t>NAV per share (p)</t>
  </si>
  <si>
    <t>Cost of special</t>
  </si>
  <si>
    <t>Buybacks (£'000)</t>
  </si>
  <si>
    <t>Proceeds from shares issued (£'000)</t>
  </si>
  <si>
    <t>Number of shares</t>
  </si>
  <si>
    <t>Total return</t>
  </si>
  <si>
    <t>CAGR</t>
  </si>
  <si>
    <t xml:space="preserve">Investment Profile </t>
  </si>
  <si>
    <t>£</t>
  </si>
  <si>
    <t>%</t>
  </si>
  <si>
    <t>Fixed Asset Investments</t>
  </si>
  <si>
    <t>Current Asset Investments</t>
  </si>
  <si>
    <t>Cash &amp; Cash Equivalents</t>
  </si>
  <si>
    <t>NAV</t>
  </si>
  <si>
    <t>Fees</t>
  </si>
  <si>
    <t>Albion totals</t>
  </si>
  <si>
    <t>Albion VCT</t>
  </si>
  <si>
    <t xml:space="preserve">Albion Development VCT </t>
  </si>
  <si>
    <t>Albion Enterprise VCT</t>
  </si>
  <si>
    <t>Albion Technology&amp; General VCT</t>
  </si>
  <si>
    <t>Crown Place VCT</t>
  </si>
  <si>
    <t>Kings Arms Yard VCT</t>
  </si>
  <si>
    <t xml:space="preserve">Trade and other payables less than one year </t>
  </si>
  <si>
    <t>Albion Enterpise</t>
  </si>
  <si>
    <t>Albion Technology &amp; General</t>
  </si>
  <si>
    <t>Amati</t>
  </si>
  <si>
    <t>*Label</t>
  </si>
  <si>
    <t>1633*</t>
  </si>
  <si>
    <t>*Annual report 2018 &amp; 2017 show different values in balance sheet (values for 2017 is from 2018 report)</t>
  </si>
  <si>
    <t>*not wholly distributable (report only states "capital reserve")</t>
  </si>
  <si>
    <t>capital reserve (distributable)</t>
  </si>
  <si>
    <t>capital reserve (non-distributable)</t>
  </si>
  <si>
    <t>Merger Reserve (£'000)</t>
  </si>
  <si>
    <t xml:space="preserve">2019: number of shares increase by 41,231,436 due to merger </t>
  </si>
  <si>
    <t>Debtors</t>
  </si>
  <si>
    <t>Mobeus Income &amp; Growth 2</t>
  </si>
  <si>
    <t>Missing from report</t>
  </si>
  <si>
    <t>Revaluation reserves (£'000)</t>
  </si>
  <si>
    <t>Mobeus Income &amp; Growth 4</t>
  </si>
  <si>
    <t>Mobeus Income &amp; Growth</t>
  </si>
  <si>
    <t>Pembroke</t>
  </si>
  <si>
    <t xml:space="preserve">Income statement has "realised/unrealised gains and losses" - unsure of what this means </t>
  </si>
  <si>
    <t>NAV (regular shares)</t>
  </si>
  <si>
    <t>NAV (B Shares)</t>
  </si>
  <si>
    <t>NAV (Total)</t>
  </si>
  <si>
    <t>Pembroke B</t>
  </si>
  <si>
    <t xml:space="preserve">Maven Income &amp; Growth </t>
  </si>
  <si>
    <t>Maven Income &amp; Growth 4</t>
  </si>
  <si>
    <t>*merger with Maven VCT 6</t>
  </si>
  <si>
    <t>Proceeds from merger shares issued (£'000)</t>
  </si>
  <si>
    <t>Ordinary Shares (brought forward + issued-repurchased and cancelled)</t>
  </si>
  <si>
    <t>Ordinary shares issued (from merger)</t>
  </si>
  <si>
    <t>Total Shares</t>
  </si>
  <si>
    <t>Maven Income &amp; Growth 3</t>
  </si>
  <si>
    <t>Maven Income &amp; Growth 5</t>
  </si>
  <si>
    <t xml:space="preserve">Crown Place VCT </t>
  </si>
  <si>
    <t>NAV calculated by multiplying number of shares and NAV per share.</t>
  </si>
  <si>
    <t>Calculus VCT</t>
  </si>
  <si>
    <t>2016*</t>
  </si>
  <si>
    <t>2017*</t>
  </si>
  <si>
    <t>4,738,463*</t>
  </si>
  <si>
    <t>*excluding C&amp;D Shares for FY2016&amp;17</t>
  </si>
  <si>
    <t>Kings Arm Yard</t>
  </si>
  <si>
    <t> 303,582,773</t>
  </si>
  <si>
    <t>Mobeus</t>
  </si>
  <si>
    <t>Mobeus Income &amp; Growth 2 VCT</t>
  </si>
  <si>
    <t>Mobeus Income &amp; Growth 4 VCT</t>
  </si>
  <si>
    <t>Mobeus Income &amp; Growth VCT</t>
  </si>
  <si>
    <t>The Income &amp; Growth VCT</t>
  </si>
  <si>
    <t>Maven</t>
  </si>
  <si>
    <t>Maven I&amp;G VCT</t>
  </si>
  <si>
    <t>Maven I&amp;G VCT 3</t>
  </si>
  <si>
    <t>Maven I&amp;G VCT 4</t>
  </si>
  <si>
    <t>Maven I&amp;G VCT 5</t>
  </si>
  <si>
    <t>Total across Funds</t>
  </si>
  <si>
    <t>As a % of NAV</t>
  </si>
  <si>
    <t>-</t>
  </si>
  <si>
    <t>Mobeus I&amp;G 2 VCT</t>
  </si>
  <si>
    <t>Mobeus I&amp;G 4 VCT</t>
  </si>
  <si>
    <t>Mobeus I&amp;G VCT</t>
  </si>
  <si>
    <t>The I&amp;G VCT</t>
  </si>
  <si>
    <t>Investment profile</t>
  </si>
  <si>
    <t>Unquoted equities</t>
  </si>
  <si>
    <t>AIM Quoted equities</t>
  </si>
  <si>
    <t>Loan Stock</t>
  </si>
  <si>
    <t>Cash</t>
  </si>
  <si>
    <t>Proportions</t>
  </si>
  <si>
    <t>Quoted liquidity funds</t>
  </si>
  <si>
    <t>Table for report</t>
  </si>
  <si>
    <t>Year</t>
  </si>
  <si>
    <t>Realised gains</t>
  </si>
  <si>
    <t>Return on activities</t>
  </si>
  <si>
    <t>Total shareholders funds</t>
  </si>
  <si>
    <t>Fixed Asset Investments Reg</t>
  </si>
  <si>
    <t>Fixed Asset Investments B shares</t>
  </si>
  <si>
    <t xml:space="preserve">Fixed Asset Investments </t>
  </si>
  <si>
    <t>Cash Reg</t>
  </si>
  <si>
    <t>Cash B shares</t>
  </si>
  <si>
    <t xml:space="preserve">Investments </t>
  </si>
  <si>
    <t xml:space="preserve">Cash </t>
  </si>
  <si>
    <t>Sector split at 30 Jun 2020</t>
  </si>
  <si>
    <t>Software &amp; other technology</t>
  </si>
  <si>
    <t>Business services and other</t>
  </si>
  <si>
    <t>Healthcare (including digital healthcare)</t>
  </si>
  <si>
    <t>Renewable energy</t>
  </si>
  <si>
    <t>Education</t>
  </si>
  <si>
    <t>Cash &amp; liquid investments</t>
  </si>
  <si>
    <t>Albion Develoment VCT</t>
  </si>
  <si>
    <t>Albion
Technology
&amp; General
VCT</t>
  </si>
  <si>
    <t>Crown
Place
VCT</t>
  </si>
  <si>
    <t>Kings
Arms
Yard
VCT</t>
  </si>
  <si>
    <t>21-50</t>
  </si>
  <si>
    <t>51-100</t>
  </si>
  <si>
    <t>101+</t>
  </si>
  <si>
    <t>Under 20</t>
  </si>
  <si>
    <t>Early stage (turnover &lt;£1m)</t>
  </si>
  <si>
    <t>Growth (turnover between
£1m and £5m)</t>
  </si>
  <si>
    <t>Scale up (turnover &gt;£5m)</t>
  </si>
  <si>
    <t>Cash being raised</t>
  </si>
  <si>
    <t xml:space="preserve">% cash post offer </t>
  </si>
  <si>
    <t>For Report</t>
  </si>
  <si>
    <t>Cost of dividends</t>
  </si>
  <si>
    <t>Gross Realisations</t>
  </si>
  <si>
    <t>Balance sheet</t>
  </si>
  <si>
    <t>Investments</t>
  </si>
  <si>
    <t>Dividend cover (gross realisations)</t>
  </si>
  <si>
    <t>Dividend cover (realised gains)</t>
  </si>
  <si>
    <t>Dividend cover (return)</t>
  </si>
  <si>
    <t>Cash &amp; equivalents</t>
  </si>
  <si>
    <t>Propotion invested</t>
  </si>
  <si>
    <t>Dividends</t>
  </si>
  <si>
    <t>Total dividend (p)</t>
  </si>
  <si>
    <t>Share price (year end) (p)</t>
  </si>
  <si>
    <t>Dividend yield (NAV)</t>
  </si>
  <si>
    <t>Dividend yield (share price)</t>
  </si>
  <si>
    <t>Gross realised gains</t>
  </si>
  <si>
    <t>1H2021</t>
  </si>
  <si>
    <t>Proportion invested</t>
  </si>
  <si>
    <t>1H2020</t>
  </si>
  <si>
    <t xml:space="preserve">Exits </t>
  </si>
  <si>
    <t>Company</t>
  </si>
  <si>
    <t>Amount invested</t>
  </si>
  <si>
    <t>Exit Date</t>
  </si>
  <si>
    <t>Holding period return</t>
  </si>
  <si>
    <t>Growth in period</t>
  </si>
  <si>
    <t>Grapeshot Ltd</t>
  </si>
  <si>
    <t>£2.9m</t>
  </si>
  <si>
    <t>10x</t>
  </si>
  <si>
    <t>Revenue: 10x from £3m to £30m</t>
  </si>
  <si>
    <t>Process Systems Enterprise Ltd</t>
  </si>
  <si>
    <t>£2.1m</t>
  </si>
  <si>
    <t>10.4x</t>
  </si>
  <si>
    <t>Revenue: 10x from £2m to £20m</t>
  </si>
  <si>
    <t>Clear Review Ltd</t>
  </si>
  <si>
    <t>£1.9m</t>
  </si>
  <si>
    <t>2.1x</t>
  </si>
  <si>
    <t>Revenue: 2x from £1.5m to £3m</t>
  </si>
  <si>
    <t>G.Network Communications Ltd</t>
  </si>
  <si>
    <t>£4.7m</t>
  </si>
  <si>
    <t>3.8x</t>
  </si>
  <si>
    <t>Streets covered: 270x from 8 to 2189</t>
  </si>
  <si>
    <t>Opening NAV (£M)</t>
  </si>
  <si>
    <t xml:space="preserve">Dividend (£m) </t>
  </si>
  <si>
    <t>Share buyback (£m)</t>
  </si>
  <si>
    <t>Total returned</t>
  </si>
  <si>
    <t>As a % of opening NAV</t>
  </si>
  <si>
    <t>Albion Development VCT year to December</t>
  </si>
  <si>
    <t>Opening NAV (£m)</t>
  </si>
  <si>
    <t>Total returned (£m)</t>
  </si>
  <si>
    <t>As a % of opening NAV (%)</t>
  </si>
  <si>
    <t xml:space="preserve">Albion Enterprise VCT year to March </t>
  </si>
  <si>
    <t>Albion Technology &amp; General VCT year to December</t>
  </si>
  <si>
    <t>Crown Place VCT year to 30 June</t>
  </si>
  <si>
    <t>Kings Arms Yard VCT year to December</t>
  </si>
  <si>
    <t>NAV return per share</t>
  </si>
  <si>
    <t>TR calc</t>
  </si>
  <si>
    <t>Writeoffs</t>
  </si>
  <si>
    <t>Wrtieoffs</t>
  </si>
  <si>
    <t>1H22</t>
  </si>
  <si>
    <t>Declared dividend (p)</t>
  </si>
  <si>
    <t>Gross realisations</t>
  </si>
  <si>
    <t>Realised losses</t>
  </si>
  <si>
    <t>Ongoing charges</t>
  </si>
  <si>
    <t>Management fee</t>
  </si>
  <si>
    <t>Concentration</t>
  </si>
  <si>
    <t>Top 10</t>
  </si>
  <si>
    <t>Top 20</t>
  </si>
  <si>
    <t>Number active positions</t>
  </si>
  <si>
    <t>Investment income (£m)</t>
  </si>
  <si>
    <t>Equity &amp; preference</t>
  </si>
  <si>
    <t>Loan stock</t>
  </si>
  <si>
    <t>2021H1</t>
  </si>
  <si>
    <t>Number of positions &gt;1%</t>
  </si>
  <si>
    <t>Port values (delete)</t>
  </si>
  <si>
    <t>Investment income</t>
  </si>
  <si>
    <t>Arrangement &amp; monitoring (£,000)</t>
  </si>
  <si>
    <t>Weights 30/9/21</t>
  </si>
  <si>
    <t>Weights 30/6/21</t>
  </si>
  <si>
    <t xml:space="preserve">Qualifying </t>
  </si>
  <si>
    <t>2022H1</t>
  </si>
  <si>
    <t>Estimate</t>
  </si>
  <si>
    <t>Perf fee</t>
  </si>
  <si>
    <t>Performance fee</t>
  </si>
  <si>
    <t>Buybacks (£m)</t>
  </si>
  <si>
    <t>NAV (£m)</t>
  </si>
  <si>
    <t>NAV/shr (p)</t>
  </si>
  <si>
    <t>Divi cover (gains)</t>
  </si>
  <si>
    <t>Divi cover (all)</t>
  </si>
  <si>
    <t>Expenses</t>
  </si>
  <si>
    <t>AIC ratio</t>
  </si>
  <si>
    <t>Performance fee/av NAV</t>
  </si>
  <si>
    <t>Performance fee (£,000)</t>
  </si>
  <si>
    <t>Development</t>
  </si>
  <si>
    <t>Enterprise</t>
  </si>
  <si>
    <t>Technology &amp; General</t>
  </si>
  <si>
    <t>Crown Place</t>
  </si>
  <si>
    <t>Kings Arm</t>
  </si>
  <si>
    <t>Crown</t>
  </si>
  <si>
    <t>G46</t>
  </si>
  <si>
    <t>G47</t>
  </si>
  <si>
    <t>Arrangement fees</t>
  </si>
  <si>
    <t>Arrangement fees/av NAV</t>
  </si>
  <si>
    <t>G49</t>
  </si>
  <si>
    <t>G48</t>
  </si>
  <si>
    <t>AlbionDevelopment</t>
  </si>
  <si>
    <t>AlbionEnterprise</t>
  </si>
  <si>
    <t>AlbionVCT</t>
  </si>
  <si>
    <t>KingsArm</t>
  </si>
  <si>
    <t>AlbionTechGeneral</t>
  </si>
  <si>
    <t>Blackfinch Spring VCT</t>
  </si>
  <si>
    <t xml:space="preserve">Unrealised gains </t>
  </si>
  <si>
    <t>Other expenses</t>
  </si>
  <si>
    <t>Capital reserve (£'000)</t>
  </si>
  <si>
    <t>Revenue reserves (£'000)</t>
  </si>
  <si>
    <t>Redeemable preference shares</t>
  </si>
  <si>
    <t>£,000</t>
  </si>
  <si>
    <t>Number of ordinary shares</t>
  </si>
  <si>
    <t>Unrealised gains</t>
  </si>
  <si>
    <t>Net income</t>
  </si>
  <si>
    <t>1H21</t>
  </si>
  <si>
    <t>Equities</t>
  </si>
  <si>
    <t>Propn of NAV</t>
  </si>
  <si>
    <t xml:space="preserve"> Gains (£m)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</si>
</sst>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3" formatCode="_(* #,##0.00_);_(* \(#,##0.00\);_(* &quot;-&quot;??_);_(@_)"/>
    <numFmt numFmtId="164" formatCode="&quot;£&quot;#,##0.00;[Red]\-&quot;£&quot;#,##0.00"/>
    <numFmt numFmtId="165" formatCode="_(&quot;$&quot;* #,##0.00_);_(&quot;$&quot;* \(#,##0.00\);_(&quot;$&quot;* &quot;-&quot;??_);_(@_)"/>
    <numFmt numFmtId="166" formatCode="0.0%"/>
    <numFmt numFmtId="167" formatCode="_(* #,##0_);_(* \(#,##0\);_(* &quot;-&quot;??_);_(@_)"/>
    <numFmt numFmtId="168" formatCode="0.0"/>
    <numFmt numFmtId="169" formatCode="#,##0.000"/>
    <numFmt numFmtId="170" formatCode="_(* #,##0.00_);_(* \(#,##0.00\);_(* &quot;-&quot;_);_(@_)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64646"/>
      <name val="Calibri"/>
      <family val="2"/>
    </font>
    <font>
      <sz val="8"/>
      <color rgb="FF464646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.5"/>
      <color rgb="FF13323B"/>
      <name val="Lato Light"/>
      <family val="2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4F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rgb="FF3E2683"/>
      </left>
      <right/>
      <top/>
      <bottom/>
      <diagonal/>
    </border>
    <border>
      <left/>
      <right style="mediumDashed">
        <color rgb="FF3E2683"/>
      </right>
      <top/>
      <bottom/>
      <diagonal/>
    </border>
    <border>
      <left style="mediumDashed">
        <color rgb="FF3E2683"/>
      </left>
      <right/>
      <top/>
      <bottom style="medium">
        <color rgb="FF3E2683"/>
      </bottom>
      <diagonal/>
    </border>
    <border>
      <left/>
      <right/>
      <top/>
      <bottom style="medium">
        <color rgb="FF3E2683"/>
      </bottom>
      <diagonal/>
    </border>
    <border>
      <left/>
      <right style="mediumDashed">
        <color rgb="FF3E2683"/>
      </right>
      <top/>
      <bottom style="medium">
        <color rgb="FF3E2683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25">
    <xf numFmtId="0" fontId="0" fillId="0" borderId="0" xfId="0"/>
    <xf numFmtId="16" fontId="0" fillId="0" borderId="0" xfId="0" applyNumberFormat="1"/>
    <xf numFmtId="9" fontId="0" fillId="0" borderId="0" xfId="2" applyFont="1"/>
    <xf numFmtId="10" fontId="0" fillId="0" borderId="0" xfId="2" applyNumberFormat="1" applyFont="1"/>
    <xf numFmtId="0" fontId="3" fillId="3" borderId="0" xfId="0" applyFont="1" applyFill="1"/>
    <xf numFmtId="0" fontId="0" fillId="0" borderId="1" xfId="0" applyBorder="1"/>
    <xf numFmtId="0" fontId="3" fillId="0" borderId="1" xfId="0" applyFont="1" applyBorder="1"/>
    <xf numFmtId="10" fontId="3" fillId="2" borderId="3" xfId="2" applyNumberFormat="1" applyFont="1" applyFill="1" applyBorder="1"/>
    <xf numFmtId="10" fontId="0" fillId="2" borderId="2" xfId="2" applyNumberFormat="1" applyFont="1" applyFill="1" applyBorder="1"/>
    <xf numFmtId="0" fontId="3" fillId="0" borderId="4" xfId="0" applyFont="1" applyBorder="1"/>
    <xf numFmtId="0" fontId="0" fillId="0" borderId="5" xfId="0" applyBorder="1"/>
    <xf numFmtId="0" fontId="0" fillId="0" borderId="0" xfId="0" applyBorder="1"/>
    <xf numFmtId="0" fontId="3" fillId="0" borderId="6" xfId="0" applyFont="1" applyBorder="1"/>
    <xf numFmtId="0" fontId="0" fillId="0" borderId="7" xfId="0" applyBorder="1"/>
    <xf numFmtId="2" fontId="0" fillId="0" borderId="0" xfId="0" applyNumberFormat="1" applyBorder="1"/>
    <xf numFmtId="0" fontId="0" fillId="0" borderId="0" xfId="0" applyFill="1" applyBorder="1"/>
    <xf numFmtId="3" fontId="0" fillId="0" borderId="7" xfId="0" applyNumberFormat="1" applyBorder="1"/>
    <xf numFmtId="43" fontId="0" fillId="0" borderId="0" xfId="1" applyFont="1" applyBorder="1"/>
    <xf numFmtId="43" fontId="0" fillId="0" borderId="7" xfId="1" applyFont="1" applyBorder="1"/>
    <xf numFmtId="167" fontId="0" fillId="0" borderId="5" xfId="1" applyNumberFormat="1" applyFont="1" applyBorder="1"/>
    <xf numFmtId="167" fontId="0" fillId="0" borderId="0" xfId="1" applyNumberFormat="1" applyFont="1" applyBorder="1"/>
    <xf numFmtId="167" fontId="0" fillId="0" borderId="0" xfId="1" applyNumberFormat="1" applyFont="1" applyFill="1" applyBorder="1"/>
    <xf numFmtId="167" fontId="0" fillId="0" borderId="7" xfId="1" applyNumberFormat="1" applyFont="1" applyBorder="1"/>
    <xf numFmtId="9" fontId="0" fillId="0" borderId="8" xfId="2" applyFont="1" applyBorder="1"/>
    <xf numFmtId="9" fontId="0" fillId="0" borderId="7" xfId="2" applyFont="1" applyBorder="1"/>
    <xf numFmtId="0" fontId="3" fillId="3" borderId="7" xfId="0" applyFont="1" applyFill="1" applyBorder="1"/>
    <xf numFmtId="1" fontId="0" fillId="0" borderId="0" xfId="0" applyNumberFormat="1" applyBorder="1"/>
    <xf numFmtId="1" fontId="0" fillId="0" borderId="5" xfId="0" applyNumberFormat="1" applyBorder="1"/>
    <xf numFmtId="0" fontId="0" fillId="0" borderId="9" xfId="0" applyBorder="1"/>
    <xf numFmtId="0" fontId="3" fillId="3" borderId="8" xfId="0" applyFont="1" applyFill="1" applyBorder="1"/>
    <xf numFmtId="2" fontId="0" fillId="0" borderId="9" xfId="0" applyNumberFormat="1" applyBorder="1"/>
    <xf numFmtId="0" fontId="0" fillId="0" borderId="8" xfId="0" applyBorder="1"/>
    <xf numFmtId="1" fontId="0" fillId="0" borderId="10" xfId="0" applyNumberFormat="1" applyBorder="1"/>
    <xf numFmtId="1" fontId="0" fillId="0" borderId="9" xfId="0" applyNumberFormat="1" applyBorder="1"/>
    <xf numFmtId="0" fontId="0" fillId="0" borderId="10" xfId="0" applyBorder="1"/>
    <xf numFmtId="10" fontId="0" fillId="2" borderId="11" xfId="2" applyNumberFormat="1" applyFont="1" applyFill="1" applyBorder="1"/>
    <xf numFmtId="166" fontId="0" fillId="2" borderId="2" xfId="2" applyNumberFormat="1" applyFont="1" applyFill="1" applyBorder="1"/>
    <xf numFmtId="10" fontId="0" fillId="2" borderId="3" xfId="2" applyNumberFormat="1" applyFont="1" applyFill="1" applyBorder="1"/>
    <xf numFmtId="2" fontId="0" fillId="0" borderId="5" xfId="0" applyNumberFormat="1" applyBorder="1"/>
    <xf numFmtId="2" fontId="0" fillId="0" borderId="0" xfId="0" applyNumberFormat="1" applyFill="1" applyBorder="1"/>
    <xf numFmtId="167" fontId="0" fillId="0" borderId="10" xfId="1" applyNumberFormat="1" applyFont="1" applyBorder="1"/>
    <xf numFmtId="167" fontId="0" fillId="0" borderId="9" xfId="1" applyNumberFormat="1" applyFont="1" applyBorder="1"/>
    <xf numFmtId="43" fontId="0" fillId="0" borderId="5" xfId="3" applyNumberFormat="1" applyFont="1" applyBorder="1"/>
    <xf numFmtId="43" fontId="0" fillId="0" borderId="0" xfId="3" applyNumberFormat="1" applyFont="1" applyBorder="1"/>
    <xf numFmtId="43" fontId="0" fillId="0" borderId="0" xfId="3" applyNumberFormat="1" applyFont="1" applyFill="1" applyBorder="1"/>
    <xf numFmtId="43" fontId="0" fillId="0" borderId="5" xfId="0" applyNumberFormat="1" applyBorder="1"/>
    <xf numFmtId="43" fontId="0" fillId="0" borderId="0" xfId="0" applyNumberFormat="1" applyBorder="1"/>
    <xf numFmtId="43" fontId="0" fillId="0" borderId="0" xfId="0" applyNumberFormat="1" applyFill="1" applyBorder="1"/>
    <xf numFmtId="41" fontId="0" fillId="0" borderId="5" xfId="1" applyNumberFormat="1" applyFont="1" applyBorder="1"/>
    <xf numFmtId="41" fontId="0" fillId="0" borderId="0" xfId="1" applyNumberFormat="1" applyFont="1" applyBorder="1"/>
    <xf numFmtId="41" fontId="0" fillId="0" borderId="0" xfId="1" applyNumberFormat="1" applyFont="1" applyFill="1" applyBorder="1"/>
    <xf numFmtId="167" fontId="0" fillId="0" borderId="0" xfId="0" applyNumberFormat="1"/>
    <xf numFmtId="167" fontId="0" fillId="0" borderId="0" xfId="1" applyNumberFormat="1" applyFont="1"/>
    <xf numFmtId="0" fontId="3" fillId="0" borderId="0" xfId="0" applyFont="1" applyAlignment="1">
      <alignment horizontal="right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10" fontId="0" fillId="0" borderId="0" xfId="0" applyNumberFormat="1"/>
    <xf numFmtId="0" fontId="0" fillId="0" borderId="0" xfId="0" applyFill="1" applyBorder="1" applyAlignment="1">
      <alignment wrapText="1"/>
    </xf>
    <xf numFmtId="167" fontId="0" fillId="0" borderId="7" xfId="0" applyNumberFormat="1" applyBorder="1"/>
    <xf numFmtId="3" fontId="0" fillId="0" borderId="0" xfId="0" applyNumberFormat="1"/>
    <xf numFmtId="0" fontId="0" fillId="0" borderId="7" xfId="0" applyNumberFormat="1" applyBorder="1"/>
    <xf numFmtId="41" fontId="0" fillId="0" borderId="0" xfId="0" applyNumberFormat="1"/>
    <xf numFmtId="167" fontId="0" fillId="4" borderId="5" xfId="1" applyNumberFormat="1" applyFont="1" applyFill="1" applyBorder="1"/>
    <xf numFmtId="167" fontId="0" fillId="4" borderId="0" xfId="1" applyNumberFormat="1" applyFont="1" applyFill="1" applyBorder="1"/>
    <xf numFmtId="43" fontId="0" fillId="4" borderId="7" xfId="1" applyFont="1" applyFill="1" applyBorder="1"/>
    <xf numFmtId="167" fontId="5" fillId="0" borderId="0" xfId="1" applyNumberFormat="1" applyFont="1" applyAlignment="1">
      <alignment horizontal="justify" vertical="center" wrapText="1"/>
    </xf>
    <xf numFmtId="167" fontId="1" fillId="0" borderId="0" xfId="1" applyNumberFormat="1" applyFont="1"/>
    <xf numFmtId="0" fontId="1" fillId="0" borderId="0" xfId="0" applyFont="1"/>
    <xf numFmtId="167" fontId="4" fillId="0" borderId="0" xfId="1" applyNumberFormat="1" applyFont="1"/>
    <xf numFmtId="9" fontId="1" fillId="0" borderId="0" xfId="2" applyFont="1"/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2" fontId="0" fillId="0" borderId="0" xfId="0" applyNumberFormat="1" applyBorder="1" applyAlignment="1">
      <alignment wrapText="1"/>
    </xf>
    <xf numFmtId="9" fontId="0" fillId="0" borderId="0" xfId="0" applyNumberFormat="1"/>
    <xf numFmtId="168" fontId="0" fillId="0" borderId="0" xfId="0" applyNumberFormat="1" applyBorder="1" applyAlignment="1">
      <alignment wrapText="1"/>
    </xf>
    <xf numFmtId="168" fontId="0" fillId="0" borderId="0" xfId="0" applyNumberFormat="1"/>
    <xf numFmtId="43" fontId="0" fillId="0" borderId="0" xfId="0" applyNumberFormat="1"/>
    <xf numFmtId="2" fontId="0" fillId="0" borderId="0" xfId="0" applyNumberFormat="1"/>
    <xf numFmtId="0" fontId="3" fillId="5" borderId="1" xfId="0" applyFont="1" applyFill="1" applyBorder="1"/>
    <xf numFmtId="0" fontId="3" fillId="5" borderId="6" xfId="0" applyFont="1" applyFill="1" applyBorder="1"/>
    <xf numFmtId="0" fontId="0" fillId="0" borderId="0" xfId="0" applyAlignment="1">
      <alignment wrapText="1"/>
    </xf>
    <xf numFmtId="0" fontId="8" fillId="6" borderId="12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164" fontId="8" fillId="6" borderId="0" xfId="0" applyNumberFormat="1" applyFont="1" applyFill="1" applyAlignment="1">
      <alignment horizontal="center" vertical="center" wrapText="1"/>
    </xf>
    <xf numFmtId="164" fontId="8" fillId="7" borderId="15" xfId="0" applyNumberFormat="1" applyFont="1" applyFill="1" applyBorder="1" applyAlignment="1">
      <alignment horizontal="center" vertical="center" wrapText="1"/>
    </xf>
    <xf numFmtId="164" fontId="8" fillId="6" borderId="13" xfId="0" applyNumberFormat="1" applyFont="1" applyFill="1" applyBorder="1" applyAlignment="1">
      <alignment horizontal="center" vertical="center" wrapText="1"/>
    </xf>
    <xf numFmtId="164" fontId="8" fillId="7" borderId="16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66" fontId="0" fillId="0" borderId="0" xfId="2" applyNumberFormat="1" applyFont="1"/>
    <xf numFmtId="168" fontId="0" fillId="0" borderId="0" xfId="0" applyNumberFormat="1" applyBorder="1"/>
    <xf numFmtId="17" fontId="0" fillId="0" borderId="0" xfId="0" applyNumberFormat="1"/>
    <xf numFmtId="166" fontId="0" fillId="0" borderId="0" xfId="0" applyNumberFormat="1"/>
    <xf numFmtId="166" fontId="0" fillId="0" borderId="9" xfId="2" applyNumberFormat="1" applyFont="1" applyBorder="1"/>
    <xf numFmtId="166" fontId="0" fillId="0" borderId="0" xfId="2" applyNumberFormat="1" applyFont="1" applyBorder="1"/>
    <xf numFmtId="166" fontId="0" fillId="0" borderId="9" xfId="0" applyNumberFormat="1" applyBorder="1"/>
    <xf numFmtId="9" fontId="0" fillId="0" borderId="9" xfId="0" applyNumberFormat="1" applyBorder="1"/>
    <xf numFmtId="167" fontId="0" fillId="0" borderId="9" xfId="0" applyNumberFormat="1" applyBorder="1"/>
    <xf numFmtId="9" fontId="0" fillId="0" borderId="0" xfId="2" applyFont="1" applyBorder="1"/>
    <xf numFmtId="3" fontId="0" fillId="0" borderId="0" xfId="0" applyNumberFormat="1" applyBorder="1"/>
    <xf numFmtId="14" fontId="0" fillId="0" borderId="0" xfId="0" applyNumberFormat="1"/>
    <xf numFmtId="9" fontId="0" fillId="0" borderId="9" xfId="2" applyFont="1" applyBorder="1"/>
    <xf numFmtId="169" fontId="0" fillId="0" borderId="0" xfId="0" applyNumberFormat="1" applyBorder="1"/>
    <xf numFmtId="9" fontId="0" fillId="0" borderId="0" xfId="2" applyNumberFormat="1" applyFont="1"/>
    <xf numFmtId="2" fontId="0" fillId="0" borderId="5" xfId="0" applyNumberFormat="1" applyFill="1" applyBorder="1"/>
    <xf numFmtId="2" fontId="0" fillId="0" borderId="0" xfId="0" applyNumberFormat="1" applyFill="1"/>
    <xf numFmtId="0" fontId="0" fillId="0" borderId="0" xfId="0" applyFill="1"/>
    <xf numFmtId="169" fontId="0" fillId="0" borderId="5" xfId="0" applyNumberFormat="1" applyBorder="1"/>
    <xf numFmtId="166" fontId="9" fillId="0" borderId="0" xfId="2" applyNumberFormat="1" applyFont="1"/>
    <xf numFmtId="0" fontId="0" fillId="0" borderId="0" xfId="2" applyNumberFormat="1" applyFont="1"/>
    <xf numFmtId="41" fontId="0" fillId="0" borderId="5" xfId="0" applyNumberFormat="1" applyBorder="1"/>
    <xf numFmtId="41" fontId="0" fillId="0" borderId="0" xfId="0" applyNumberFormat="1" applyBorder="1"/>
    <xf numFmtId="41" fontId="0" fillId="0" borderId="0" xfId="0" applyNumberFormat="1" applyFill="1" applyBorder="1"/>
    <xf numFmtId="3" fontId="0" fillId="0" borderId="9" xfId="0" applyNumberFormat="1" applyBorder="1" applyAlignment="1">
      <alignment wrapText="1"/>
    </xf>
    <xf numFmtId="41" fontId="0" fillId="0" borderId="9" xfId="0" applyNumberFormat="1" applyBorder="1" applyAlignment="1">
      <alignment wrapText="1"/>
    </xf>
    <xf numFmtId="170" fontId="0" fillId="0" borderId="0" xfId="0" applyNumberFormat="1" applyBorder="1"/>
    <xf numFmtId="43" fontId="0" fillId="0" borderId="0" xfId="0" applyNumberFormat="1" applyFont="1" applyBorder="1"/>
    <xf numFmtId="0" fontId="0" fillId="0" borderId="0" xfId="0" applyFont="1" applyBorder="1"/>
    <xf numFmtId="2" fontId="0" fillId="0" borderId="9" xfId="0" applyNumberFormat="1" applyFont="1" applyBorder="1"/>
    <xf numFmtId="0" fontId="0" fillId="0" borderId="0" xfId="0" applyFont="1"/>
    <xf numFmtId="43" fontId="0" fillId="0" borderId="0" xfId="0" applyNumberFormat="1" applyFont="1" applyFill="1" applyBorder="1"/>
    <xf numFmtId="167" fontId="0" fillId="0" borderId="0" xfId="0" applyNumberFormat="1" applyFont="1" applyBorder="1"/>
    <xf numFmtId="167" fontId="0" fillId="0" borderId="0" xfId="0" applyNumberFormat="1" applyFill="1" applyBorder="1"/>
    <xf numFmtId="3" fontId="0" fillId="0" borderId="8" xfId="0" applyNumberFormat="1" applyBorder="1"/>
  </cellXfs>
  <cellStyles count="4">
    <cellStyle name="Comma" xfId="1" builtinId="3"/>
    <cellStyle name="Currency" xfId="3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EB-4BE1-A719-64C3D0B68E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EB-4BE1-A719-64C3D0B68E2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EB-4BE1-A719-64C3D0B68E2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EB-4BE1-A719-64C3D0B68E2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DEB-4BE1-A719-64C3D0B68E2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EB-4BE1-A719-64C3D0B68E22}"/>
              </c:ext>
            </c:extLst>
          </c:dPt>
          <c:cat>
            <c:strRef>
              <c:f>'ALBION (2)'!$A$5:$A$10</c:f>
              <c:strCache>
                <c:ptCount val="6"/>
                <c:pt idx="0">
                  <c:v>Software &amp; other technology</c:v>
                </c:pt>
                <c:pt idx="1">
                  <c:v>Business services and other</c:v>
                </c:pt>
                <c:pt idx="2">
                  <c:v>Healthcare (including digital healthcare)</c:v>
                </c:pt>
                <c:pt idx="3">
                  <c:v>Renewable energy</c:v>
                </c:pt>
                <c:pt idx="4">
                  <c:v>Education</c:v>
                </c:pt>
                <c:pt idx="5">
                  <c:v>Cash &amp; liquid investments</c:v>
                </c:pt>
              </c:strCache>
            </c:strRef>
          </c:cat>
          <c:val>
            <c:numRef>
              <c:f>'ALBION (2)'!$G$13:$G$18</c:f>
              <c:numCache>
                <c:formatCode>General</c:formatCode>
                <c:ptCount val="6"/>
                <c:pt idx="0">
                  <c:v>33</c:v>
                </c:pt>
                <c:pt idx="1">
                  <c:v>22</c:v>
                </c:pt>
                <c:pt idx="2">
                  <c:v>12</c:v>
                </c:pt>
                <c:pt idx="3">
                  <c:v>4</c:v>
                </c:pt>
                <c:pt idx="4">
                  <c:v>5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DEB-4BE1-A719-64C3D0B68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204-47FB-BDF8-7F1BCACF05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04-47FB-BDF8-7F1BCACF05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204-47FB-BDF8-7F1BCACF053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204-47FB-BDF8-7F1BCACF053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204-47FB-BDF8-7F1BCACF053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204-47FB-BDF8-7F1BCACF05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'ALBION (2)'!$A$13:$A$18</c:f>
              <c:strCache>
                <c:ptCount val="6"/>
                <c:pt idx="0">
                  <c:v>Software &amp; other technology</c:v>
                </c:pt>
                <c:pt idx="1">
                  <c:v>Healthcare (including digital healthcare)</c:v>
                </c:pt>
                <c:pt idx="2">
                  <c:v>Renewable energy</c:v>
                </c:pt>
                <c:pt idx="3">
                  <c:v>Education</c:v>
                </c:pt>
                <c:pt idx="4">
                  <c:v>Business services and other</c:v>
                </c:pt>
                <c:pt idx="5">
                  <c:v>Cash &amp; liquid investments</c:v>
                </c:pt>
              </c:strCache>
            </c:strRef>
          </c:cat>
          <c:val>
            <c:numRef>
              <c:f>'ALBION (2)'!$G$13:$G$18</c:f>
              <c:numCache>
                <c:formatCode>General</c:formatCode>
                <c:ptCount val="6"/>
                <c:pt idx="0">
                  <c:v>33</c:v>
                </c:pt>
                <c:pt idx="1">
                  <c:v>22</c:v>
                </c:pt>
                <c:pt idx="2">
                  <c:v>12</c:v>
                </c:pt>
                <c:pt idx="3">
                  <c:v>4</c:v>
                </c:pt>
                <c:pt idx="4">
                  <c:v>5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204-47FB-BDF8-7F1BCACF053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15-43BE-9B3A-DFEA3835F3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15-43BE-9B3A-DFEA3835F35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A15-43BE-9B3A-DFEA3835F35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A15-43BE-9B3A-DFEA3835F35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A15-43BE-9B3A-DFEA3835F35D}"/>
              </c:ext>
            </c:extLst>
          </c:dPt>
          <c:cat>
            <c:strRef>
              <c:f>'ALBION (2)'!$A$29:$A$33</c:f>
              <c:strCache>
                <c:ptCount val="5"/>
                <c:pt idx="0">
                  <c:v>Under 20</c:v>
                </c:pt>
                <c:pt idx="1">
                  <c:v>21-50</c:v>
                </c:pt>
                <c:pt idx="2">
                  <c:v>51-100</c:v>
                </c:pt>
                <c:pt idx="3">
                  <c:v>101+</c:v>
                </c:pt>
                <c:pt idx="4">
                  <c:v>Renewable energy</c:v>
                </c:pt>
              </c:strCache>
            </c:strRef>
          </c:cat>
          <c:val>
            <c:numRef>
              <c:f>'ALBION (2)'!$G$29:$G$33</c:f>
              <c:numCache>
                <c:formatCode>General</c:formatCode>
                <c:ptCount val="5"/>
                <c:pt idx="0">
                  <c:v>4</c:v>
                </c:pt>
                <c:pt idx="1">
                  <c:v>29</c:v>
                </c:pt>
                <c:pt idx="2">
                  <c:v>18</c:v>
                </c:pt>
                <c:pt idx="3">
                  <c:v>33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15-43BE-9B3A-DFEA3835F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22-4AE2-B6C3-FB582E5CED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22-4AE2-B6C3-FB582E5CED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22-4AE2-B6C3-FB582E5CED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222-4AE2-B6C3-FB582E5CED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2-4AE2-B6C3-FB582E5CED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'ALBION (2)'!$A$29:$A$33</c:f>
              <c:strCache>
                <c:ptCount val="5"/>
                <c:pt idx="0">
                  <c:v>Under 20</c:v>
                </c:pt>
                <c:pt idx="1">
                  <c:v>21-50</c:v>
                </c:pt>
                <c:pt idx="2">
                  <c:v>51-100</c:v>
                </c:pt>
                <c:pt idx="3">
                  <c:v>101+</c:v>
                </c:pt>
                <c:pt idx="4">
                  <c:v>Renewable energy</c:v>
                </c:pt>
              </c:strCache>
            </c:strRef>
          </c:cat>
          <c:val>
            <c:numRef>
              <c:f>'ALBION (2)'!$G$29:$G$33</c:f>
              <c:numCache>
                <c:formatCode>General</c:formatCode>
                <c:ptCount val="5"/>
                <c:pt idx="0">
                  <c:v>4</c:v>
                </c:pt>
                <c:pt idx="1">
                  <c:v>29</c:v>
                </c:pt>
                <c:pt idx="2">
                  <c:v>18</c:v>
                </c:pt>
                <c:pt idx="3">
                  <c:v>33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222-4AE2-B6C3-FB582E5CED7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24-47CE-9441-0902C0C723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24-47CE-9441-0902C0C723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24-47CE-9441-0902C0C723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'ALBION (2)'!$A$45:$A$47</c:f>
              <c:strCache>
                <c:ptCount val="3"/>
                <c:pt idx="0">
                  <c:v>Early stage (turnover &lt;£1m)</c:v>
                </c:pt>
                <c:pt idx="1">
                  <c:v>Growth (turnover between
£1m and £5m)</c:v>
                </c:pt>
                <c:pt idx="2">
                  <c:v>Scale up (turnover &gt;£5m)</c:v>
                </c:pt>
              </c:strCache>
            </c:strRef>
          </c:cat>
          <c:val>
            <c:numRef>
              <c:f>'ALBION (2)'!$G$45:$G$47</c:f>
              <c:numCache>
                <c:formatCode>General</c:formatCode>
                <c:ptCount val="3"/>
                <c:pt idx="0">
                  <c:v>12</c:v>
                </c:pt>
                <c:pt idx="1">
                  <c:v>37</c:v>
                </c:pt>
                <c:pt idx="2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24-47CE-9441-0902C0C723F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Calculus!$A$72:$C$72</c:f>
              <c:strCache>
                <c:ptCount val="3"/>
                <c:pt idx="0">
                  <c:v>Unquoted equities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Calculus!$D$71:$F$71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Calculus!$D$72:$F$72</c:f>
              <c:numCache>
                <c:formatCode>General</c:formatCode>
                <c:ptCount val="3"/>
                <c:pt idx="0">
                  <c:v>4182</c:v>
                </c:pt>
                <c:pt idx="1">
                  <c:v>4758</c:v>
                </c:pt>
                <c:pt idx="2">
                  <c:v>6493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31-B743-8388-D0F88760BA20}"/>
            </c:ext>
          </c:extLst>
        </c:ser>
        <c:ser>
          <c:idx val="1"/>
          <c:order val="1"/>
          <c:tx>
            <c:strRef>
              <c:f>Calculus!$A$73:$C$73</c:f>
              <c:strCache>
                <c:ptCount val="3"/>
                <c:pt idx="0">
                  <c:v>AIM Quoted equities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Calculus!$D$71:$F$71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Calculus!$D$73:$F$73</c:f>
              <c:numCache>
                <c:formatCode>General</c:formatCode>
                <c:ptCount val="3"/>
                <c:pt idx="0">
                  <c:v>610</c:v>
                </c:pt>
                <c:pt idx="1">
                  <c:v>408</c:v>
                </c:pt>
                <c:pt idx="2">
                  <c:v>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31-B743-8388-D0F88760BA20}"/>
            </c:ext>
          </c:extLst>
        </c:ser>
        <c:ser>
          <c:idx val="2"/>
          <c:order val="2"/>
          <c:tx>
            <c:strRef>
              <c:f>Calculus!$A$74:$C$74</c:f>
              <c:strCache>
                <c:ptCount val="3"/>
                <c:pt idx="0">
                  <c:v>Quoted liquidity funds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Calculus!$D$71:$F$71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Calculus!$D$74:$F$74</c:f>
              <c:numCache>
                <c:formatCode>General</c:formatCode>
                <c:ptCount val="3"/>
                <c:pt idx="0">
                  <c:v>2645</c:v>
                </c:pt>
                <c:pt idx="1">
                  <c:v>5652</c:v>
                </c:pt>
                <c:pt idx="2" formatCode="#,##0">
                  <c:v>5665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31-B743-8388-D0F88760BA20}"/>
            </c:ext>
          </c:extLst>
        </c:ser>
        <c:ser>
          <c:idx val="3"/>
          <c:order val="3"/>
          <c:tx>
            <c:strRef>
              <c:f>Calculus!$A$75:$C$75</c:f>
              <c:strCache>
                <c:ptCount val="3"/>
                <c:pt idx="0">
                  <c:v>Loan Stock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Calculus!$D$71:$F$71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Calculus!$D$75:$F$75</c:f>
              <c:numCache>
                <c:formatCode>General</c:formatCode>
                <c:ptCount val="3"/>
                <c:pt idx="0">
                  <c:v>545</c:v>
                </c:pt>
                <c:pt idx="1">
                  <c:v>775</c:v>
                </c:pt>
                <c:pt idx="2" formatCode="#,##0">
                  <c:v>1625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1-B743-8388-D0F88760BA20}"/>
            </c:ext>
          </c:extLst>
        </c:ser>
        <c:ser>
          <c:idx val="4"/>
          <c:order val="4"/>
          <c:tx>
            <c:strRef>
              <c:f>Calculus!$A$76:$C$76</c:f>
              <c:strCache>
                <c:ptCount val="3"/>
                <c:pt idx="0">
                  <c:v>Cash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Calculus!$D$71:$F$71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Calculus!$D$76:$F$76</c:f>
              <c:numCache>
                <c:formatCode>General</c:formatCode>
                <c:ptCount val="3"/>
                <c:pt idx="0">
                  <c:v>2267</c:v>
                </c:pt>
                <c:pt idx="1">
                  <c:v>2378</c:v>
                </c:pt>
                <c:pt idx="2">
                  <c:v>3156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31-B743-8388-D0F88760B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7682816"/>
        <c:axId val="737684496"/>
      </c:barChart>
      <c:catAx>
        <c:axId val="73768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84496"/>
        <c:crosses val="autoZero"/>
        <c:auto val="1"/>
        <c:lblAlgn val="ctr"/>
        <c:lblOffset val="100"/>
        <c:noMultiLvlLbl val="0"/>
      </c:catAx>
      <c:valAx>
        <c:axId val="73768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8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278477</xdr:colOff>
      <xdr:row>2</xdr:row>
      <xdr:rowOff>138546</xdr:rowOff>
    </xdr:from>
    <xdr:to>
      <xdr:col>16</xdr:col>
      <xdr:colOff>156557</xdr:colOff>
      <xdr:row>16</xdr:row>
      <xdr:rowOff>108065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23B2D1-F1C0-4AE3-900D-370FBE136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152400</xdr:colOff>
      <xdr:row>3</xdr:row>
      <xdr:rowOff>0</xdr:rowOff>
    </xdr:from>
    <xdr:to>
      <xdr:col>24</xdr:col>
      <xdr:colOff>193271</xdr:colOff>
      <xdr:row>16</xdr:row>
      <xdr:rowOff>27709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84E20-2768-4850-9A90-25F4EB1CE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421912</xdr:colOff>
      <xdr:row>24</xdr:row>
      <xdr:rowOff>22006</xdr:rowOff>
    </xdr:from>
    <xdr:to>
      <xdr:col>16</xdr:col>
      <xdr:colOff>299992</xdr:colOff>
      <xdr:row>37</xdr:row>
      <xdr:rowOff>188748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E2EDA3-C54A-4F99-9853-22998114B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360218</xdr:colOff>
      <xdr:row>26</xdr:row>
      <xdr:rowOff>83128</xdr:rowOff>
    </xdr:from>
    <xdr:to>
      <xdr:col>24</xdr:col>
      <xdr:colOff>401089</xdr:colOff>
      <xdr:row>39</xdr:row>
      <xdr:rowOff>110837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615F40-4A78-4696-B9E2-65DFCE22C6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290945</xdr:colOff>
      <xdr:row>42</xdr:row>
      <xdr:rowOff>318655</xdr:rowOff>
    </xdr:from>
    <xdr:to>
      <xdr:col>21</xdr:col>
      <xdr:colOff>331817</xdr:colOff>
      <xdr:row>55</xdr:row>
      <xdr:rowOff>138546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E6EA3A-7158-4294-A209-36CA6DC151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5</xdr:row>
      <xdr:rowOff>142875</xdr:rowOff>
    </xdr:from>
    <xdr:to>
      <xdr:col>20</xdr:col>
      <xdr:colOff>705942</xdr:colOff>
      <xdr:row>37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4094" y="1154906"/>
          <a:ext cx="4039692" cy="722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15</xdr:row>
      <xdr:rowOff>0</xdr:rowOff>
    </xdr:from>
    <xdr:to>
      <xdr:col>19</xdr:col>
      <xdr:colOff>325755</xdr:colOff>
      <xdr:row>47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87700" y="2600325"/>
          <a:ext cx="3686175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70</xdr:row>
      <xdr:rowOff>152400</xdr:rowOff>
    </xdr:from>
    <xdr:to>
      <xdr:col>14</xdr:col>
      <xdr:colOff>781050</xdr:colOff>
      <xdr:row>84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E87A-5ABD-2342-8FD3-A3CD9E4E99F6}">
  <dimension ref="A1:N7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4" sqref="L4"/>
    </sheetView>
  </sheetViews>
  <sheetFormatPr baseColWidth="10" defaultColWidth="11" defaultRowHeight="16" x14ac:dyDescent="0.2"/>
  <cols>
    <col min="1" max="1" width="44.5" style="5" customWidth="1"/>
    <col min="2" max="6" width="16.1640625" customWidth="1"/>
    <col min="8" max="8" width="11.6640625" bestFit="1" customWidth="1"/>
  </cols>
  <sheetData>
    <row r="1" spans="1:12" x14ac:dyDescent="0.2">
      <c r="A1" s="5" t="s">
        <v>0</v>
      </c>
      <c r="B1" s="1">
        <v>43830</v>
      </c>
    </row>
    <row r="2" spans="1:12" x14ac:dyDescent="0.2">
      <c r="A2" s="6" t="s">
        <v>1</v>
      </c>
    </row>
    <row r="3" spans="1:12" x14ac:dyDescent="0.2">
      <c r="B3" s="4">
        <v>2015</v>
      </c>
      <c r="C3" s="4">
        <v>2016</v>
      </c>
      <c r="D3" s="4">
        <v>2017</v>
      </c>
      <c r="E3" s="4">
        <v>2018</v>
      </c>
      <c r="F3" s="4">
        <v>2019</v>
      </c>
      <c r="G3" s="4">
        <v>2020</v>
      </c>
      <c r="H3" s="25" t="s">
        <v>2</v>
      </c>
      <c r="I3" t="s">
        <v>3</v>
      </c>
      <c r="J3" t="s">
        <v>4</v>
      </c>
      <c r="L3" t="s">
        <v>264</v>
      </c>
    </row>
    <row r="4" spans="1:12" x14ac:dyDescent="0.2">
      <c r="A4" s="9" t="s">
        <v>205</v>
      </c>
      <c r="B4" s="38"/>
      <c r="C4" s="38"/>
      <c r="D4" s="38"/>
      <c r="E4" s="38"/>
      <c r="F4" s="38"/>
      <c r="G4" s="10">
        <v>3.18</v>
      </c>
      <c r="H4" s="30"/>
      <c r="L4">
        <v>2.9430000000000001</v>
      </c>
    </row>
    <row r="5" spans="1:12" x14ac:dyDescent="0.2">
      <c r="A5" s="6" t="s">
        <v>160</v>
      </c>
      <c r="B5" s="14"/>
      <c r="C5" s="14"/>
      <c r="D5" s="14"/>
      <c r="E5" s="14"/>
      <c r="F5" s="14"/>
      <c r="G5" s="14">
        <v>1.8</v>
      </c>
      <c r="H5" s="30"/>
      <c r="L5">
        <v>1.68</v>
      </c>
    </row>
    <row r="6" spans="1:12" x14ac:dyDescent="0.2">
      <c r="A6" s="6" t="s">
        <v>206</v>
      </c>
      <c r="B6" s="14"/>
      <c r="C6" s="14"/>
      <c r="D6" s="14"/>
      <c r="E6" s="14"/>
      <c r="F6" s="14"/>
      <c r="G6" s="15">
        <v>-0.52</v>
      </c>
      <c r="H6" s="30"/>
    </row>
    <row r="7" spans="1:12" x14ac:dyDescent="0.2">
      <c r="A7" s="9" t="s">
        <v>5</v>
      </c>
      <c r="B7" s="38">
        <v>1.367</v>
      </c>
      <c r="C7" s="38">
        <v>2.911</v>
      </c>
      <c r="D7" s="38">
        <v>5.5140000000000002</v>
      </c>
      <c r="E7" s="38">
        <v>3.766</v>
      </c>
      <c r="F7" s="38">
        <v>3.0739999999999998</v>
      </c>
      <c r="G7" s="10">
        <v>4.07</v>
      </c>
      <c r="H7" s="14">
        <f>SUM(B7:G7)</f>
        <v>20.702000000000002</v>
      </c>
      <c r="L7">
        <v>0.22</v>
      </c>
    </row>
    <row r="8" spans="1:12" x14ac:dyDescent="0.2">
      <c r="A8" s="6" t="s">
        <v>213</v>
      </c>
      <c r="B8" s="14"/>
      <c r="C8" s="14"/>
      <c r="D8" s="14"/>
      <c r="E8" s="14"/>
      <c r="F8" s="14">
        <v>1.294</v>
      </c>
      <c r="G8" s="39">
        <v>0.69199999999999995</v>
      </c>
      <c r="H8" s="14"/>
      <c r="L8">
        <v>0.37</v>
      </c>
    </row>
    <row r="9" spans="1:12" x14ac:dyDescent="0.2">
      <c r="A9" s="6" t="s">
        <v>6</v>
      </c>
      <c r="B9" s="14">
        <v>1.619</v>
      </c>
      <c r="C9" s="14">
        <v>2.8620000000000001</v>
      </c>
      <c r="D9" s="14">
        <v>4.891</v>
      </c>
      <c r="E9" s="14">
        <v>11.218</v>
      </c>
      <c r="F9" s="14">
        <v>2.673</v>
      </c>
      <c r="G9" s="39">
        <v>2.9129999999999998</v>
      </c>
      <c r="H9" s="14">
        <f>SUM(B9:G9)</f>
        <v>26.175999999999998</v>
      </c>
      <c r="L9">
        <v>12.45</v>
      </c>
    </row>
    <row r="10" spans="1:12" x14ac:dyDescent="0.2">
      <c r="A10" s="6" t="s">
        <v>8</v>
      </c>
      <c r="B10" s="39">
        <v>3.1</v>
      </c>
      <c r="C10" s="39">
        <v>4.7</v>
      </c>
      <c r="D10" s="39">
        <v>7.2</v>
      </c>
      <c r="E10" s="14">
        <v>15</v>
      </c>
      <c r="F10" s="14">
        <v>3.28</v>
      </c>
      <c r="G10" s="39">
        <v>3.17</v>
      </c>
      <c r="H10" s="14">
        <f>SUM(B10:G10)</f>
        <v>36.450000000000003</v>
      </c>
      <c r="L10">
        <v>12.47</v>
      </c>
    </row>
    <row r="11" spans="1:12" x14ac:dyDescent="0.2">
      <c r="A11" s="6" t="s">
        <v>9</v>
      </c>
      <c r="B11" s="39">
        <v>2.2949999999999999</v>
      </c>
      <c r="C11" s="39">
        <v>2.6309999999999998</v>
      </c>
      <c r="D11" s="39">
        <v>2.2749999999999999</v>
      </c>
      <c r="E11" s="14">
        <v>2.5099999999999998</v>
      </c>
      <c r="F11" s="14">
        <v>3.1320000000000001</v>
      </c>
      <c r="G11" s="39">
        <v>3.2509999999999999</v>
      </c>
      <c r="H11" s="14">
        <f>SUM(B11:G11)</f>
        <v>16.094000000000001</v>
      </c>
      <c r="L11">
        <v>2.12</v>
      </c>
    </row>
    <row r="12" spans="1:12" x14ac:dyDescent="0.2">
      <c r="A12" s="6" t="s">
        <v>10</v>
      </c>
      <c r="B12" s="14">
        <v>5</v>
      </c>
      <c r="C12" s="14">
        <v>5</v>
      </c>
      <c r="D12" s="14">
        <v>4</v>
      </c>
      <c r="E12" s="14">
        <v>4</v>
      </c>
      <c r="F12" s="14">
        <v>4.5</v>
      </c>
      <c r="G12" s="39">
        <v>4.24</v>
      </c>
      <c r="H12" s="14">
        <f>SUM(B12:G12)</f>
        <v>26.740000000000002</v>
      </c>
      <c r="L12">
        <v>2.06</v>
      </c>
    </row>
    <row r="13" spans="1:12" x14ac:dyDescent="0.2">
      <c r="A13" s="6" t="s">
        <v>11</v>
      </c>
      <c r="B13" s="11"/>
      <c r="C13" s="11"/>
      <c r="D13" s="11"/>
      <c r="E13" s="11"/>
      <c r="F13" s="11"/>
      <c r="G13" s="11"/>
      <c r="H13" s="11"/>
    </row>
    <row r="14" spans="1:12" x14ac:dyDescent="0.2">
      <c r="A14" s="6" t="s">
        <v>12</v>
      </c>
      <c r="B14" s="2">
        <f t="shared" ref="B14:E14" si="0">B7/B11</f>
        <v>0.5956427015250545</v>
      </c>
      <c r="C14" s="2">
        <f t="shared" si="0"/>
        <v>1.1064234131508932</v>
      </c>
      <c r="D14" s="2">
        <f t="shared" si="0"/>
        <v>2.4237362637362638</v>
      </c>
      <c r="E14" s="2">
        <f t="shared" si="0"/>
        <v>1.5003984063745022</v>
      </c>
      <c r="F14" s="2">
        <f t="shared" ref="F14:G14" si="1">F7/F11</f>
        <v>0.9814814814814814</v>
      </c>
      <c r="G14" s="2">
        <f t="shared" si="1"/>
        <v>1.2519224853891111</v>
      </c>
      <c r="H14" s="2">
        <f t="shared" ref="H14" si="2">H7/H11</f>
        <v>1.2863178824406611</v>
      </c>
      <c r="L14" s="2">
        <f t="shared" ref="L14" si="3">L7/L11</f>
        <v>0.10377358490566037</v>
      </c>
    </row>
    <row r="15" spans="1:12" x14ac:dyDescent="0.2">
      <c r="A15" s="12" t="s">
        <v>13</v>
      </c>
      <c r="B15" s="23">
        <f t="shared" ref="B15:E15" si="4">B9/B11</f>
        <v>0.70544662309368189</v>
      </c>
      <c r="C15" s="24">
        <f t="shared" si="4"/>
        <v>1.087799315849487</v>
      </c>
      <c r="D15" s="24">
        <f t="shared" si="4"/>
        <v>2.14989010989011</v>
      </c>
      <c r="E15" s="24">
        <f t="shared" si="4"/>
        <v>4.4693227091633467</v>
      </c>
      <c r="F15" s="24">
        <f t="shared" ref="F15:G15" si="5">F9/F11</f>
        <v>0.85344827586206895</v>
      </c>
      <c r="G15" s="24">
        <f t="shared" si="5"/>
        <v>0.89603199015687474</v>
      </c>
      <c r="H15" s="24">
        <f t="shared" ref="H15" si="6">H9/H11</f>
        <v>1.6264446377531998</v>
      </c>
      <c r="L15" s="24">
        <f t="shared" ref="L15" si="7">L9/L11</f>
        <v>5.8726415094339615</v>
      </c>
    </row>
    <row r="16" spans="1:12" x14ac:dyDescent="0.2">
      <c r="A16" s="6"/>
    </row>
    <row r="17" spans="1:12" x14ac:dyDescent="0.2">
      <c r="A17" s="9" t="s">
        <v>14</v>
      </c>
      <c r="B17" s="19">
        <v>600</v>
      </c>
      <c r="C17" s="19">
        <v>689</v>
      </c>
      <c r="D17" s="19">
        <v>801</v>
      </c>
      <c r="E17" s="19">
        <v>839</v>
      </c>
      <c r="F17" s="19">
        <v>938</v>
      </c>
      <c r="G17" s="10"/>
      <c r="H17" s="27"/>
    </row>
    <row r="18" spans="1:12" x14ac:dyDescent="0.2">
      <c r="A18" s="6" t="s">
        <v>15</v>
      </c>
      <c r="B18" s="20">
        <v>11652</v>
      </c>
      <c r="C18" s="20">
        <v>17886</v>
      </c>
      <c r="D18" s="20">
        <v>25704</v>
      </c>
      <c r="E18" s="20">
        <v>28406</v>
      </c>
      <c r="F18" s="20">
        <v>36712</v>
      </c>
      <c r="G18" s="11"/>
      <c r="H18" s="26"/>
    </row>
    <row r="19" spans="1:12" x14ac:dyDescent="0.2">
      <c r="A19" s="6" t="s">
        <v>16</v>
      </c>
      <c r="B19" s="20">
        <v>16933</v>
      </c>
      <c r="C19" s="20">
        <v>13482</v>
      </c>
      <c r="D19" s="20">
        <v>10093</v>
      </c>
      <c r="E19" s="20">
        <v>6348</v>
      </c>
      <c r="F19" s="20">
        <v>2168</v>
      </c>
      <c r="G19" s="11"/>
      <c r="H19" s="26"/>
    </row>
    <row r="20" spans="1:12" x14ac:dyDescent="0.2">
      <c r="A20" s="6" t="s">
        <v>17</v>
      </c>
      <c r="B20" s="20">
        <v>12</v>
      </c>
      <c r="C20" s="21">
        <v>12</v>
      </c>
      <c r="D20" s="21">
        <v>12</v>
      </c>
      <c r="E20" s="20">
        <v>12</v>
      </c>
      <c r="F20" s="20">
        <v>12</v>
      </c>
      <c r="G20" s="11"/>
      <c r="H20" s="26"/>
    </row>
    <row r="21" spans="1:12" x14ac:dyDescent="0.2">
      <c r="A21" s="6" t="s">
        <v>18</v>
      </c>
      <c r="B21" s="21">
        <v>4820</v>
      </c>
      <c r="C21" s="21">
        <v>4763</v>
      </c>
      <c r="D21" s="21">
        <v>5844</v>
      </c>
      <c r="E21" s="20">
        <v>16234</v>
      </c>
      <c r="F21" s="20">
        <v>14702</v>
      </c>
      <c r="G21" s="11"/>
      <c r="H21" s="26"/>
      <c r="I21" t="s">
        <v>19</v>
      </c>
    </row>
    <row r="22" spans="1:12" x14ac:dyDescent="0.2">
      <c r="A22" s="6" t="s">
        <v>20</v>
      </c>
      <c r="B22" s="21">
        <v>4883</v>
      </c>
      <c r="C22" s="21">
        <v>7253</v>
      </c>
      <c r="D22" s="21">
        <v>10892</v>
      </c>
      <c r="E22" s="20">
        <v>11539</v>
      </c>
      <c r="F22" s="20">
        <v>15151</v>
      </c>
      <c r="G22" s="11"/>
      <c r="H22" s="26"/>
      <c r="I22" t="s">
        <v>21</v>
      </c>
    </row>
    <row r="23" spans="1:12" x14ac:dyDescent="0.2">
      <c r="A23" s="6" t="s">
        <v>22</v>
      </c>
      <c r="B23" s="11"/>
      <c r="C23" s="17"/>
      <c r="D23" s="17"/>
      <c r="E23" s="17"/>
      <c r="F23" s="17"/>
      <c r="G23" s="11"/>
      <c r="H23" s="11"/>
      <c r="I23" t="s">
        <v>23</v>
      </c>
    </row>
    <row r="24" spans="1:12" x14ac:dyDescent="0.2">
      <c r="A24" s="6" t="s">
        <v>24</v>
      </c>
      <c r="B24" s="21">
        <v>38900</v>
      </c>
      <c r="C24" s="21">
        <v>44085</v>
      </c>
      <c r="D24" s="21">
        <v>53346</v>
      </c>
      <c r="E24" s="21">
        <v>63378</v>
      </c>
      <c r="F24" s="21">
        <v>69683</v>
      </c>
      <c r="G24" s="100">
        <v>75859</v>
      </c>
      <c r="H24" s="11"/>
      <c r="L24" s="60">
        <v>95340</v>
      </c>
    </row>
    <row r="25" spans="1:12" x14ac:dyDescent="0.2">
      <c r="A25" s="12" t="s">
        <v>25</v>
      </c>
      <c r="B25" s="13">
        <v>71.099999999999994</v>
      </c>
      <c r="C25" s="18">
        <v>70.7</v>
      </c>
      <c r="D25" s="18">
        <v>73.8</v>
      </c>
      <c r="E25" s="18">
        <v>84.7</v>
      </c>
      <c r="F25" s="18">
        <v>83.47</v>
      </c>
      <c r="G25" s="13">
        <v>82.42</v>
      </c>
      <c r="H25" s="13"/>
      <c r="L25">
        <v>92.41</v>
      </c>
    </row>
    <row r="26" spans="1:12" x14ac:dyDescent="0.2">
      <c r="A26" s="6"/>
      <c r="B26" s="51"/>
      <c r="C26" s="51"/>
      <c r="D26" s="51"/>
      <c r="E26" s="51"/>
      <c r="F26" s="51"/>
    </row>
    <row r="27" spans="1:12" x14ac:dyDescent="0.2">
      <c r="A27" s="9" t="s">
        <v>26</v>
      </c>
      <c r="B27" s="10"/>
      <c r="C27" s="10"/>
      <c r="D27" s="10"/>
      <c r="E27" s="10"/>
      <c r="F27" s="10"/>
      <c r="G27" s="10"/>
      <c r="H27" s="10"/>
    </row>
    <row r="28" spans="1:12" x14ac:dyDescent="0.2">
      <c r="A28" s="6" t="s">
        <v>27</v>
      </c>
      <c r="B28" s="11">
        <v>649</v>
      </c>
      <c r="C28" s="20">
        <v>864</v>
      </c>
      <c r="D28" s="20">
        <v>855</v>
      </c>
      <c r="E28" s="20">
        <v>921</v>
      </c>
      <c r="F28" s="20">
        <v>1013</v>
      </c>
      <c r="G28" s="21">
        <v>1188</v>
      </c>
      <c r="H28" s="11"/>
      <c r="L28">
        <v>710</v>
      </c>
    </row>
    <row r="29" spans="1:12" x14ac:dyDescent="0.2">
      <c r="A29" s="6" t="s">
        <v>28</v>
      </c>
      <c r="B29" s="21">
        <v>5807</v>
      </c>
      <c r="C29" s="21">
        <v>5820</v>
      </c>
      <c r="D29" s="21">
        <v>7503</v>
      </c>
      <c r="E29" s="20">
        <v>2244</v>
      </c>
      <c r="F29" s="21">
        <v>7807</v>
      </c>
      <c r="G29" s="21">
        <v>7737</v>
      </c>
      <c r="H29" s="11"/>
      <c r="L29" s="60">
        <v>9767</v>
      </c>
    </row>
    <row r="30" spans="1:12" x14ac:dyDescent="0.2">
      <c r="A30" s="12" t="s">
        <v>29</v>
      </c>
      <c r="B30" s="16">
        <v>59965643</v>
      </c>
      <c r="C30" s="22">
        <v>62326874</v>
      </c>
      <c r="D30" s="22">
        <v>72316859</v>
      </c>
      <c r="E30" s="22">
        <v>74788313</v>
      </c>
      <c r="F30" s="22">
        <v>83478149</v>
      </c>
      <c r="G30" s="16">
        <v>92036398</v>
      </c>
      <c r="H30" s="13"/>
      <c r="L30" s="60">
        <v>103165957</v>
      </c>
    </row>
    <row r="31" spans="1:12" x14ac:dyDescent="0.2">
      <c r="A31" s="6"/>
    </row>
    <row r="32" spans="1:12" s="3" customFormat="1" x14ac:dyDescent="0.2">
      <c r="A32" s="7" t="s">
        <v>30</v>
      </c>
      <c r="B32" s="8"/>
      <c r="C32" s="36">
        <f>(C25+C12+C13)/B25-1</f>
        <v>6.4697609001406642E-2</v>
      </c>
      <c r="D32" s="36">
        <f>(D25+D12+D13)/C25-1</f>
        <v>0.10042432814710045</v>
      </c>
      <c r="E32" s="36">
        <f>(E25+E12+E13)/D25-1</f>
        <v>0.20189701897018986</v>
      </c>
      <c r="F32" s="36">
        <f>(F25+F12+F13)/E25-1</f>
        <v>3.8606847697756796E-2</v>
      </c>
      <c r="G32" s="36">
        <f>(G25+G12+G13)/F25-1</f>
        <v>3.8217323589313512E-2</v>
      </c>
      <c r="H32" s="8"/>
      <c r="L32" s="36">
        <f>(L25+L12+L13)/G25-1</f>
        <v>0.14620237806357683</v>
      </c>
    </row>
    <row r="33" spans="1:12" x14ac:dyDescent="0.2">
      <c r="A33" s="7" t="s">
        <v>31</v>
      </c>
      <c r="B33" s="35"/>
      <c r="C33" s="36"/>
      <c r="D33" s="36"/>
      <c r="E33" s="36"/>
      <c r="F33" s="36"/>
      <c r="G33" s="37"/>
      <c r="H33" s="35">
        <f>((C32+1)*(D32+1)*(E32+1)*(F32+1)*(1+G32))^(1/5)-1</f>
        <v>8.7122875986352488E-2</v>
      </c>
      <c r="L33" s="90">
        <f>((D32+1)*(E32+1)*(F32+1)*(1+G32)*(1+L32))^(1/4.5)-1</f>
        <v>0.11539447445520756</v>
      </c>
    </row>
    <row r="35" spans="1:12" s="10" customFormat="1" x14ac:dyDescent="0.2">
      <c r="B35" s="34"/>
    </row>
    <row r="36" spans="1:12" x14ac:dyDescent="0.2">
      <c r="A36" s="11"/>
      <c r="B36" s="28"/>
    </row>
    <row r="37" spans="1:12" x14ac:dyDescent="0.2">
      <c r="A37" s="11" t="s">
        <v>32</v>
      </c>
      <c r="B37" s="54"/>
      <c r="D37" s="53"/>
      <c r="F37" s="53" t="s">
        <v>33</v>
      </c>
    </row>
    <row r="38" spans="1:12" x14ac:dyDescent="0.2">
      <c r="A38" s="11" t="s">
        <v>214</v>
      </c>
      <c r="B38" s="55"/>
      <c r="D38" s="2"/>
      <c r="F38" s="52">
        <v>37372</v>
      </c>
      <c r="G38" s="60">
        <v>44350</v>
      </c>
    </row>
    <row r="39" spans="1:12" x14ac:dyDescent="0.2">
      <c r="A39" s="11" t="s">
        <v>215</v>
      </c>
      <c r="B39" s="55"/>
      <c r="D39" s="2"/>
      <c r="F39" s="52">
        <v>14012</v>
      </c>
      <c r="G39" s="60">
        <v>14648</v>
      </c>
    </row>
    <row r="40" spans="1:12" x14ac:dyDescent="0.2">
      <c r="A40" s="11" t="s">
        <v>37</v>
      </c>
      <c r="B40" s="55"/>
      <c r="D40" s="2"/>
      <c r="F40" s="52">
        <v>14529</v>
      </c>
      <c r="G40" s="60">
        <v>15545</v>
      </c>
      <c r="L40" s="60">
        <v>20400</v>
      </c>
    </row>
    <row r="41" spans="1:12" x14ac:dyDescent="0.2">
      <c r="A41" s="11"/>
      <c r="B41" s="55"/>
      <c r="C41" s="52"/>
    </row>
    <row r="42" spans="1:12" x14ac:dyDescent="0.2">
      <c r="A42" s="15" t="s">
        <v>38</v>
      </c>
      <c r="B42" s="55"/>
      <c r="C42" s="60">
        <f t="shared" ref="C42:E42" si="8">C24</f>
        <v>44085</v>
      </c>
      <c r="D42" s="51">
        <f t="shared" si="8"/>
        <v>53346</v>
      </c>
      <c r="E42" s="60">
        <f t="shared" si="8"/>
        <v>63378</v>
      </c>
      <c r="F42" s="51">
        <f>F24</f>
        <v>69683</v>
      </c>
      <c r="G42" s="60">
        <f>G24</f>
        <v>75859</v>
      </c>
    </row>
    <row r="43" spans="1:12" s="13" customFormat="1" x14ac:dyDescent="0.2">
      <c r="B43" s="56"/>
      <c r="C43" s="22"/>
    </row>
    <row r="45" spans="1:12" x14ac:dyDescent="0.2">
      <c r="A45" s="5" t="s">
        <v>39</v>
      </c>
    </row>
    <row r="46" spans="1:12" x14ac:dyDescent="0.2">
      <c r="A46" s="5" t="s">
        <v>207</v>
      </c>
      <c r="F46" s="57">
        <v>2.5000000000000001E-2</v>
      </c>
      <c r="G46" s="57">
        <v>2.5000000000000001E-2</v>
      </c>
    </row>
    <row r="47" spans="1:12" x14ac:dyDescent="0.2">
      <c r="A47" s="5" t="s">
        <v>208</v>
      </c>
      <c r="F47" s="57">
        <v>2.2499999999999999E-2</v>
      </c>
    </row>
    <row r="48" spans="1:12" s="11" customFormat="1" x14ac:dyDescent="0.2">
      <c r="A48" s="11" t="s">
        <v>220</v>
      </c>
      <c r="F48" s="11">
        <v>198</v>
      </c>
      <c r="G48" s="11">
        <v>168</v>
      </c>
    </row>
    <row r="49" spans="1:14" x14ac:dyDescent="0.2">
      <c r="A49" s="5" t="s">
        <v>226</v>
      </c>
      <c r="F49">
        <v>0</v>
      </c>
      <c r="G49">
        <v>42</v>
      </c>
    </row>
    <row r="50" spans="1:14" x14ac:dyDescent="0.2">
      <c r="A50" s="5" t="s">
        <v>209</v>
      </c>
      <c r="I50" s="28"/>
      <c r="J50" t="s">
        <v>221</v>
      </c>
    </row>
    <row r="51" spans="1:14" x14ac:dyDescent="0.2">
      <c r="A51" s="5" t="s">
        <v>210</v>
      </c>
      <c r="I51" s="102">
        <f>SUM(J51:J60)/100</f>
        <v>0.52999999999999992</v>
      </c>
      <c r="J51">
        <v>15.6</v>
      </c>
      <c r="L51" s="2">
        <f>47864/L24</f>
        <v>0.5020348227396686</v>
      </c>
      <c r="N51" t="s">
        <v>218</v>
      </c>
    </row>
    <row r="52" spans="1:14" x14ac:dyDescent="0.2">
      <c r="A52" s="5" t="s">
        <v>211</v>
      </c>
      <c r="I52" s="102">
        <f>SUM(J51:J70)/100</f>
        <v>0.65899999999999981</v>
      </c>
      <c r="J52">
        <v>8.6999999999999993</v>
      </c>
      <c r="L52" s="2">
        <f>60384/L24</f>
        <v>0.6333543108873505</v>
      </c>
      <c r="N52">
        <v>14869</v>
      </c>
    </row>
    <row r="53" spans="1:14" x14ac:dyDescent="0.2">
      <c r="A53" s="5" t="s">
        <v>212</v>
      </c>
      <c r="G53">
        <v>58</v>
      </c>
      <c r="I53" s="28">
        <v>59</v>
      </c>
      <c r="J53">
        <v>7.9</v>
      </c>
      <c r="L53">
        <v>59</v>
      </c>
      <c r="N53">
        <v>8112</v>
      </c>
    </row>
    <row r="54" spans="1:14" x14ac:dyDescent="0.2">
      <c r="A54" s="5" t="s">
        <v>217</v>
      </c>
      <c r="I54" s="28">
        <v>25</v>
      </c>
      <c r="J54">
        <v>5.5</v>
      </c>
      <c r="L54">
        <v>22</v>
      </c>
      <c r="N54">
        <v>7503</v>
      </c>
    </row>
    <row r="55" spans="1:14" x14ac:dyDescent="0.2">
      <c r="A55" s="5" t="s">
        <v>223</v>
      </c>
      <c r="F55" s="57">
        <v>0.87450000000000006</v>
      </c>
      <c r="G55" s="57">
        <v>0.87270000000000003</v>
      </c>
      <c r="I55" s="28"/>
      <c r="J55">
        <v>3.4</v>
      </c>
      <c r="N55">
        <v>3630</v>
      </c>
    </row>
    <row r="56" spans="1:14" x14ac:dyDescent="0.2">
      <c r="I56" s="28"/>
      <c r="J56">
        <v>2.6</v>
      </c>
      <c r="N56">
        <v>2712</v>
      </c>
    </row>
    <row r="57" spans="1:14" x14ac:dyDescent="0.2">
      <c r="I57" s="28"/>
      <c r="J57">
        <v>2.5</v>
      </c>
      <c r="N57">
        <v>2472</v>
      </c>
    </row>
    <row r="58" spans="1:14" x14ac:dyDescent="0.2">
      <c r="I58" s="28"/>
      <c r="J58">
        <v>2.4</v>
      </c>
      <c r="N58">
        <v>2305</v>
      </c>
    </row>
    <row r="59" spans="1:14" x14ac:dyDescent="0.2">
      <c r="A59" s="5" t="s">
        <v>231</v>
      </c>
      <c r="C59" s="75">
        <f>C14</f>
        <v>1.1064234131508932</v>
      </c>
      <c r="D59" s="75">
        <f t="shared" ref="D59:G60" si="9">D14</f>
        <v>2.4237362637362638</v>
      </c>
      <c r="E59" s="75">
        <f t="shared" si="9"/>
        <v>1.5003984063745022</v>
      </c>
      <c r="F59" s="75">
        <f t="shared" si="9"/>
        <v>0.9814814814814814</v>
      </c>
      <c r="G59" s="75">
        <f t="shared" si="9"/>
        <v>1.2519224853891111</v>
      </c>
      <c r="I59" s="28"/>
      <c r="J59">
        <v>2.4</v>
      </c>
      <c r="N59">
        <v>2264</v>
      </c>
    </row>
    <row r="60" spans="1:14" x14ac:dyDescent="0.2">
      <c r="A60" s="5" t="s">
        <v>232</v>
      </c>
      <c r="C60" s="75">
        <f>C15</f>
        <v>1.087799315849487</v>
      </c>
      <c r="D60" s="75">
        <f t="shared" si="9"/>
        <v>2.14989010989011</v>
      </c>
      <c r="E60" s="75">
        <f t="shared" si="9"/>
        <v>4.4693227091633467</v>
      </c>
      <c r="F60" s="75">
        <f t="shared" si="9"/>
        <v>0.85344827586206895</v>
      </c>
      <c r="G60" s="75">
        <f t="shared" si="9"/>
        <v>0.89603199015687474</v>
      </c>
      <c r="I60" s="28"/>
      <c r="J60">
        <v>2</v>
      </c>
      <c r="N60">
        <v>2080</v>
      </c>
    </row>
    <row r="61" spans="1:14" x14ac:dyDescent="0.2">
      <c r="A61" s="5" t="s">
        <v>228</v>
      </c>
      <c r="C61" s="78">
        <f>C28/1000</f>
        <v>0.86399999999999999</v>
      </c>
      <c r="D61" s="78">
        <f t="shared" ref="D61:G61" si="10">D28/1000</f>
        <v>0.85499999999999998</v>
      </c>
      <c r="E61" s="78">
        <f t="shared" si="10"/>
        <v>0.92100000000000004</v>
      </c>
      <c r="F61" s="78">
        <f t="shared" si="10"/>
        <v>1.0129999999999999</v>
      </c>
      <c r="G61" s="78">
        <f t="shared" si="10"/>
        <v>1.1879999999999999</v>
      </c>
      <c r="I61" s="28"/>
      <c r="J61">
        <v>1.9</v>
      </c>
      <c r="N61">
        <v>1917</v>
      </c>
    </row>
    <row r="62" spans="1:14" x14ac:dyDescent="0.2">
      <c r="A62" s="5" t="s">
        <v>229</v>
      </c>
      <c r="C62" s="78">
        <f>C24/1000</f>
        <v>44.085000000000001</v>
      </c>
      <c r="D62" s="78">
        <f t="shared" ref="D62:G62" si="11">D24/1000</f>
        <v>53.345999999999997</v>
      </c>
      <c r="E62" s="78">
        <f t="shared" si="11"/>
        <v>63.378</v>
      </c>
      <c r="F62" s="78">
        <f t="shared" si="11"/>
        <v>69.683000000000007</v>
      </c>
      <c r="G62" s="78">
        <f t="shared" si="11"/>
        <v>75.858999999999995</v>
      </c>
      <c r="I62" s="28"/>
      <c r="J62">
        <v>1.7</v>
      </c>
      <c r="N62">
        <v>1853</v>
      </c>
    </row>
    <row r="63" spans="1:14" x14ac:dyDescent="0.2">
      <c r="A63" s="5" t="s">
        <v>230</v>
      </c>
      <c r="C63" s="78">
        <f>C25</f>
        <v>70.7</v>
      </c>
      <c r="D63" s="78">
        <f t="shared" ref="D63:G63" si="12">D25</f>
        <v>73.8</v>
      </c>
      <c r="E63" s="78">
        <f t="shared" si="12"/>
        <v>84.7</v>
      </c>
      <c r="F63" s="78">
        <f t="shared" si="12"/>
        <v>83.47</v>
      </c>
      <c r="G63" s="78">
        <f t="shared" si="12"/>
        <v>82.42</v>
      </c>
      <c r="I63" s="28"/>
      <c r="J63">
        <v>0.4</v>
      </c>
      <c r="N63">
        <v>1656</v>
      </c>
    </row>
    <row r="64" spans="1:14" x14ac:dyDescent="0.2">
      <c r="I64" s="28"/>
      <c r="J64">
        <v>1.4</v>
      </c>
      <c r="N64">
        <v>1369</v>
      </c>
    </row>
    <row r="65" spans="9:14" x14ac:dyDescent="0.2">
      <c r="I65" s="28"/>
      <c r="J65">
        <v>1.4</v>
      </c>
      <c r="N65">
        <v>1216</v>
      </c>
    </row>
    <row r="66" spans="9:14" x14ac:dyDescent="0.2">
      <c r="I66" s="28"/>
      <c r="J66">
        <v>1.3</v>
      </c>
      <c r="N66">
        <v>1209</v>
      </c>
    </row>
    <row r="67" spans="9:14" x14ac:dyDescent="0.2">
      <c r="I67" s="28"/>
      <c r="J67">
        <v>1.3</v>
      </c>
      <c r="N67">
        <v>1135</v>
      </c>
    </row>
    <row r="68" spans="9:14" x14ac:dyDescent="0.2">
      <c r="I68" s="28"/>
      <c r="J68">
        <v>1.3</v>
      </c>
      <c r="N68">
        <v>1028</v>
      </c>
    </row>
    <row r="69" spans="9:14" x14ac:dyDescent="0.2">
      <c r="I69" s="28"/>
      <c r="J69">
        <v>1.1000000000000001</v>
      </c>
      <c r="N69">
        <v>1028</v>
      </c>
    </row>
    <row r="70" spans="9:14" x14ac:dyDescent="0.2">
      <c r="I70" s="28"/>
      <c r="J70">
        <v>1.1000000000000001</v>
      </c>
      <c r="N70">
        <v>1023</v>
      </c>
    </row>
    <row r="71" spans="9:14" x14ac:dyDescent="0.2">
      <c r="I71" s="28"/>
      <c r="J71">
        <v>1.1000000000000001</v>
      </c>
      <c r="N71">
        <v>1003</v>
      </c>
    </row>
    <row r="72" spans="9:14" x14ac:dyDescent="0.2">
      <c r="I72" s="28"/>
      <c r="J72">
        <v>1.1000000000000001</v>
      </c>
      <c r="N72">
        <v>1000</v>
      </c>
    </row>
    <row r="73" spans="9:14" x14ac:dyDescent="0.2">
      <c r="I73" s="28"/>
      <c r="J73">
        <v>1</v>
      </c>
      <c r="N73">
        <v>999</v>
      </c>
    </row>
    <row r="74" spans="9:14" x14ac:dyDescent="0.2">
      <c r="I74" s="28"/>
      <c r="J74">
        <v>1</v>
      </c>
    </row>
    <row r="75" spans="9:14" x14ac:dyDescent="0.2">
      <c r="I75" s="28"/>
      <c r="J75">
        <v>1</v>
      </c>
    </row>
    <row r="76" spans="9:14" x14ac:dyDescent="0.2">
      <c r="I76" s="28"/>
      <c r="J7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173E-0A84-664D-8803-19FC7595D7B8}">
  <dimension ref="A1:L72"/>
  <sheetViews>
    <sheetView zoomScaleNormal="100" workbookViewId="0">
      <pane xSplit="1" ySplit="3" topLeftCell="F22" activePane="bottomRight" state="frozen"/>
      <selection pane="topRight" activeCell="B1" sqref="B1"/>
      <selection pane="bottomLeft" activeCell="A4" sqref="A4"/>
      <selection pane="bottomRight" activeCell="L30" sqref="L30"/>
    </sheetView>
  </sheetViews>
  <sheetFormatPr baseColWidth="10" defaultColWidth="11" defaultRowHeight="16" x14ac:dyDescent="0.2"/>
  <cols>
    <col min="1" max="1" width="44.5" style="5" customWidth="1"/>
    <col min="2" max="6" width="17.1640625" customWidth="1"/>
    <col min="8" max="8" width="11.6640625" style="28" bestFit="1" customWidth="1"/>
  </cols>
  <sheetData>
    <row r="1" spans="1:12" x14ac:dyDescent="0.2">
      <c r="A1" s="5" t="s">
        <v>0</v>
      </c>
      <c r="B1" s="1">
        <v>43921</v>
      </c>
    </row>
    <row r="2" spans="1:12" x14ac:dyDescent="0.2">
      <c r="A2" s="6" t="s">
        <v>48</v>
      </c>
    </row>
    <row r="3" spans="1:12" x14ac:dyDescent="0.2">
      <c r="B3" s="4">
        <v>2016</v>
      </c>
      <c r="C3" s="4">
        <v>2017</v>
      </c>
      <c r="D3" s="4">
        <v>2018</v>
      </c>
      <c r="E3" s="4">
        <v>2019</v>
      </c>
      <c r="F3" s="4">
        <v>2020</v>
      </c>
      <c r="G3" s="4">
        <v>2021</v>
      </c>
      <c r="H3" s="29" t="s">
        <v>2</v>
      </c>
      <c r="I3" t="s">
        <v>3</v>
      </c>
      <c r="J3" t="s">
        <v>4</v>
      </c>
      <c r="L3" t="s">
        <v>203</v>
      </c>
    </row>
    <row r="4" spans="1:12" x14ac:dyDescent="0.2">
      <c r="A4" s="9" t="s">
        <v>205</v>
      </c>
      <c r="B4" s="38"/>
      <c r="C4" s="38"/>
      <c r="D4" s="38"/>
      <c r="E4" s="38"/>
      <c r="F4" s="38"/>
      <c r="G4" s="10">
        <v>5.27</v>
      </c>
      <c r="H4" s="30"/>
      <c r="L4">
        <v>15621</v>
      </c>
    </row>
    <row r="5" spans="1:12" x14ac:dyDescent="0.2">
      <c r="A5" s="6" t="s">
        <v>160</v>
      </c>
      <c r="B5" s="14"/>
      <c r="C5" s="14"/>
      <c r="D5" s="14"/>
      <c r="E5" s="14"/>
      <c r="F5" s="14"/>
      <c r="G5" s="11">
        <v>3.2919999999999998</v>
      </c>
      <c r="H5" s="30"/>
      <c r="L5">
        <v>131</v>
      </c>
    </row>
    <row r="6" spans="1:12" x14ac:dyDescent="0.2">
      <c r="A6" s="6" t="s">
        <v>206</v>
      </c>
      <c r="B6" s="14"/>
      <c r="C6" s="14"/>
      <c r="D6" s="14"/>
      <c r="E6" s="14"/>
      <c r="F6" s="14"/>
      <c r="G6" s="15">
        <v>-1.3029999999999999</v>
      </c>
      <c r="H6" s="30"/>
    </row>
    <row r="7" spans="1:12" x14ac:dyDescent="0.2">
      <c r="A7" s="9" t="s">
        <v>267</v>
      </c>
      <c r="B7" s="42">
        <v>2.0030000000000001</v>
      </c>
      <c r="C7" s="42">
        <v>5.79</v>
      </c>
      <c r="D7" s="42">
        <v>9.2050000000000001</v>
      </c>
      <c r="E7" s="42">
        <v>10.407999999999999</v>
      </c>
      <c r="F7" s="42">
        <v>-2.8839999999999999</v>
      </c>
      <c r="G7" s="10">
        <v>10.891999999999999</v>
      </c>
      <c r="H7" s="30">
        <f>SUM(B7:G7)</f>
        <v>35.414000000000001</v>
      </c>
      <c r="L7" s="60">
        <v>15752</v>
      </c>
    </row>
    <row r="8" spans="1:12" x14ac:dyDescent="0.2">
      <c r="A8" s="6" t="s">
        <v>219</v>
      </c>
      <c r="B8" s="43"/>
      <c r="C8" s="43"/>
      <c r="D8" s="43"/>
      <c r="E8" s="43"/>
      <c r="F8" s="43">
        <v>1.157</v>
      </c>
      <c r="G8" s="15">
        <v>0.54300000000000004</v>
      </c>
      <c r="H8" s="30"/>
      <c r="L8">
        <v>297</v>
      </c>
    </row>
    <row r="9" spans="1:12" x14ac:dyDescent="0.2">
      <c r="A9" s="6" t="s">
        <v>6</v>
      </c>
      <c r="B9" s="43">
        <v>2.1619999999999999</v>
      </c>
      <c r="C9" s="43">
        <v>5.08</v>
      </c>
      <c r="D9" s="43">
        <v>7.1459999999999999</v>
      </c>
      <c r="E9" s="43">
        <v>8.2119999999999997</v>
      </c>
      <c r="F9" s="44">
        <v>-3.6749999999999998</v>
      </c>
      <c r="G9" s="44">
        <v>9.2289999999999992</v>
      </c>
      <c r="H9" s="30">
        <f>SUM(B9:G9)</f>
        <v>28.154</v>
      </c>
      <c r="J9" t="s">
        <v>7</v>
      </c>
      <c r="L9" s="60">
        <v>12778</v>
      </c>
    </row>
    <row r="10" spans="1:12" x14ac:dyDescent="0.2">
      <c r="A10" s="6" t="s">
        <v>8</v>
      </c>
      <c r="B10" s="44">
        <v>5.33</v>
      </c>
      <c r="C10" s="44">
        <v>10.87</v>
      </c>
      <c r="D10" s="44">
        <v>13.4</v>
      </c>
      <c r="E10" s="44">
        <v>14.34</v>
      </c>
      <c r="F10" s="44">
        <v>-5.7</v>
      </c>
      <c r="G10" s="44">
        <v>13.45</v>
      </c>
      <c r="H10" s="30">
        <f>SUM(B10:G10)</f>
        <v>51.69</v>
      </c>
      <c r="L10">
        <v>17.100000000000001</v>
      </c>
    </row>
    <row r="11" spans="1:12" x14ac:dyDescent="0.2">
      <c r="A11" s="6" t="s">
        <v>9</v>
      </c>
      <c r="B11" s="44">
        <v>2.0870000000000002</v>
      </c>
      <c r="C11" s="44">
        <v>2.4049999999999998</v>
      </c>
      <c r="D11" s="44">
        <v>2.7109999999999999</v>
      </c>
      <c r="E11" s="44">
        <v>3.4319999999999999</v>
      </c>
      <c r="F11" s="44">
        <v>3.956</v>
      </c>
      <c r="G11" s="44">
        <v>3.0939999999999999</v>
      </c>
      <c r="H11" s="30">
        <f>SUM(B11:G11)</f>
        <v>17.684999999999999</v>
      </c>
      <c r="L11" s="60">
        <v>1792</v>
      </c>
    </row>
    <row r="12" spans="1:12" x14ac:dyDescent="0.2">
      <c r="A12" s="6" t="s">
        <v>10</v>
      </c>
      <c r="B12" s="43">
        <v>5</v>
      </c>
      <c r="C12" s="43">
        <v>5</v>
      </c>
      <c r="D12" s="43">
        <v>5</v>
      </c>
      <c r="E12" s="43">
        <v>6</v>
      </c>
      <c r="F12" s="43">
        <v>6</v>
      </c>
      <c r="G12" s="44">
        <v>5.44</v>
      </c>
      <c r="H12" s="30">
        <f>SUM(B12:G12)</f>
        <v>32.44</v>
      </c>
      <c r="L12">
        <v>2.87</v>
      </c>
    </row>
    <row r="13" spans="1:12" x14ac:dyDescent="0.2">
      <c r="A13" s="6" t="s">
        <v>11</v>
      </c>
      <c r="B13" s="11"/>
      <c r="C13" s="11"/>
      <c r="D13" s="11"/>
      <c r="E13" s="11"/>
      <c r="F13" s="11"/>
      <c r="G13" s="11"/>
    </row>
    <row r="14" spans="1:12" x14ac:dyDescent="0.2">
      <c r="A14" s="6" t="s">
        <v>12</v>
      </c>
      <c r="B14" s="2">
        <f t="shared" ref="B14:F14" si="0">B7/B11</f>
        <v>0.9597508385241974</v>
      </c>
      <c r="C14" s="2">
        <f t="shared" si="0"/>
        <v>2.4074844074844077</v>
      </c>
      <c r="D14" s="2">
        <f t="shared" si="0"/>
        <v>3.3954260420509041</v>
      </c>
      <c r="E14" s="2">
        <f t="shared" si="0"/>
        <v>3.0326340326340326</v>
      </c>
      <c r="F14" s="2">
        <f t="shared" si="0"/>
        <v>-0.72901921132457026</v>
      </c>
      <c r="G14" s="2">
        <f t="shared" ref="G14:H14" si="1">G7/G11</f>
        <v>3.5203619909502262</v>
      </c>
      <c r="H14" s="2">
        <f t="shared" si="1"/>
        <v>2.0024879841673737</v>
      </c>
    </row>
    <row r="15" spans="1:12" x14ac:dyDescent="0.2">
      <c r="A15" s="12" t="s">
        <v>13</v>
      </c>
      <c r="B15" s="23">
        <f t="shared" ref="B15:F15" si="2">B9/B11</f>
        <v>1.0359367513176807</v>
      </c>
      <c r="C15" s="24">
        <f t="shared" si="2"/>
        <v>2.1122661122661124</v>
      </c>
      <c r="D15" s="24">
        <f t="shared" si="2"/>
        <v>2.6359277019549983</v>
      </c>
      <c r="E15" s="24">
        <f t="shared" si="2"/>
        <v>2.3927738927738926</v>
      </c>
      <c r="F15" s="24">
        <f t="shared" si="2"/>
        <v>-0.92896865520728</v>
      </c>
      <c r="G15" s="24">
        <f t="shared" ref="G15:H15" si="3">G9/G11</f>
        <v>2.9828700711053653</v>
      </c>
      <c r="H15" s="24">
        <f t="shared" si="3"/>
        <v>1.5919705965507494</v>
      </c>
    </row>
    <row r="16" spans="1:12" x14ac:dyDescent="0.2">
      <c r="A16" s="6"/>
    </row>
    <row r="17" spans="1:12" x14ac:dyDescent="0.2">
      <c r="A17" s="9" t="s">
        <v>14</v>
      </c>
      <c r="B17" s="10">
        <v>518</v>
      </c>
      <c r="C17" s="19">
        <v>580</v>
      </c>
      <c r="D17" s="19">
        <v>638</v>
      </c>
      <c r="E17" s="19">
        <v>650</v>
      </c>
      <c r="F17" s="19">
        <v>770</v>
      </c>
      <c r="G17" s="10"/>
      <c r="H17" s="32"/>
    </row>
    <row r="18" spans="1:12" x14ac:dyDescent="0.2">
      <c r="A18" s="6" t="s">
        <v>15</v>
      </c>
      <c r="B18" s="11">
        <v>17285</v>
      </c>
      <c r="C18" s="20">
        <v>23255</v>
      </c>
      <c r="D18" s="20">
        <v>28945</v>
      </c>
      <c r="E18" s="20">
        <v>30255</v>
      </c>
      <c r="F18" s="20">
        <v>44183</v>
      </c>
      <c r="G18" s="11"/>
      <c r="H18" s="33"/>
    </row>
    <row r="19" spans="1:12" x14ac:dyDescent="0.2">
      <c r="A19" s="6" t="s">
        <v>16</v>
      </c>
      <c r="B19" s="11">
        <v>20150</v>
      </c>
      <c r="C19" s="20">
        <v>17355</v>
      </c>
      <c r="D19" s="20">
        <v>13637</v>
      </c>
      <c r="E19" s="20">
        <v>9618</v>
      </c>
      <c r="F19" s="20">
        <v>4808</v>
      </c>
      <c r="G19" s="11"/>
      <c r="H19" s="33"/>
    </row>
    <row r="20" spans="1:12" x14ac:dyDescent="0.2">
      <c r="A20" s="6" t="s">
        <v>17</v>
      </c>
      <c r="B20" s="15">
        <v>104</v>
      </c>
      <c r="C20" s="21">
        <v>104</v>
      </c>
      <c r="D20" s="21">
        <v>104</v>
      </c>
      <c r="E20" s="20">
        <v>104</v>
      </c>
      <c r="F20" s="20">
        <v>104</v>
      </c>
      <c r="G20" s="11"/>
      <c r="H20" s="33"/>
    </row>
    <row r="21" spans="1:12" x14ac:dyDescent="0.2">
      <c r="A21" s="6" t="s">
        <v>18</v>
      </c>
      <c r="B21" s="15">
        <v>24</v>
      </c>
      <c r="C21" s="21">
        <v>1284</v>
      </c>
      <c r="D21" s="21">
        <v>890</v>
      </c>
      <c r="E21" s="20">
        <v>8089</v>
      </c>
      <c r="F21" s="20">
        <v>14052</v>
      </c>
      <c r="G21" s="11"/>
      <c r="H21" s="33"/>
      <c r="J21" t="s">
        <v>19</v>
      </c>
    </row>
    <row r="22" spans="1:12" x14ac:dyDescent="0.2">
      <c r="A22" s="6" t="s">
        <v>20</v>
      </c>
      <c r="B22" s="15">
        <v>6389</v>
      </c>
      <c r="C22" s="21">
        <v>9910</v>
      </c>
      <c r="D22" s="21">
        <v>17657</v>
      </c>
      <c r="E22" s="20">
        <v>18672</v>
      </c>
      <c r="F22" s="20">
        <v>8636</v>
      </c>
      <c r="G22" s="11"/>
      <c r="H22" s="33"/>
      <c r="J22" t="s">
        <v>21</v>
      </c>
    </row>
    <row r="23" spans="1:12" x14ac:dyDescent="0.2">
      <c r="A23" s="6" t="s">
        <v>22</v>
      </c>
      <c r="B23" s="11"/>
      <c r="C23" s="17"/>
      <c r="D23" s="17"/>
      <c r="E23" s="17"/>
      <c r="F23" s="17"/>
      <c r="G23" s="11"/>
      <c r="I23" t="s">
        <v>23</v>
      </c>
    </row>
    <row r="24" spans="1:12" x14ac:dyDescent="0.2">
      <c r="A24" s="6" t="s">
        <v>24</v>
      </c>
      <c r="B24" s="15">
        <v>44470</v>
      </c>
      <c r="C24" s="21">
        <v>52458</v>
      </c>
      <c r="D24" s="21">
        <v>61871</v>
      </c>
      <c r="E24" s="21">
        <v>67388</v>
      </c>
      <c r="F24" s="21">
        <v>72553</v>
      </c>
      <c r="G24" s="100">
        <v>85398</v>
      </c>
      <c r="L24" s="60">
        <v>96048</v>
      </c>
    </row>
    <row r="25" spans="1:12" x14ac:dyDescent="0.2">
      <c r="A25" s="12" t="s">
        <v>25</v>
      </c>
      <c r="B25" s="13">
        <v>96.41</v>
      </c>
      <c r="C25" s="18">
        <v>101.79</v>
      </c>
      <c r="D25" s="18">
        <v>109.46</v>
      </c>
      <c r="E25" s="18">
        <v>117.76</v>
      </c>
      <c r="F25" s="18">
        <v>106.54</v>
      </c>
      <c r="G25" s="13">
        <v>114.6</v>
      </c>
      <c r="H25" s="31"/>
      <c r="L25">
        <v>128.85</v>
      </c>
    </row>
    <row r="26" spans="1:12" x14ac:dyDescent="0.2">
      <c r="A26" s="6"/>
      <c r="B26" s="51"/>
      <c r="C26" s="51"/>
      <c r="D26" s="51"/>
      <c r="E26" s="51"/>
      <c r="F26" s="51"/>
    </row>
    <row r="27" spans="1:12" x14ac:dyDescent="0.2">
      <c r="A27" s="9" t="s">
        <v>26</v>
      </c>
      <c r="B27" s="10"/>
      <c r="C27" s="10"/>
      <c r="D27" s="10"/>
      <c r="E27" s="10"/>
      <c r="F27" s="10"/>
      <c r="G27" s="10"/>
      <c r="H27" s="34"/>
    </row>
    <row r="28" spans="1:12" x14ac:dyDescent="0.2">
      <c r="A28" s="6" t="s">
        <v>27</v>
      </c>
      <c r="B28" s="11">
        <v>692</v>
      </c>
      <c r="C28" s="20">
        <v>666</v>
      </c>
      <c r="D28" s="20">
        <v>821</v>
      </c>
      <c r="E28" s="20">
        <v>585</v>
      </c>
      <c r="F28" s="20">
        <v>1252</v>
      </c>
      <c r="G28" s="100">
        <v>1265</v>
      </c>
      <c r="L28" s="60">
        <v>1036</v>
      </c>
    </row>
    <row r="29" spans="1:12" x14ac:dyDescent="0.2">
      <c r="A29" s="6" t="s">
        <v>28</v>
      </c>
      <c r="B29" s="21">
        <v>7499</v>
      </c>
      <c r="C29" s="21">
        <v>8271</v>
      </c>
      <c r="D29" s="21">
        <v>5359</v>
      </c>
      <c r="E29" s="20">
        <v>793</v>
      </c>
      <c r="F29" s="21">
        <f>13432-17</f>
        <v>13415</v>
      </c>
      <c r="G29" s="100">
        <f>8568-17</f>
        <v>8551</v>
      </c>
    </row>
    <row r="30" spans="1:12" x14ac:dyDescent="0.2">
      <c r="A30" s="12" t="s">
        <v>29</v>
      </c>
      <c r="B30" s="16">
        <v>46126503</v>
      </c>
      <c r="C30" s="22">
        <v>51535331</v>
      </c>
      <c r="D30" s="22">
        <v>56523709</v>
      </c>
      <c r="E30" s="22">
        <v>57226060</v>
      </c>
      <c r="F30" s="22">
        <v>68099233</v>
      </c>
      <c r="G30" s="16">
        <v>74518680</v>
      </c>
      <c r="H30" s="124"/>
      <c r="L30" s="60">
        <v>74544320</v>
      </c>
    </row>
    <row r="31" spans="1:12" x14ac:dyDescent="0.2">
      <c r="A31" s="6"/>
    </row>
    <row r="32" spans="1:12" s="3" customFormat="1" x14ac:dyDescent="0.2">
      <c r="A32" s="7" t="s">
        <v>30</v>
      </c>
      <c r="B32" s="35"/>
      <c r="C32" s="36">
        <f t="shared" ref="C32" si="4">(C25+C12+C13)/B25-1</f>
        <v>0.107665179960585</v>
      </c>
      <c r="D32" s="36">
        <f t="shared" ref="D32" si="5">(D25+D12+D13)/C25-1</f>
        <v>0.12447195205815875</v>
      </c>
      <c r="E32" s="36">
        <f t="shared" ref="E32:G32" si="6">(E25+E12+E13)/D25-1</f>
        <v>0.130641330166271</v>
      </c>
      <c r="F32" s="36">
        <f t="shared" si="6"/>
        <v>-4.4327445652173947E-2</v>
      </c>
      <c r="G32" s="36">
        <f t="shared" si="6"/>
        <v>0.12671297165383888</v>
      </c>
      <c r="H32" s="35"/>
    </row>
    <row r="33" spans="1:12" x14ac:dyDescent="0.2">
      <c r="A33" s="7" t="s">
        <v>31</v>
      </c>
      <c r="B33" s="35"/>
      <c r="C33" s="36"/>
      <c r="D33" s="36"/>
      <c r="E33" s="36"/>
      <c r="F33" s="36"/>
      <c r="G33" s="37"/>
      <c r="H33" s="35">
        <f>((C32+1)*(D32+1)*(E32+1)*(F32+1)*(1+G32))^(1/5)-1</f>
        <v>8.6828151490799588E-2</v>
      </c>
    </row>
    <row r="34" spans="1:12" x14ac:dyDescent="0.2">
      <c r="H34" s="34"/>
    </row>
    <row r="35" spans="1:12" x14ac:dyDescent="0.2">
      <c r="A35" s="10"/>
      <c r="B35" s="34"/>
      <c r="C35" s="10"/>
      <c r="D35" s="10"/>
      <c r="E35" s="10"/>
      <c r="F35" s="10"/>
      <c r="G35" s="10"/>
      <c r="H35" s="34"/>
    </row>
    <row r="36" spans="1:12" x14ac:dyDescent="0.2">
      <c r="A36" s="11"/>
      <c r="B36" s="28"/>
    </row>
    <row r="37" spans="1:12" x14ac:dyDescent="0.2">
      <c r="A37" s="11" t="s">
        <v>32</v>
      </c>
      <c r="B37" s="54"/>
      <c r="C37" s="53"/>
      <c r="D37" s="53"/>
      <c r="I37" s="101">
        <v>44377</v>
      </c>
    </row>
    <row r="38" spans="1:12" x14ac:dyDescent="0.2">
      <c r="A38" s="11" t="s">
        <v>214</v>
      </c>
      <c r="B38" s="55"/>
      <c r="C38" s="52"/>
      <c r="D38" s="2"/>
      <c r="F38" s="51"/>
      <c r="G38" s="60">
        <v>48450</v>
      </c>
    </row>
    <row r="39" spans="1:12" x14ac:dyDescent="0.2">
      <c r="A39" s="11" t="s">
        <v>215</v>
      </c>
      <c r="B39" s="55"/>
      <c r="C39" s="52"/>
      <c r="D39" s="2"/>
      <c r="G39" s="60">
        <v>12165</v>
      </c>
    </row>
    <row r="40" spans="1:12" x14ac:dyDescent="0.2">
      <c r="A40" s="11" t="s">
        <v>37</v>
      </c>
      <c r="B40" s="55"/>
      <c r="C40" s="52"/>
      <c r="D40" s="2"/>
      <c r="G40" s="60">
        <v>21510</v>
      </c>
      <c r="I40" s="60">
        <v>14919</v>
      </c>
      <c r="L40" s="60">
        <v>15151</v>
      </c>
    </row>
    <row r="41" spans="1:12" x14ac:dyDescent="0.2">
      <c r="A41" s="11"/>
      <c r="B41" s="55"/>
      <c r="C41" s="52"/>
    </row>
    <row r="42" spans="1:12" x14ac:dyDescent="0.2">
      <c r="A42" s="15" t="s">
        <v>38</v>
      </c>
      <c r="B42" s="55"/>
      <c r="C42" s="52"/>
      <c r="G42" s="60">
        <f>G24</f>
        <v>85398</v>
      </c>
      <c r="L42" s="60">
        <f>L24</f>
        <v>96048</v>
      </c>
    </row>
    <row r="43" spans="1:12" x14ac:dyDescent="0.2">
      <c r="A43" s="13"/>
      <c r="B43" s="56"/>
      <c r="C43" s="22"/>
      <c r="D43" s="13"/>
      <c r="E43" s="13"/>
      <c r="F43" s="13"/>
      <c r="G43" s="13"/>
      <c r="H43" s="31"/>
    </row>
    <row r="45" spans="1:12" x14ac:dyDescent="0.2">
      <c r="A45" s="5" t="s">
        <v>39</v>
      </c>
    </row>
    <row r="46" spans="1:12" x14ac:dyDescent="0.2">
      <c r="A46" s="5" t="s">
        <v>207</v>
      </c>
      <c r="C46" s="57"/>
      <c r="F46" s="93">
        <v>2.5000000000000001E-2</v>
      </c>
      <c r="G46" s="93">
        <v>2.5000000000000001E-2</v>
      </c>
    </row>
    <row r="47" spans="1:12" x14ac:dyDescent="0.2">
      <c r="A47" s="5" t="s">
        <v>208</v>
      </c>
      <c r="C47" s="57"/>
      <c r="G47" s="57">
        <v>0.02</v>
      </c>
    </row>
    <row r="48" spans="1:12" x14ac:dyDescent="0.2">
      <c r="A48" s="5" t="s">
        <v>220</v>
      </c>
      <c r="F48">
        <v>186</v>
      </c>
      <c r="G48">
        <v>205</v>
      </c>
    </row>
    <row r="50" spans="1:9" x14ac:dyDescent="0.2">
      <c r="A50" s="5" t="s">
        <v>209</v>
      </c>
      <c r="I50" t="s">
        <v>221</v>
      </c>
    </row>
    <row r="51" spans="1:9" x14ac:dyDescent="0.2">
      <c r="A51" s="5" t="s">
        <v>210</v>
      </c>
      <c r="H51" s="102">
        <f>SUM(I51:I60)/100</f>
        <v>0.53600000000000003</v>
      </c>
      <c r="I51">
        <v>15.1</v>
      </c>
    </row>
    <row r="52" spans="1:9" x14ac:dyDescent="0.2">
      <c r="A52" s="5" t="s">
        <v>211</v>
      </c>
      <c r="H52" s="102">
        <f>SUM(I51:I70)/100</f>
        <v>0.66700000000000004</v>
      </c>
      <c r="I52">
        <v>12.5</v>
      </c>
    </row>
    <row r="53" spans="1:9" x14ac:dyDescent="0.2">
      <c r="A53" s="5" t="s">
        <v>212</v>
      </c>
      <c r="H53" s="28">
        <v>53</v>
      </c>
      <c r="I53">
        <v>6.4</v>
      </c>
    </row>
    <row r="54" spans="1:9" x14ac:dyDescent="0.2">
      <c r="A54" s="5" t="s">
        <v>217</v>
      </c>
      <c r="H54" s="28">
        <v>22</v>
      </c>
      <c r="I54">
        <v>5.4</v>
      </c>
    </row>
    <row r="55" spans="1:9" x14ac:dyDescent="0.2">
      <c r="A55" s="5" t="s">
        <v>223</v>
      </c>
      <c r="F55" s="57">
        <v>0.97509999999999997</v>
      </c>
      <c r="G55" s="57">
        <v>0.90010000000000001</v>
      </c>
      <c r="I55">
        <v>3.8</v>
      </c>
    </row>
    <row r="56" spans="1:9" x14ac:dyDescent="0.2">
      <c r="I56">
        <v>2.5</v>
      </c>
    </row>
    <row r="57" spans="1:9" x14ac:dyDescent="0.2">
      <c r="I57">
        <v>2.2000000000000002</v>
      </c>
    </row>
    <row r="58" spans="1:9" x14ac:dyDescent="0.2">
      <c r="I58">
        <v>2.1</v>
      </c>
    </row>
    <row r="59" spans="1:9" x14ac:dyDescent="0.2">
      <c r="A59" s="5" t="s">
        <v>231</v>
      </c>
      <c r="C59" s="75">
        <f>C14</f>
        <v>2.4074844074844077</v>
      </c>
      <c r="D59" s="75">
        <f t="shared" ref="D59:G59" si="7">D14</f>
        <v>3.3954260420509041</v>
      </c>
      <c r="E59" s="75">
        <f t="shared" si="7"/>
        <v>3.0326340326340326</v>
      </c>
      <c r="F59" s="75">
        <f t="shared" si="7"/>
        <v>-0.72901921132457026</v>
      </c>
      <c r="G59" s="75">
        <f t="shared" si="7"/>
        <v>3.5203619909502262</v>
      </c>
      <c r="I59">
        <v>1.9</v>
      </c>
    </row>
    <row r="60" spans="1:9" x14ac:dyDescent="0.2">
      <c r="A60" s="5" t="s">
        <v>232</v>
      </c>
      <c r="C60" s="75">
        <f>C15</f>
        <v>2.1122661122661124</v>
      </c>
      <c r="D60" s="75">
        <f t="shared" ref="D60:G60" si="8">D15</f>
        <v>2.6359277019549983</v>
      </c>
      <c r="E60" s="75">
        <f t="shared" si="8"/>
        <v>2.3927738927738926</v>
      </c>
      <c r="F60" s="75">
        <f t="shared" si="8"/>
        <v>-0.92896865520728</v>
      </c>
      <c r="G60" s="75">
        <f t="shared" si="8"/>
        <v>2.9828700711053653</v>
      </c>
      <c r="I60">
        <v>1.7</v>
      </c>
    </row>
    <row r="61" spans="1:9" x14ac:dyDescent="0.2">
      <c r="A61" s="5" t="s">
        <v>228</v>
      </c>
      <c r="C61" s="78">
        <f>C28/1000</f>
        <v>0.66600000000000004</v>
      </c>
      <c r="D61" s="78">
        <f t="shared" ref="D61:G61" si="9">D28/1000</f>
        <v>0.82099999999999995</v>
      </c>
      <c r="E61" s="78">
        <f t="shared" si="9"/>
        <v>0.58499999999999996</v>
      </c>
      <c r="F61" s="78">
        <f t="shared" si="9"/>
        <v>1.252</v>
      </c>
      <c r="G61" s="78">
        <f t="shared" si="9"/>
        <v>1.2649999999999999</v>
      </c>
      <c r="I61">
        <v>1.6</v>
      </c>
    </row>
    <row r="62" spans="1:9" x14ac:dyDescent="0.2">
      <c r="A62" s="5" t="s">
        <v>229</v>
      </c>
      <c r="C62" s="78">
        <f>C24/1000</f>
        <v>52.457999999999998</v>
      </c>
      <c r="D62" s="78">
        <f t="shared" ref="D62:G62" si="10">D24/1000</f>
        <v>61.871000000000002</v>
      </c>
      <c r="E62" s="78">
        <f t="shared" si="10"/>
        <v>67.388000000000005</v>
      </c>
      <c r="F62" s="78">
        <f t="shared" si="10"/>
        <v>72.552999999999997</v>
      </c>
      <c r="G62" s="78">
        <f t="shared" si="10"/>
        <v>85.397999999999996</v>
      </c>
      <c r="I62">
        <v>1.4</v>
      </c>
    </row>
    <row r="63" spans="1:9" x14ac:dyDescent="0.2">
      <c r="A63" s="5" t="s">
        <v>230</v>
      </c>
      <c r="C63" s="78">
        <f>C25</f>
        <v>101.79</v>
      </c>
      <c r="D63" s="78">
        <f t="shared" ref="D63:G63" si="11">D25</f>
        <v>109.46</v>
      </c>
      <c r="E63" s="78">
        <f t="shared" si="11"/>
        <v>117.76</v>
      </c>
      <c r="F63" s="78">
        <f t="shared" si="11"/>
        <v>106.54</v>
      </c>
      <c r="G63" s="78">
        <f t="shared" si="11"/>
        <v>114.6</v>
      </c>
      <c r="I63">
        <v>1.4</v>
      </c>
    </row>
    <row r="64" spans="1:9" x14ac:dyDescent="0.2">
      <c r="I64">
        <v>1.3</v>
      </c>
    </row>
    <row r="65" spans="9:9" x14ac:dyDescent="0.2">
      <c r="I65">
        <v>1.3</v>
      </c>
    </row>
    <row r="66" spans="9:9" x14ac:dyDescent="0.2">
      <c r="I66">
        <v>1.3</v>
      </c>
    </row>
    <row r="67" spans="9:9" x14ac:dyDescent="0.2">
      <c r="I67">
        <v>1.2</v>
      </c>
    </row>
    <row r="68" spans="9:9" x14ac:dyDescent="0.2">
      <c r="I68">
        <v>1.2</v>
      </c>
    </row>
    <row r="69" spans="9:9" x14ac:dyDescent="0.2">
      <c r="I69">
        <v>1.2</v>
      </c>
    </row>
    <row r="70" spans="9:9" x14ac:dyDescent="0.2">
      <c r="I70">
        <v>1.2</v>
      </c>
    </row>
    <row r="71" spans="9:9" x14ac:dyDescent="0.2">
      <c r="I71">
        <v>1.1000000000000001</v>
      </c>
    </row>
    <row r="72" spans="9:9" x14ac:dyDescent="0.2">
      <c r="I72">
        <v>1.1000000000000001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4896-D599-7647-8FAA-714247BE0529}">
  <dimension ref="A1:M71"/>
  <sheetViews>
    <sheetView zoomScaleNormal="100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G49" sqref="G49"/>
    </sheetView>
  </sheetViews>
  <sheetFormatPr baseColWidth="10" defaultColWidth="11" defaultRowHeight="16" x14ac:dyDescent="0.2"/>
  <cols>
    <col min="1" max="1" width="44.5" style="5" customWidth="1"/>
    <col min="2" max="6" width="12.83203125" customWidth="1"/>
    <col min="8" max="8" width="11.6640625" style="28" bestFit="1" customWidth="1"/>
  </cols>
  <sheetData>
    <row r="1" spans="1:12" x14ac:dyDescent="0.2">
      <c r="A1" s="5" t="s">
        <v>0</v>
      </c>
      <c r="B1" s="1">
        <v>44196</v>
      </c>
    </row>
    <row r="2" spans="1:12" x14ac:dyDescent="0.2">
      <c r="A2" s="6" t="s">
        <v>49</v>
      </c>
    </row>
    <row r="3" spans="1:12" x14ac:dyDescent="0.2">
      <c r="B3" s="4">
        <f>C3-1</f>
        <v>2015</v>
      </c>
      <c r="C3" s="4">
        <f>D3-1</f>
        <v>2016</v>
      </c>
      <c r="D3" s="4">
        <f>E3-1</f>
        <v>2017</v>
      </c>
      <c r="E3" s="4">
        <f>F3-1</f>
        <v>2018</v>
      </c>
      <c r="F3" s="4">
        <v>2019</v>
      </c>
      <c r="G3" s="4">
        <v>2020</v>
      </c>
      <c r="H3" s="29" t="s">
        <v>2</v>
      </c>
      <c r="I3" t="s">
        <v>3</v>
      </c>
      <c r="J3" t="s">
        <v>4</v>
      </c>
      <c r="L3" t="s">
        <v>216</v>
      </c>
    </row>
    <row r="4" spans="1:12" x14ac:dyDescent="0.2">
      <c r="A4" s="9" t="s">
        <v>205</v>
      </c>
      <c r="B4" s="38"/>
      <c r="C4" s="38"/>
      <c r="D4" s="38"/>
      <c r="E4" s="38"/>
      <c r="F4" s="38"/>
      <c r="G4" s="10">
        <v>4.7240000000000002</v>
      </c>
      <c r="H4" s="30"/>
      <c r="L4">
        <v>1.6759999999999999</v>
      </c>
    </row>
    <row r="5" spans="1:12" x14ac:dyDescent="0.2">
      <c r="A5" s="6" t="s">
        <v>160</v>
      </c>
      <c r="B5" s="14"/>
      <c r="C5" s="14"/>
      <c r="D5" s="14"/>
      <c r="E5" s="14"/>
      <c r="F5" s="14"/>
      <c r="G5" s="11">
        <v>2.214</v>
      </c>
      <c r="H5" s="30"/>
      <c r="L5">
        <v>0.94199999999999995</v>
      </c>
    </row>
    <row r="6" spans="1:12" x14ac:dyDescent="0.2">
      <c r="A6" s="6" t="s">
        <v>206</v>
      </c>
      <c r="B6" s="14"/>
      <c r="C6" s="14"/>
      <c r="D6" s="14"/>
      <c r="E6" s="14"/>
      <c r="F6" s="14"/>
      <c r="G6" s="15">
        <v>-0.64800000000000002</v>
      </c>
      <c r="H6" s="30"/>
    </row>
    <row r="7" spans="1:12" x14ac:dyDescent="0.2">
      <c r="A7" s="9" t="s">
        <v>5</v>
      </c>
      <c r="B7" s="45">
        <v>-3.6840000000000002</v>
      </c>
      <c r="C7" s="45">
        <v>2.419</v>
      </c>
      <c r="D7" s="45">
        <v>5.1449999999999996</v>
      </c>
      <c r="E7" s="45">
        <v>10.709</v>
      </c>
      <c r="F7" s="45">
        <v>11.17</v>
      </c>
      <c r="G7" s="10">
        <v>1.4530000000000001</v>
      </c>
      <c r="H7" s="30">
        <f>SUM(B7:G7)</f>
        <v>27.212</v>
      </c>
      <c r="L7">
        <v>14.965999999999999</v>
      </c>
    </row>
    <row r="8" spans="1:12" x14ac:dyDescent="0.2">
      <c r="A8" s="6" t="s">
        <v>219</v>
      </c>
      <c r="B8" s="46"/>
      <c r="C8" s="46"/>
      <c r="D8" s="46"/>
      <c r="E8" s="46"/>
      <c r="F8" s="46">
        <v>1.4159999999999999</v>
      </c>
      <c r="G8" s="15">
        <v>0.60399999999999998</v>
      </c>
      <c r="H8" s="30"/>
      <c r="L8">
        <v>0.33</v>
      </c>
    </row>
    <row r="9" spans="1:12" x14ac:dyDescent="0.2">
      <c r="A9" s="6" t="s">
        <v>6</v>
      </c>
      <c r="B9" s="46">
        <v>-3.3330000000000002</v>
      </c>
      <c r="C9" s="46">
        <v>2.2290000000000001</v>
      </c>
      <c r="D9" s="46">
        <v>4.1909999999999998</v>
      </c>
      <c r="E9" s="46">
        <v>9.7590000000000003</v>
      </c>
      <c r="F9" s="47">
        <v>10.164</v>
      </c>
      <c r="G9" s="47">
        <v>-0.311</v>
      </c>
      <c r="H9" s="30">
        <f>SUM(B9:G9)</f>
        <v>22.698999999999998</v>
      </c>
      <c r="J9" t="s">
        <v>7</v>
      </c>
      <c r="L9">
        <v>14.026</v>
      </c>
    </row>
    <row r="10" spans="1:12" x14ac:dyDescent="0.2">
      <c r="A10" s="6" t="s">
        <v>8</v>
      </c>
      <c r="B10" s="47">
        <v>-4.04</v>
      </c>
      <c r="C10" s="47">
        <v>2.5</v>
      </c>
      <c r="D10" s="47">
        <v>4.3</v>
      </c>
      <c r="E10" s="47">
        <v>9.5</v>
      </c>
      <c r="F10" s="47">
        <v>9.2799999999999994</v>
      </c>
      <c r="G10" s="47">
        <v>-0.28000000000000003</v>
      </c>
      <c r="H10" s="30">
        <f>SUM(B10:G10)</f>
        <v>21.259999999999998</v>
      </c>
      <c r="L10">
        <v>11.04</v>
      </c>
    </row>
    <row r="11" spans="1:12" x14ac:dyDescent="0.2">
      <c r="A11" s="6" t="s">
        <v>9</v>
      </c>
      <c r="B11" s="47">
        <v>3.613</v>
      </c>
      <c r="C11" s="47">
        <v>3.8180000000000001</v>
      </c>
      <c r="D11" s="47">
        <v>3.3180000000000001</v>
      </c>
      <c r="E11" s="47">
        <v>3.536</v>
      </c>
      <c r="F11" s="47">
        <v>3.794</v>
      </c>
      <c r="G11" s="47">
        <v>12.157999999999999</v>
      </c>
      <c r="H11" s="30">
        <f>SUM(B11:G11)</f>
        <v>30.237000000000002</v>
      </c>
      <c r="L11">
        <v>1.9319999999999999</v>
      </c>
    </row>
    <row r="12" spans="1:12" x14ac:dyDescent="0.2">
      <c r="A12" s="6" t="s">
        <v>10</v>
      </c>
      <c r="B12" s="46">
        <v>5</v>
      </c>
      <c r="C12" s="46">
        <v>5</v>
      </c>
      <c r="D12" s="46">
        <v>4</v>
      </c>
      <c r="E12" s="46">
        <v>4</v>
      </c>
      <c r="F12" s="46">
        <v>4</v>
      </c>
      <c r="G12" s="47">
        <v>3.95</v>
      </c>
      <c r="H12" s="30">
        <f>SUM(B12:G12)</f>
        <v>25.95</v>
      </c>
      <c r="L12">
        <v>1.73</v>
      </c>
    </row>
    <row r="13" spans="1:12" x14ac:dyDescent="0.2">
      <c r="A13" s="6" t="s">
        <v>11</v>
      </c>
      <c r="B13" s="11"/>
      <c r="C13" s="11"/>
      <c r="D13" s="11"/>
      <c r="E13" s="11"/>
      <c r="F13" s="11"/>
      <c r="G13" s="14">
        <v>9</v>
      </c>
    </row>
    <row r="14" spans="1:12" x14ac:dyDescent="0.2">
      <c r="A14" s="6" t="s">
        <v>12</v>
      </c>
      <c r="B14" s="2">
        <f t="shared" ref="B14:F14" si="0">B7/B11</f>
        <v>-1.0196512593412677</v>
      </c>
      <c r="C14" s="2">
        <f t="shared" si="0"/>
        <v>0.6335777894185437</v>
      </c>
      <c r="D14" s="2">
        <f t="shared" si="0"/>
        <v>1.5506329113924049</v>
      </c>
      <c r="E14" s="2">
        <f t="shared" si="0"/>
        <v>3.0285633484162893</v>
      </c>
      <c r="F14" s="2">
        <f t="shared" si="0"/>
        <v>2.9441222983658406</v>
      </c>
      <c r="G14" s="2">
        <f t="shared" ref="G14:H14" si="1">G7/G11</f>
        <v>0.11950978779404509</v>
      </c>
      <c r="H14" s="2">
        <f t="shared" si="1"/>
        <v>0.89995700631676412</v>
      </c>
      <c r="L14" s="2">
        <f t="shared" ref="L14" si="2">L7/L11</f>
        <v>7.7463768115942031</v>
      </c>
    </row>
    <row r="15" spans="1:12" x14ac:dyDescent="0.2">
      <c r="A15" s="12" t="s">
        <v>13</v>
      </c>
      <c r="B15" s="23">
        <f t="shared" ref="B15:F15" si="3">B9/B11</f>
        <v>-0.92250207583725441</v>
      </c>
      <c r="C15" s="24">
        <f t="shared" si="3"/>
        <v>0.58381351492928235</v>
      </c>
      <c r="D15" s="24">
        <f t="shared" si="3"/>
        <v>1.2631103074141048</v>
      </c>
      <c r="E15" s="24">
        <f t="shared" si="3"/>
        <v>2.7598981900452491</v>
      </c>
      <c r="F15" s="24">
        <f t="shared" si="3"/>
        <v>2.6789667896678964</v>
      </c>
      <c r="G15" s="24">
        <f t="shared" ref="G15:H15" si="4">G9/G11</f>
        <v>-2.5579865109392995E-2</v>
      </c>
      <c r="H15" s="24">
        <f t="shared" si="4"/>
        <v>0.75070278136058466</v>
      </c>
      <c r="L15" s="24">
        <f t="shared" ref="L15" si="5">L9/L11</f>
        <v>7.2598343685300204</v>
      </c>
    </row>
    <row r="16" spans="1:12" x14ac:dyDescent="0.2">
      <c r="A16" s="6"/>
    </row>
    <row r="17" spans="1:12" x14ac:dyDescent="0.2">
      <c r="A17" s="9" t="s">
        <v>14</v>
      </c>
      <c r="B17" s="48">
        <v>919</v>
      </c>
      <c r="C17" s="48">
        <v>1007</v>
      </c>
      <c r="D17" s="48">
        <v>1143</v>
      </c>
      <c r="E17" s="48">
        <v>1187</v>
      </c>
      <c r="F17" s="48">
        <v>1296</v>
      </c>
      <c r="G17" s="10"/>
      <c r="H17" s="32"/>
    </row>
    <row r="18" spans="1:12" x14ac:dyDescent="0.2">
      <c r="A18" s="6" t="s">
        <v>15</v>
      </c>
      <c r="B18" s="49">
        <v>40171</v>
      </c>
      <c r="C18" s="49">
        <v>46585</v>
      </c>
      <c r="D18" s="49">
        <v>23469</v>
      </c>
      <c r="E18" s="49">
        <v>26621</v>
      </c>
      <c r="F18" s="49">
        <v>34949</v>
      </c>
      <c r="G18" s="11"/>
      <c r="H18" s="33"/>
    </row>
    <row r="19" spans="1:12" x14ac:dyDescent="0.2">
      <c r="A19" s="6" t="s">
        <v>16</v>
      </c>
      <c r="B19" s="49">
        <v>7868</v>
      </c>
      <c r="C19" s="49">
        <v>2523</v>
      </c>
      <c r="D19" s="49">
        <v>29767</v>
      </c>
      <c r="E19" s="49">
        <v>24431</v>
      </c>
      <c r="F19" s="49">
        <v>18474</v>
      </c>
      <c r="G19" s="11"/>
      <c r="H19" s="33"/>
    </row>
    <row r="20" spans="1:12" x14ac:dyDescent="0.2">
      <c r="A20" s="6" t="s">
        <v>17</v>
      </c>
      <c r="B20" s="50">
        <v>28</v>
      </c>
      <c r="C20" s="50">
        <v>28</v>
      </c>
      <c r="D20" s="50">
        <v>28</v>
      </c>
      <c r="E20" s="49">
        <v>28</v>
      </c>
      <c r="F20" s="49">
        <v>28</v>
      </c>
      <c r="G20" s="11"/>
      <c r="H20" s="33"/>
    </row>
    <row r="21" spans="1:12" x14ac:dyDescent="0.2">
      <c r="A21" s="6" t="s">
        <v>18</v>
      </c>
      <c r="B21" s="50">
        <v>13229</v>
      </c>
      <c r="C21" s="50">
        <v>9658</v>
      </c>
      <c r="D21" s="50">
        <v>8549</v>
      </c>
      <c r="E21" s="49">
        <v>10933</v>
      </c>
      <c r="F21" s="49">
        <v>23567</v>
      </c>
      <c r="G21" s="11"/>
      <c r="H21" s="33"/>
      <c r="I21" t="s">
        <v>19</v>
      </c>
    </row>
    <row r="22" spans="1:12" x14ac:dyDescent="0.2">
      <c r="A22" s="6" t="s">
        <v>20</v>
      </c>
      <c r="B22" s="50">
        <v>-424</v>
      </c>
      <c r="C22" s="50">
        <v>4625</v>
      </c>
      <c r="D22" s="50">
        <v>9692</v>
      </c>
      <c r="E22" s="49">
        <v>16697</v>
      </c>
      <c r="F22" s="49">
        <v>13708</v>
      </c>
      <c r="G22" s="11"/>
      <c r="H22" s="33"/>
      <c r="I22" t="s">
        <v>21</v>
      </c>
    </row>
    <row r="23" spans="1:12" x14ac:dyDescent="0.2">
      <c r="A23" s="6" t="s">
        <v>22</v>
      </c>
      <c r="B23" s="20"/>
      <c r="C23" s="17"/>
      <c r="D23" s="17"/>
      <c r="E23" s="17"/>
      <c r="F23" s="17"/>
      <c r="G23" s="11"/>
      <c r="I23" t="s">
        <v>23</v>
      </c>
    </row>
    <row r="24" spans="1:12" x14ac:dyDescent="0.2">
      <c r="A24" s="6" t="s">
        <v>24</v>
      </c>
      <c r="B24" s="21">
        <v>61791</v>
      </c>
      <c r="C24" s="21">
        <v>64426</v>
      </c>
      <c r="D24" s="21">
        <v>72648</v>
      </c>
      <c r="E24" s="21">
        <v>79897</v>
      </c>
      <c r="F24" s="21">
        <v>92022</v>
      </c>
      <c r="G24" s="100">
        <v>78028</v>
      </c>
      <c r="L24" s="60">
        <v>104219</v>
      </c>
    </row>
    <row r="25" spans="1:12" x14ac:dyDescent="0.2">
      <c r="A25" s="12" t="s">
        <v>25</v>
      </c>
      <c r="B25" s="13">
        <v>73.92</v>
      </c>
      <c r="C25" s="18">
        <v>71.599999999999994</v>
      </c>
      <c r="D25" s="18">
        <v>71.900000000000006</v>
      </c>
      <c r="E25" s="18">
        <v>77.400000000000006</v>
      </c>
      <c r="F25" s="18">
        <v>82.58</v>
      </c>
      <c r="G25" s="13">
        <v>69.349999999999994</v>
      </c>
      <c r="H25" s="31"/>
      <c r="L25">
        <v>78.17</v>
      </c>
    </row>
    <row r="26" spans="1:12" x14ac:dyDescent="0.2">
      <c r="A26" s="6"/>
      <c r="B26" s="62"/>
      <c r="C26" s="62"/>
      <c r="D26" s="62"/>
      <c r="E26" s="62"/>
      <c r="F26" s="62"/>
    </row>
    <row r="27" spans="1:12" x14ac:dyDescent="0.2">
      <c r="A27" s="9" t="s">
        <v>26</v>
      </c>
      <c r="B27" s="10"/>
      <c r="C27" s="10"/>
      <c r="D27" s="10"/>
      <c r="E27" s="10"/>
      <c r="F27" s="10"/>
      <c r="G27" s="10"/>
      <c r="H27" s="34"/>
    </row>
    <row r="28" spans="1:12" x14ac:dyDescent="0.2">
      <c r="A28" s="6" t="s">
        <v>27</v>
      </c>
      <c r="B28" s="20">
        <v>1973</v>
      </c>
      <c r="C28" s="20">
        <v>1638</v>
      </c>
      <c r="D28" s="20">
        <v>1717</v>
      </c>
      <c r="E28" s="20">
        <v>1570</v>
      </c>
      <c r="F28" s="20">
        <v>2016</v>
      </c>
      <c r="G28" s="100">
        <v>1473</v>
      </c>
      <c r="L28">
        <v>845</v>
      </c>
    </row>
    <row r="29" spans="1:12" x14ac:dyDescent="0.2">
      <c r="A29" s="6" t="s">
        <v>28</v>
      </c>
      <c r="B29" s="21">
        <v>5832</v>
      </c>
      <c r="C29" s="21">
        <v>5869</v>
      </c>
      <c r="D29" s="21">
        <v>9072</v>
      </c>
      <c r="E29" s="20">
        <v>2606</v>
      </c>
      <c r="F29" s="21">
        <v>7804</v>
      </c>
      <c r="G29" s="21">
        <v>-47</v>
      </c>
      <c r="L29">
        <f>15120-19</f>
        <v>15101</v>
      </c>
    </row>
    <row r="30" spans="1:12" x14ac:dyDescent="0.2">
      <c r="A30" s="12" t="s">
        <v>29</v>
      </c>
      <c r="B30" s="22">
        <v>83589934</v>
      </c>
      <c r="C30" s="22">
        <v>89966164</v>
      </c>
      <c r="D30" s="22">
        <v>101001241</v>
      </c>
      <c r="E30" s="22">
        <v>103193119</v>
      </c>
      <c r="F30" s="22">
        <v>111427967</v>
      </c>
      <c r="G30" s="16">
        <v>112514421</v>
      </c>
      <c r="H30" s="31"/>
      <c r="L30" s="60">
        <v>133324316</v>
      </c>
    </row>
    <row r="31" spans="1:12" x14ac:dyDescent="0.2">
      <c r="A31" s="6"/>
    </row>
    <row r="32" spans="1:12" s="3" customFormat="1" x14ac:dyDescent="0.2">
      <c r="A32" s="7" t="s">
        <v>30</v>
      </c>
      <c r="B32" s="35"/>
      <c r="C32" s="36">
        <f t="shared" ref="C32:G32" si="6">(C25+C12+C13)/B25-1</f>
        <v>3.6255411255411207E-2</v>
      </c>
      <c r="D32" s="36">
        <f t="shared" si="6"/>
        <v>6.0055865921787799E-2</v>
      </c>
      <c r="E32" s="36">
        <f t="shared" si="6"/>
        <v>0.13212795549374134</v>
      </c>
      <c r="F32" s="36">
        <f t="shared" si="6"/>
        <v>0.11860465116279051</v>
      </c>
      <c r="G32" s="36">
        <f t="shared" si="6"/>
        <v>-3.3906514894648243E-3</v>
      </c>
      <c r="H32" s="35"/>
      <c r="L32" s="36">
        <f>(L25+L12+L13)/G25-1</f>
        <v>0.15212689257390077</v>
      </c>
    </row>
    <row r="33" spans="1:12" x14ac:dyDescent="0.2">
      <c r="A33" s="7" t="s">
        <v>31</v>
      </c>
      <c r="B33" s="35"/>
      <c r="C33" s="36"/>
      <c r="D33" s="36"/>
      <c r="E33" s="36"/>
      <c r="F33" s="36"/>
      <c r="G33" s="37"/>
      <c r="H33" s="35">
        <f>((C32+1)*(D32+1)*(E32+1)*(F32+1)*(1+G32))^(1/5)-1</f>
        <v>6.7526172468049594E-2</v>
      </c>
      <c r="L33" s="90">
        <f>((D32+1)*(E32+1)*(F32+1)*(1+G32)*(1+L32))^(1/4.5)-1</f>
        <v>0.10093421441123906</v>
      </c>
    </row>
    <row r="35" spans="1:12" x14ac:dyDescent="0.2">
      <c r="A35" s="10"/>
      <c r="B35" s="34"/>
      <c r="C35" s="10"/>
      <c r="D35" s="10"/>
      <c r="E35" s="10"/>
      <c r="F35" s="10"/>
      <c r="G35" s="10"/>
      <c r="H35" s="34"/>
    </row>
    <row r="36" spans="1:12" x14ac:dyDescent="0.2">
      <c r="A36" s="11"/>
      <c r="B36" s="28"/>
    </row>
    <row r="37" spans="1:12" x14ac:dyDescent="0.2">
      <c r="A37" s="11" t="s">
        <v>32</v>
      </c>
      <c r="B37" s="54"/>
      <c r="C37" s="53"/>
      <c r="D37" s="53"/>
    </row>
    <row r="38" spans="1:12" x14ac:dyDescent="0.2">
      <c r="A38" s="11" t="s">
        <v>214</v>
      </c>
      <c r="B38" s="55"/>
      <c r="C38" s="52"/>
      <c r="D38" s="2"/>
      <c r="F38" s="51">
        <f>40332+135</f>
        <v>40467</v>
      </c>
      <c r="G38" s="51">
        <v>45891</v>
      </c>
    </row>
    <row r="39" spans="1:12" x14ac:dyDescent="0.2">
      <c r="A39" s="11" t="s">
        <v>215</v>
      </c>
      <c r="B39" s="55"/>
      <c r="C39" s="52"/>
      <c r="D39" s="2"/>
      <c r="F39" s="60">
        <v>17001</v>
      </c>
      <c r="G39" s="60">
        <v>19261</v>
      </c>
    </row>
    <row r="40" spans="1:12" x14ac:dyDescent="0.2">
      <c r="A40" s="11" t="s">
        <v>37</v>
      </c>
      <c r="B40" s="55"/>
      <c r="C40" s="52"/>
      <c r="D40" s="2"/>
      <c r="F40" s="60">
        <v>32468</v>
      </c>
      <c r="G40" s="60">
        <v>11451</v>
      </c>
    </row>
    <row r="41" spans="1:12" x14ac:dyDescent="0.2">
      <c r="A41" s="11"/>
      <c r="B41" s="55"/>
      <c r="C41" s="52"/>
    </row>
    <row r="42" spans="1:12" x14ac:dyDescent="0.2">
      <c r="A42" s="15" t="s">
        <v>38</v>
      </c>
      <c r="B42" s="55"/>
      <c r="C42" s="52"/>
      <c r="F42" s="51">
        <f>F24</f>
        <v>92022</v>
      </c>
      <c r="G42" s="60">
        <f>G24</f>
        <v>78028</v>
      </c>
    </row>
    <row r="43" spans="1:12" x14ac:dyDescent="0.2">
      <c r="A43" s="13"/>
      <c r="B43" s="56"/>
      <c r="C43" s="22"/>
      <c r="D43" s="13"/>
      <c r="E43" s="13"/>
      <c r="F43" s="13"/>
      <c r="G43" s="13"/>
      <c r="H43" s="31"/>
    </row>
    <row r="45" spans="1:12" x14ac:dyDescent="0.2">
      <c r="A45" s="5" t="s">
        <v>39</v>
      </c>
    </row>
    <row r="46" spans="1:12" x14ac:dyDescent="0.2">
      <c r="A46" s="5" t="s">
        <v>207</v>
      </c>
      <c r="F46" s="57">
        <v>2.75E-2</v>
      </c>
      <c r="G46" s="57">
        <v>2.75E-2</v>
      </c>
    </row>
    <row r="47" spans="1:12" x14ac:dyDescent="0.2">
      <c r="A47" s="5" t="s">
        <v>208</v>
      </c>
      <c r="F47" s="60">
        <v>2116</v>
      </c>
      <c r="G47" s="60">
        <v>2021</v>
      </c>
    </row>
    <row r="48" spans="1:12" x14ac:dyDescent="0.2">
      <c r="A48" s="5" t="s">
        <v>220</v>
      </c>
      <c r="F48">
        <v>241</v>
      </c>
      <c r="G48">
        <v>237</v>
      </c>
    </row>
    <row r="50" spans="1:13" x14ac:dyDescent="0.2">
      <c r="A50" s="5" t="s">
        <v>209</v>
      </c>
      <c r="L50" s="11"/>
      <c r="M50" t="s">
        <v>222</v>
      </c>
    </row>
    <row r="51" spans="1:13" x14ac:dyDescent="0.2">
      <c r="A51" s="5" t="s">
        <v>210</v>
      </c>
      <c r="L51" s="99">
        <f>SUM(M51:M60)/L24</f>
        <v>0.46060699104769764</v>
      </c>
      <c r="M51">
        <v>16885</v>
      </c>
    </row>
    <row r="52" spans="1:13" x14ac:dyDescent="0.2">
      <c r="A52" s="5" t="s">
        <v>211</v>
      </c>
      <c r="L52" s="99">
        <f>SUM(M51:M70)/L24</f>
        <v>0.60505282146249728</v>
      </c>
      <c r="M52">
        <v>4711</v>
      </c>
    </row>
    <row r="53" spans="1:13" x14ac:dyDescent="0.2">
      <c r="A53" s="5" t="s">
        <v>212</v>
      </c>
      <c r="L53" s="11">
        <v>61</v>
      </c>
      <c r="M53">
        <v>4649</v>
      </c>
    </row>
    <row r="54" spans="1:13" x14ac:dyDescent="0.2">
      <c r="A54" s="5" t="s">
        <v>217</v>
      </c>
      <c r="L54" s="11">
        <v>22</v>
      </c>
      <c r="M54">
        <v>3838</v>
      </c>
    </row>
    <row r="55" spans="1:13" x14ac:dyDescent="0.2">
      <c r="A55" s="5" t="s">
        <v>223</v>
      </c>
      <c r="F55" s="57">
        <v>0.86909999999999998</v>
      </c>
      <c r="G55" s="57">
        <v>0.89290000000000003</v>
      </c>
      <c r="M55">
        <v>3760</v>
      </c>
    </row>
    <row r="56" spans="1:13" x14ac:dyDescent="0.2">
      <c r="M56">
        <v>3697</v>
      </c>
    </row>
    <row r="57" spans="1:13" x14ac:dyDescent="0.2">
      <c r="M57">
        <v>3268</v>
      </c>
    </row>
    <row r="58" spans="1:13" x14ac:dyDescent="0.2">
      <c r="M58">
        <v>2660</v>
      </c>
    </row>
    <row r="59" spans="1:13" x14ac:dyDescent="0.2">
      <c r="A59" s="5" t="s">
        <v>231</v>
      </c>
      <c r="C59" s="75">
        <f>C14</f>
        <v>0.6335777894185437</v>
      </c>
      <c r="D59" s="75">
        <f t="shared" ref="D59:G60" si="7">D14</f>
        <v>1.5506329113924049</v>
      </c>
      <c r="E59" s="75">
        <f t="shared" si="7"/>
        <v>3.0285633484162893</v>
      </c>
      <c r="F59" s="75">
        <f t="shared" si="7"/>
        <v>2.9441222983658406</v>
      </c>
      <c r="G59" s="75">
        <f t="shared" si="7"/>
        <v>0.11950978779404509</v>
      </c>
      <c r="M59">
        <v>2316</v>
      </c>
    </row>
    <row r="60" spans="1:13" x14ac:dyDescent="0.2">
      <c r="A60" s="5" t="s">
        <v>232</v>
      </c>
      <c r="C60" s="75">
        <f>C15</f>
        <v>0.58381351492928235</v>
      </c>
      <c r="D60" s="75">
        <f t="shared" si="7"/>
        <v>1.2631103074141048</v>
      </c>
      <c r="E60" s="75">
        <f t="shared" si="7"/>
        <v>2.7598981900452491</v>
      </c>
      <c r="F60" s="75">
        <f t="shared" si="7"/>
        <v>2.6789667896678964</v>
      </c>
      <c r="G60" s="75">
        <f t="shared" si="7"/>
        <v>-2.5579865109392995E-2</v>
      </c>
      <c r="M60">
        <v>2220</v>
      </c>
    </row>
    <row r="61" spans="1:13" x14ac:dyDescent="0.2">
      <c r="A61" s="5" t="s">
        <v>228</v>
      </c>
      <c r="C61" s="78">
        <f>C28/1000</f>
        <v>1.6379999999999999</v>
      </c>
      <c r="D61" s="78">
        <f t="shared" ref="D61:G61" si="8">D28/1000</f>
        <v>1.7170000000000001</v>
      </c>
      <c r="E61" s="78">
        <f t="shared" si="8"/>
        <v>1.57</v>
      </c>
      <c r="F61" s="78">
        <f t="shared" si="8"/>
        <v>2.016</v>
      </c>
      <c r="G61" s="78">
        <f t="shared" si="8"/>
        <v>1.4730000000000001</v>
      </c>
      <c r="M61">
        <v>2196</v>
      </c>
    </row>
    <row r="62" spans="1:13" x14ac:dyDescent="0.2">
      <c r="A62" s="5" t="s">
        <v>229</v>
      </c>
      <c r="C62" s="78">
        <f>C24/1000</f>
        <v>64.426000000000002</v>
      </c>
      <c r="D62" s="78">
        <f t="shared" ref="D62:G62" si="9">D24/1000</f>
        <v>72.647999999999996</v>
      </c>
      <c r="E62" s="78">
        <f t="shared" si="9"/>
        <v>79.897000000000006</v>
      </c>
      <c r="F62" s="78">
        <f t="shared" si="9"/>
        <v>92.022000000000006</v>
      </c>
      <c r="G62" s="78">
        <f t="shared" si="9"/>
        <v>78.028000000000006</v>
      </c>
      <c r="M62">
        <v>1771</v>
      </c>
    </row>
    <row r="63" spans="1:13" x14ac:dyDescent="0.2">
      <c r="A63" s="5" t="s">
        <v>230</v>
      </c>
      <c r="C63" s="78">
        <f>C25</f>
        <v>71.599999999999994</v>
      </c>
      <c r="D63" s="78">
        <f t="shared" ref="D63:G63" si="10">D25</f>
        <v>71.900000000000006</v>
      </c>
      <c r="E63" s="78">
        <f t="shared" si="10"/>
        <v>77.400000000000006</v>
      </c>
      <c r="F63" s="78">
        <f t="shared" si="10"/>
        <v>82.58</v>
      </c>
      <c r="G63" s="78">
        <f t="shared" si="10"/>
        <v>69.349999999999994</v>
      </c>
      <c r="M63">
        <v>1656</v>
      </c>
    </row>
    <row r="64" spans="1:13" x14ac:dyDescent="0.2">
      <c r="M64">
        <v>1632</v>
      </c>
    </row>
    <row r="65" spans="13:13" x14ac:dyDescent="0.2">
      <c r="M65">
        <v>1471</v>
      </c>
    </row>
    <row r="66" spans="13:13" x14ac:dyDescent="0.2">
      <c r="M66">
        <v>1428</v>
      </c>
    </row>
    <row r="67" spans="13:13" x14ac:dyDescent="0.2">
      <c r="M67">
        <v>1310</v>
      </c>
    </row>
    <row r="68" spans="13:13" x14ac:dyDescent="0.2">
      <c r="M68">
        <v>1275</v>
      </c>
    </row>
    <row r="69" spans="13:13" x14ac:dyDescent="0.2">
      <c r="M69">
        <v>1170</v>
      </c>
    </row>
    <row r="70" spans="13:13" x14ac:dyDescent="0.2">
      <c r="M70">
        <v>1145</v>
      </c>
    </row>
    <row r="71" spans="13:13" x14ac:dyDescent="0.2">
      <c r="M71">
        <v>1050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01B2-0AEE-7442-9CC9-AAB30E987D9F}">
  <dimension ref="A1:N70"/>
  <sheetViews>
    <sheetView zoomScaleNormal="100" workbookViewId="0">
      <pane xSplit="1" ySplit="3" topLeftCell="E12" activePane="bottomRight" state="frozen"/>
      <selection pane="topRight" activeCell="B1" sqref="B1"/>
      <selection pane="bottomLeft" activeCell="A4" sqref="A4"/>
      <selection pane="bottomRight" activeCell="L31" sqref="L31"/>
    </sheetView>
  </sheetViews>
  <sheetFormatPr baseColWidth="10" defaultColWidth="11" defaultRowHeight="16" x14ac:dyDescent="0.2"/>
  <cols>
    <col min="1" max="1" width="44.5" style="5" customWidth="1"/>
    <col min="2" max="6" width="12.83203125" customWidth="1"/>
    <col min="8" max="8" width="11.6640625" style="28" bestFit="1" customWidth="1"/>
  </cols>
  <sheetData>
    <row r="1" spans="1:13" x14ac:dyDescent="0.2">
      <c r="A1" s="5" t="s">
        <v>0</v>
      </c>
      <c r="B1" s="1">
        <v>43921</v>
      </c>
    </row>
    <row r="2" spans="1:13" x14ac:dyDescent="0.2">
      <c r="A2" s="6" t="s">
        <v>41</v>
      </c>
    </row>
    <row r="3" spans="1:13" x14ac:dyDescent="0.2">
      <c r="B3" s="4">
        <f>C3-1</f>
        <v>2016</v>
      </c>
      <c r="C3" s="4">
        <f>D3-1</f>
        <v>2017</v>
      </c>
      <c r="D3" s="4">
        <f>E3-1</f>
        <v>2018</v>
      </c>
      <c r="E3" s="4">
        <f>F3-1</f>
        <v>2019</v>
      </c>
      <c r="F3" s="4">
        <v>2020</v>
      </c>
      <c r="G3" s="4">
        <v>2021</v>
      </c>
      <c r="H3" s="29" t="s">
        <v>2</v>
      </c>
      <c r="I3" t="s">
        <v>3</v>
      </c>
      <c r="L3" t="s">
        <v>224</v>
      </c>
    </row>
    <row r="4" spans="1:13" x14ac:dyDescent="0.2">
      <c r="A4" s="9" t="s">
        <v>205</v>
      </c>
      <c r="B4" s="38"/>
      <c r="C4" s="38"/>
      <c r="D4" s="38"/>
      <c r="E4" s="38"/>
      <c r="F4" s="38"/>
      <c r="G4" s="10">
        <v>31.882999999999999</v>
      </c>
      <c r="H4" s="30"/>
      <c r="L4" s="60">
        <v>2775</v>
      </c>
    </row>
    <row r="5" spans="1:13" x14ac:dyDescent="0.2">
      <c r="A5" s="6" t="s">
        <v>160</v>
      </c>
      <c r="B5" s="14"/>
      <c r="C5" s="14"/>
      <c r="D5" s="14"/>
      <c r="E5" s="14"/>
      <c r="F5" s="14"/>
      <c r="G5" s="11">
        <v>16.097999999999999</v>
      </c>
      <c r="H5" s="30"/>
      <c r="L5">
        <v>165</v>
      </c>
    </row>
    <row r="6" spans="1:13" x14ac:dyDescent="0.2">
      <c r="A6" s="6" t="s">
        <v>206</v>
      </c>
      <c r="B6" s="14"/>
      <c r="C6" s="14"/>
      <c r="D6" s="14"/>
      <c r="E6" s="14"/>
      <c r="F6" s="14"/>
      <c r="G6" s="11"/>
      <c r="H6" s="30"/>
    </row>
    <row r="7" spans="1:13" x14ac:dyDescent="0.2">
      <c r="A7" s="9" t="s">
        <v>5</v>
      </c>
      <c r="B7" s="45">
        <v>3.2029999999999998</v>
      </c>
      <c r="C7" s="45">
        <v>6.1790000000000003</v>
      </c>
      <c r="D7" s="45">
        <v>3.93</v>
      </c>
      <c r="E7" s="45">
        <v>10.709</v>
      </c>
      <c r="F7" s="45">
        <v>0.29199999999999998</v>
      </c>
      <c r="G7" s="10">
        <v>4.6769999999999996</v>
      </c>
      <c r="H7" s="30">
        <f>SUM(B7:G7)</f>
        <v>28.990000000000002</v>
      </c>
      <c r="L7" s="60">
        <v>2940</v>
      </c>
    </row>
    <row r="8" spans="1:13" x14ac:dyDescent="0.2">
      <c r="A8" s="6" t="s">
        <v>219</v>
      </c>
      <c r="B8" s="46"/>
      <c r="C8" s="46"/>
      <c r="D8" s="46"/>
      <c r="E8" s="46"/>
      <c r="F8" s="46">
        <v>2.8580000000000001</v>
      </c>
      <c r="G8" s="15">
        <v>2.4670000000000001</v>
      </c>
      <c r="H8" s="30"/>
      <c r="L8">
        <v>412</v>
      </c>
    </row>
    <row r="9" spans="1:13" x14ac:dyDescent="0.2">
      <c r="A9" s="6" t="s">
        <v>6</v>
      </c>
      <c r="B9" s="46">
        <v>4.0149999999999997</v>
      </c>
      <c r="C9" s="46">
        <v>7.0110000000000001</v>
      </c>
      <c r="D9" s="46">
        <v>4.7830000000000004</v>
      </c>
      <c r="E9" s="46">
        <v>6.7709999999999999</v>
      </c>
      <c r="F9" s="47">
        <v>-3.9409999999999998</v>
      </c>
      <c r="G9" s="47">
        <v>7.1580000000000004</v>
      </c>
      <c r="H9" s="30">
        <f>SUM(B9:G9)</f>
        <v>25.797000000000004</v>
      </c>
      <c r="J9" t="s">
        <v>7</v>
      </c>
      <c r="L9" s="60">
        <v>2529</v>
      </c>
    </row>
    <row r="10" spans="1:13" x14ac:dyDescent="0.2">
      <c r="A10" s="6" t="s">
        <v>8</v>
      </c>
      <c r="B10" s="47">
        <v>5.6</v>
      </c>
      <c r="C10" s="47">
        <v>8.6999999999999993</v>
      </c>
      <c r="D10" s="47">
        <v>5.5</v>
      </c>
      <c r="E10" s="47">
        <v>7.86</v>
      </c>
      <c r="F10" s="47">
        <v>-4.0999999999999996</v>
      </c>
      <c r="G10" s="47">
        <v>7.1</v>
      </c>
      <c r="H10" s="30">
        <f>SUM(B10:G10)</f>
        <v>30.659999999999997</v>
      </c>
      <c r="L10">
        <v>2.52</v>
      </c>
    </row>
    <row r="11" spans="1:13" x14ac:dyDescent="0.2">
      <c r="A11" s="6" t="s">
        <v>9</v>
      </c>
      <c r="B11" s="47">
        <v>3.0939999999999999</v>
      </c>
      <c r="C11" s="47">
        <v>3.4239999999999999</v>
      </c>
      <c r="D11" s="47">
        <v>3.7549999999999999</v>
      </c>
      <c r="E11" s="47">
        <v>4.0869999999999997</v>
      </c>
      <c r="F11" s="47">
        <v>3.6829999999999998</v>
      </c>
      <c r="G11" s="103">
        <v>3.714</v>
      </c>
      <c r="H11" s="30">
        <f>SUM(B11:G11)</f>
        <v>21.756999999999998</v>
      </c>
      <c r="L11" s="89">
        <v>14256</v>
      </c>
      <c r="M11" t="s">
        <v>225</v>
      </c>
    </row>
    <row r="12" spans="1:13" x14ac:dyDescent="0.2">
      <c r="A12" s="6" t="s">
        <v>10</v>
      </c>
      <c r="B12" s="46">
        <v>5</v>
      </c>
      <c r="C12" s="46">
        <v>5</v>
      </c>
      <c r="D12" s="46">
        <v>5</v>
      </c>
      <c r="E12" s="46">
        <v>5</v>
      </c>
      <c r="F12" s="46">
        <v>5</v>
      </c>
      <c r="G12" s="47">
        <v>4.24</v>
      </c>
      <c r="H12" s="30">
        <f>SUM(B12:G12)</f>
        <v>29.240000000000002</v>
      </c>
      <c r="L12">
        <v>1.83</v>
      </c>
    </row>
    <row r="13" spans="1:13" x14ac:dyDescent="0.2">
      <c r="A13" s="6" t="s">
        <v>11</v>
      </c>
      <c r="B13" s="11"/>
      <c r="C13" s="11"/>
      <c r="D13" s="11"/>
      <c r="E13" s="11"/>
      <c r="F13" s="11"/>
      <c r="G13" s="11"/>
      <c r="L13">
        <v>15</v>
      </c>
    </row>
    <row r="14" spans="1:13" x14ac:dyDescent="0.2">
      <c r="A14" s="6" t="s">
        <v>12</v>
      </c>
      <c r="B14" s="2">
        <f t="shared" ref="B14:F14" si="0">B7/B11</f>
        <v>1.0352294764059471</v>
      </c>
      <c r="C14" s="2">
        <f t="shared" si="0"/>
        <v>1.8046144859813085</v>
      </c>
      <c r="D14" s="2">
        <f t="shared" si="0"/>
        <v>1.0466045272969375</v>
      </c>
      <c r="E14" s="2">
        <f t="shared" si="0"/>
        <v>2.6202593589429899</v>
      </c>
      <c r="F14" s="2">
        <f t="shared" si="0"/>
        <v>7.9283193049144718E-2</v>
      </c>
      <c r="G14" s="2">
        <f t="shared" ref="G14:H14" si="1">G7/G11</f>
        <v>1.2592891760904683</v>
      </c>
      <c r="H14" s="2">
        <f t="shared" si="1"/>
        <v>1.3324447304315854</v>
      </c>
    </row>
    <row r="15" spans="1:13" x14ac:dyDescent="0.2">
      <c r="A15" s="12" t="s">
        <v>13</v>
      </c>
      <c r="B15" s="23">
        <f t="shared" ref="B15:F15" si="2">B9/B11</f>
        <v>1.2976729153199742</v>
      </c>
      <c r="C15" s="24">
        <f t="shared" si="2"/>
        <v>2.0476051401869158</v>
      </c>
      <c r="D15" s="24">
        <f t="shared" si="2"/>
        <v>1.2737683089214382</v>
      </c>
      <c r="E15" s="24">
        <f t="shared" si="2"/>
        <v>1.6567164179104479</v>
      </c>
      <c r="F15" s="24">
        <f t="shared" si="2"/>
        <v>-1.0700515883790389</v>
      </c>
      <c r="G15" s="24">
        <f t="shared" ref="G15:H15" si="3">G9/G11</f>
        <v>1.9273021001615509</v>
      </c>
      <c r="H15" s="24">
        <f t="shared" si="3"/>
        <v>1.1856873649859818</v>
      </c>
    </row>
    <row r="16" spans="1:13" x14ac:dyDescent="0.2">
      <c r="A16" s="6"/>
    </row>
    <row r="17" spans="1:12" x14ac:dyDescent="0.2">
      <c r="A17" s="9" t="s">
        <v>14</v>
      </c>
      <c r="B17" s="19">
        <v>861</v>
      </c>
      <c r="C17" s="19">
        <v>951</v>
      </c>
      <c r="D17" s="19">
        <v>962</v>
      </c>
      <c r="E17" s="19">
        <v>970</v>
      </c>
      <c r="F17" s="19">
        <v>1148</v>
      </c>
      <c r="G17" s="10"/>
      <c r="H17" s="40"/>
    </row>
    <row r="18" spans="1:12" x14ac:dyDescent="0.2">
      <c r="A18" s="6" t="s">
        <v>15</v>
      </c>
      <c r="B18" s="20">
        <v>18374</v>
      </c>
      <c r="C18" s="20">
        <v>24630</v>
      </c>
      <c r="D18" s="20">
        <v>25475</v>
      </c>
      <c r="E18" s="20">
        <v>26042</v>
      </c>
      <c r="F18" s="20">
        <v>39477</v>
      </c>
      <c r="G18" s="11"/>
      <c r="H18" s="41"/>
    </row>
    <row r="19" spans="1:12" x14ac:dyDescent="0.2">
      <c r="A19" s="6" t="s">
        <v>16</v>
      </c>
      <c r="B19" s="20">
        <v>25848</v>
      </c>
      <c r="C19" s="20">
        <v>22521</v>
      </c>
      <c r="D19" s="20">
        <v>18791</v>
      </c>
      <c r="E19" s="20">
        <v>15050</v>
      </c>
      <c r="F19" s="20">
        <v>10269</v>
      </c>
      <c r="G19" s="11"/>
      <c r="H19" s="41"/>
    </row>
    <row r="20" spans="1:12" x14ac:dyDescent="0.2">
      <c r="A20" s="6" t="s">
        <v>17</v>
      </c>
      <c r="B20" s="21">
        <v>7</v>
      </c>
      <c r="C20" s="21">
        <v>7</v>
      </c>
      <c r="D20" s="21">
        <v>7</v>
      </c>
      <c r="E20" s="20">
        <v>7</v>
      </c>
      <c r="F20" s="20">
        <v>7</v>
      </c>
      <c r="G20" s="11"/>
      <c r="H20" s="41"/>
    </row>
    <row r="21" spans="1:12" x14ac:dyDescent="0.2">
      <c r="A21" s="6" t="s">
        <v>18</v>
      </c>
      <c r="B21" s="21">
        <v>10737</v>
      </c>
      <c r="C21" s="21">
        <v>8743</v>
      </c>
      <c r="D21" s="21">
        <v>6755</v>
      </c>
      <c r="E21" s="20">
        <v>6151</v>
      </c>
      <c r="F21" s="20">
        <v>6549</v>
      </c>
      <c r="G21" s="11"/>
      <c r="H21" s="41"/>
      <c r="J21" t="s">
        <v>19</v>
      </c>
    </row>
    <row r="22" spans="1:12" x14ac:dyDescent="0.2">
      <c r="A22" s="6" t="s">
        <v>20</v>
      </c>
      <c r="B22" s="21">
        <v>1128</v>
      </c>
      <c r="C22" s="21">
        <v>8623</v>
      </c>
      <c r="D22" s="21">
        <v>13789</v>
      </c>
      <c r="E22" s="20">
        <v>19327</v>
      </c>
      <c r="F22" s="20">
        <v>13178</v>
      </c>
      <c r="G22" s="11"/>
      <c r="H22" s="41"/>
      <c r="J22" t="s">
        <v>21</v>
      </c>
    </row>
    <row r="23" spans="1:12" x14ac:dyDescent="0.2">
      <c r="A23" s="6" t="s">
        <v>22</v>
      </c>
      <c r="B23" s="20"/>
      <c r="C23" s="17"/>
      <c r="D23" s="17"/>
      <c r="E23" s="17"/>
      <c r="F23" s="17"/>
      <c r="G23" s="11"/>
      <c r="H23" s="41"/>
      <c r="I23" t="s">
        <v>23</v>
      </c>
    </row>
    <row r="24" spans="1:12" x14ac:dyDescent="0.2">
      <c r="A24" s="6" t="s">
        <v>24</v>
      </c>
      <c r="B24" s="21">
        <v>56955</v>
      </c>
      <c r="C24" s="21">
        <v>65475</v>
      </c>
      <c r="D24" s="21">
        <v>65779</v>
      </c>
      <c r="E24" s="21">
        <v>67547</v>
      </c>
      <c r="F24" s="21">
        <v>70628</v>
      </c>
      <c r="G24" s="100">
        <v>72688</v>
      </c>
      <c r="L24" s="60">
        <v>59987</v>
      </c>
    </row>
    <row r="25" spans="1:12" x14ac:dyDescent="0.2">
      <c r="A25" s="12" t="s">
        <v>25</v>
      </c>
      <c r="B25" s="13">
        <v>72</v>
      </c>
      <c r="C25" s="18">
        <v>75.400000000000006</v>
      </c>
      <c r="D25" s="18">
        <v>76</v>
      </c>
      <c r="E25" s="18">
        <v>79</v>
      </c>
      <c r="F25" s="18">
        <v>70.13</v>
      </c>
      <c r="G25" s="13">
        <v>73.13</v>
      </c>
      <c r="H25" s="31"/>
      <c r="L25">
        <v>58.8</v>
      </c>
    </row>
    <row r="26" spans="1:12" x14ac:dyDescent="0.2">
      <c r="A26" s="6"/>
      <c r="B26" s="51"/>
      <c r="C26" s="51"/>
      <c r="D26" s="51"/>
      <c r="E26" s="51"/>
      <c r="F26" s="51"/>
    </row>
    <row r="27" spans="1:12" x14ac:dyDescent="0.2">
      <c r="A27" s="9" t="s">
        <v>26</v>
      </c>
      <c r="B27" s="10"/>
      <c r="C27" s="10"/>
      <c r="D27" s="10"/>
      <c r="E27" s="10"/>
      <c r="F27" s="10"/>
      <c r="G27" s="10"/>
      <c r="H27" s="34"/>
    </row>
    <row r="28" spans="1:12" x14ac:dyDescent="0.2">
      <c r="A28" s="6" t="s">
        <v>27</v>
      </c>
      <c r="B28" s="20">
        <v>733</v>
      </c>
      <c r="C28" s="20">
        <v>803</v>
      </c>
      <c r="D28" s="20">
        <v>1089</v>
      </c>
      <c r="E28" s="20">
        <v>1301</v>
      </c>
      <c r="F28" s="20">
        <v>1866</v>
      </c>
      <c r="G28" s="21">
        <v>1841</v>
      </c>
      <c r="L28">
        <v>674</v>
      </c>
    </row>
    <row r="29" spans="1:12" x14ac:dyDescent="0.2">
      <c r="A29" s="6" t="s">
        <v>28</v>
      </c>
      <c r="B29" s="21">
        <v>7886</v>
      </c>
      <c r="C29" s="21">
        <v>7809</v>
      </c>
      <c r="D29" s="21">
        <v>268</v>
      </c>
      <c r="E29" s="20">
        <v>0</v>
      </c>
      <c r="F29" s="21">
        <v>13019</v>
      </c>
      <c r="G29" s="11">
        <f>668-17</f>
        <v>651</v>
      </c>
    </row>
    <row r="30" spans="1:12" x14ac:dyDescent="0.2">
      <c r="A30" s="12" t="s">
        <v>29</v>
      </c>
      <c r="B30" s="22">
        <v>79127499</v>
      </c>
      <c r="C30" s="22">
        <v>86793239</v>
      </c>
      <c r="D30" s="22">
        <v>86513013</v>
      </c>
      <c r="E30" s="22">
        <v>85501074</v>
      </c>
      <c r="F30" s="22">
        <v>100705508</v>
      </c>
      <c r="G30" s="16">
        <v>99396094</v>
      </c>
      <c r="H30" s="31"/>
      <c r="L30" s="60">
        <v>102011560</v>
      </c>
    </row>
    <row r="31" spans="1:12" x14ac:dyDescent="0.2">
      <c r="A31" s="6"/>
    </row>
    <row r="32" spans="1:12" s="3" customFormat="1" x14ac:dyDescent="0.2">
      <c r="A32" s="7" t="s">
        <v>30</v>
      </c>
      <c r="B32" s="35"/>
      <c r="C32" s="36">
        <f t="shared" ref="C32:G32" si="4">(C25+C12+C13)/B25-1</f>
        <v>0.1166666666666667</v>
      </c>
      <c r="D32" s="36">
        <f t="shared" si="4"/>
        <v>7.4270557029177731E-2</v>
      </c>
      <c r="E32" s="36">
        <f t="shared" si="4"/>
        <v>0.10526315789473695</v>
      </c>
      <c r="F32" s="36">
        <f t="shared" si="4"/>
        <v>-4.8987341772151916E-2</v>
      </c>
      <c r="G32" s="36">
        <f t="shared" si="4"/>
        <v>0.10323684585769288</v>
      </c>
      <c r="H32" s="35"/>
    </row>
    <row r="33" spans="1:14" x14ac:dyDescent="0.2">
      <c r="A33" s="7" t="s">
        <v>31</v>
      </c>
      <c r="B33" s="35"/>
      <c r="C33" s="36"/>
      <c r="D33" s="36"/>
      <c r="E33" s="36"/>
      <c r="F33" s="36"/>
      <c r="G33" s="37"/>
      <c r="H33" s="35">
        <f>((C32+1)*(D32+1)*(E32+1)*(F32+1)*(1+G32))^(1/5)-1</f>
        <v>6.8246786196284104E-2</v>
      </c>
    </row>
    <row r="35" spans="1:14" x14ac:dyDescent="0.2">
      <c r="A35" s="10"/>
      <c r="B35" s="34"/>
      <c r="C35" s="10"/>
      <c r="D35" s="10"/>
      <c r="E35" s="10"/>
      <c r="F35" s="10"/>
      <c r="G35" s="10"/>
      <c r="H35" s="34"/>
    </row>
    <row r="36" spans="1:14" x14ac:dyDescent="0.2">
      <c r="A36" s="11"/>
      <c r="B36" s="28"/>
    </row>
    <row r="37" spans="1:14" x14ac:dyDescent="0.2">
      <c r="A37" s="11" t="s">
        <v>32</v>
      </c>
      <c r="B37" s="54"/>
      <c r="C37" s="53"/>
      <c r="D37" s="53"/>
      <c r="G37" s="60"/>
      <c r="J37" s="101">
        <v>44377</v>
      </c>
    </row>
    <row r="38" spans="1:14" x14ac:dyDescent="0.2">
      <c r="A38" s="11" t="s">
        <v>214</v>
      </c>
      <c r="B38" s="55"/>
      <c r="C38" s="52"/>
      <c r="D38" s="2"/>
      <c r="F38" s="51">
        <v>25773</v>
      </c>
      <c r="G38" s="60">
        <v>17563</v>
      </c>
      <c r="J38" s="60">
        <v>32259</v>
      </c>
      <c r="L38" s="60">
        <v>34595</v>
      </c>
    </row>
    <row r="39" spans="1:14" x14ac:dyDescent="0.2">
      <c r="A39" s="11" t="s">
        <v>215</v>
      </c>
      <c r="B39" s="55"/>
      <c r="C39" s="52"/>
      <c r="D39" s="2"/>
      <c r="F39" s="60">
        <v>23470</v>
      </c>
      <c r="G39" s="60">
        <v>10792</v>
      </c>
    </row>
    <row r="40" spans="1:14" x14ac:dyDescent="0.2">
      <c r="A40" s="11" t="s">
        <v>37</v>
      </c>
      <c r="B40" s="55"/>
      <c r="C40" s="52"/>
      <c r="D40" s="2"/>
      <c r="F40" s="60">
        <v>21782</v>
      </c>
      <c r="G40" s="60">
        <v>43562</v>
      </c>
      <c r="J40" s="60">
        <v>40163</v>
      </c>
      <c r="L40" s="60">
        <v>24125</v>
      </c>
      <c r="N40" s="104">
        <f>L40/L42</f>
        <v>0.40217047026855818</v>
      </c>
    </row>
    <row r="41" spans="1:14" x14ac:dyDescent="0.2">
      <c r="A41" s="11"/>
      <c r="B41" s="55"/>
      <c r="C41" s="52"/>
    </row>
    <row r="42" spans="1:14" x14ac:dyDescent="0.2">
      <c r="A42" s="15" t="s">
        <v>38</v>
      </c>
      <c r="B42" s="55"/>
      <c r="C42" s="52"/>
      <c r="F42" s="51">
        <f>F24</f>
        <v>70628</v>
      </c>
      <c r="G42" s="60">
        <f>G24</f>
        <v>72688</v>
      </c>
      <c r="J42" s="60">
        <v>73361</v>
      </c>
      <c r="L42" s="60">
        <f>L24</f>
        <v>59987</v>
      </c>
    </row>
    <row r="43" spans="1:14" x14ac:dyDescent="0.2">
      <c r="A43" s="13"/>
      <c r="B43" s="56"/>
      <c r="C43" s="22"/>
      <c r="D43" s="13"/>
      <c r="E43" s="13"/>
      <c r="F43" s="13"/>
      <c r="G43" s="13"/>
      <c r="H43" s="31"/>
    </row>
    <row r="45" spans="1:14" x14ac:dyDescent="0.2">
      <c r="A45" s="5" t="s">
        <v>39</v>
      </c>
    </row>
    <row r="46" spans="1:14" x14ac:dyDescent="0.2">
      <c r="A46" s="5" t="s">
        <v>207</v>
      </c>
    </row>
    <row r="47" spans="1:14" x14ac:dyDescent="0.2">
      <c r="A47" s="5" t="s">
        <v>208</v>
      </c>
      <c r="F47" s="60">
        <v>1360</v>
      </c>
      <c r="G47" s="60">
        <v>1347</v>
      </c>
    </row>
    <row r="48" spans="1:14" x14ac:dyDescent="0.2">
      <c r="A48" s="5" t="s">
        <v>220</v>
      </c>
      <c r="F48">
        <v>232</v>
      </c>
      <c r="G48">
        <v>193</v>
      </c>
    </row>
    <row r="50" spans="1:10" x14ac:dyDescent="0.2">
      <c r="A50" s="5" t="s">
        <v>209</v>
      </c>
      <c r="I50" s="11"/>
      <c r="J50" t="s">
        <v>221</v>
      </c>
    </row>
    <row r="51" spans="1:10" x14ac:dyDescent="0.2">
      <c r="A51" s="5" t="s">
        <v>210</v>
      </c>
      <c r="I51" s="99">
        <f>SUM(J51:J58)/100</f>
        <v>0.28300000000000003</v>
      </c>
      <c r="J51">
        <v>6.9</v>
      </c>
    </row>
    <row r="52" spans="1:10" x14ac:dyDescent="0.2">
      <c r="A52" s="5" t="s">
        <v>211</v>
      </c>
      <c r="I52" s="99">
        <f>SUM(J51:J68)/100</f>
        <v>0.45100000000000001</v>
      </c>
      <c r="J52">
        <v>4.4000000000000004</v>
      </c>
    </row>
    <row r="53" spans="1:10" x14ac:dyDescent="0.2">
      <c r="A53" s="5" t="s">
        <v>212</v>
      </c>
      <c r="I53" s="11">
        <v>39</v>
      </c>
      <c r="J53">
        <v>3.4</v>
      </c>
    </row>
    <row r="54" spans="1:10" x14ac:dyDescent="0.2">
      <c r="A54" s="5" t="s">
        <v>217</v>
      </c>
      <c r="I54" s="11">
        <v>34</v>
      </c>
      <c r="J54">
        <v>3.1</v>
      </c>
    </row>
    <row r="55" spans="1:10" x14ac:dyDescent="0.2">
      <c r="A55" s="5" t="s">
        <v>223</v>
      </c>
      <c r="F55" s="75">
        <v>0.99</v>
      </c>
      <c r="G55" s="57">
        <v>0.9103</v>
      </c>
      <c r="J55">
        <v>2.9</v>
      </c>
    </row>
    <row r="56" spans="1:10" x14ac:dyDescent="0.2">
      <c r="J56">
        <v>2.8</v>
      </c>
    </row>
    <row r="57" spans="1:10" x14ac:dyDescent="0.2">
      <c r="J57">
        <v>2.5</v>
      </c>
    </row>
    <row r="58" spans="1:10" x14ac:dyDescent="0.2">
      <c r="J58">
        <v>2.2999999999999998</v>
      </c>
    </row>
    <row r="59" spans="1:10" x14ac:dyDescent="0.2">
      <c r="A59" s="5" t="s">
        <v>231</v>
      </c>
      <c r="C59" s="75">
        <f>C14</f>
        <v>1.8046144859813085</v>
      </c>
      <c r="D59" s="75">
        <f t="shared" ref="D59:G60" si="5">D14</f>
        <v>1.0466045272969375</v>
      </c>
      <c r="E59" s="75">
        <f t="shared" si="5"/>
        <v>2.6202593589429899</v>
      </c>
      <c r="F59" s="75">
        <f t="shared" si="5"/>
        <v>7.9283193049144718E-2</v>
      </c>
      <c r="G59" s="75">
        <f t="shared" si="5"/>
        <v>1.2592891760904683</v>
      </c>
      <c r="J59">
        <v>2.1</v>
      </c>
    </row>
    <row r="60" spans="1:10" x14ac:dyDescent="0.2">
      <c r="A60" s="5" t="s">
        <v>232</v>
      </c>
      <c r="C60" s="75">
        <f>C15</f>
        <v>2.0476051401869158</v>
      </c>
      <c r="D60" s="75">
        <f t="shared" si="5"/>
        <v>1.2737683089214382</v>
      </c>
      <c r="E60" s="75">
        <f t="shared" si="5"/>
        <v>1.6567164179104479</v>
      </c>
      <c r="F60" s="75">
        <f t="shared" si="5"/>
        <v>-1.0700515883790389</v>
      </c>
      <c r="G60" s="75">
        <f t="shared" si="5"/>
        <v>1.9273021001615509</v>
      </c>
      <c r="J60">
        <v>2</v>
      </c>
    </row>
    <row r="61" spans="1:10" x14ac:dyDescent="0.2">
      <c r="A61" s="5" t="s">
        <v>228</v>
      </c>
      <c r="C61" s="78">
        <f>C28/1000</f>
        <v>0.80300000000000005</v>
      </c>
      <c r="D61" s="78">
        <f t="shared" ref="D61:G61" si="6">D28/1000</f>
        <v>1.089</v>
      </c>
      <c r="E61" s="78">
        <f t="shared" si="6"/>
        <v>1.3009999999999999</v>
      </c>
      <c r="F61" s="78">
        <f t="shared" si="6"/>
        <v>1.8660000000000001</v>
      </c>
      <c r="G61" s="78">
        <f t="shared" si="6"/>
        <v>1.841</v>
      </c>
      <c r="J61">
        <v>1.9</v>
      </c>
    </row>
    <row r="62" spans="1:10" x14ac:dyDescent="0.2">
      <c r="A62" s="5" t="s">
        <v>229</v>
      </c>
      <c r="C62" s="78">
        <f>C24/1000</f>
        <v>65.474999999999994</v>
      </c>
      <c r="D62" s="78">
        <f t="shared" ref="D62:G62" si="7">D24/1000</f>
        <v>65.778999999999996</v>
      </c>
      <c r="E62" s="78">
        <f t="shared" si="7"/>
        <v>67.546999999999997</v>
      </c>
      <c r="F62" s="78">
        <f t="shared" si="7"/>
        <v>70.628</v>
      </c>
      <c r="G62" s="78">
        <f t="shared" si="7"/>
        <v>72.688000000000002</v>
      </c>
      <c r="J62">
        <v>1.8</v>
      </c>
    </row>
    <row r="63" spans="1:10" x14ac:dyDescent="0.2">
      <c r="A63" s="5" t="s">
        <v>230</v>
      </c>
      <c r="C63" s="78">
        <f>C25</f>
        <v>75.400000000000006</v>
      </c>
      <c r="D63" s="78">
        <f t="shared" ref="D63:G63" si="8">D25</f>
        <v>76</v>
      </c>
      <c r="E63" s="78">
        <f t="shared" si="8"/>
        <v>79</v>
      </c>
      <c r="F63" s="78">
        <f t="shared" si="8"/>
        <v>70.13</v>
      </c>
      <c r="G63" s="78">
        <f t="shared" si="8"/>
        <v>73.13</v>
      </c>
      <c r="J63">
        <v>1.7</v>
      </c>
    </row>
    <row r="64" spans="1:10" x14ac:dyDescent="0.2">
      <c r="J64">
        <v>1.6</v>
      </c>
    </row>
    <row r="65" spans="10:10" x14ac:dyDescent="0.2">
      <c r="J65">
        <v>1.5</v>
      </c>
    </row>
    <row r="66" spans="10:10" x14ac:dyDescent="0.2">
      <c r="J66">
        <v>1.4</v>
      </c>
    </row>
    <row r="67" spans="10:10" x14ac:dyDescent="0.2">
      <c r="J67">
        <v>1.4</v>
      </c>
    </row>
    <row r="68" spans="10:10" x14ac:dyDescent="0.2">
      <c r="J68">
        <v>1.4</v>
      </c>
    </row>
    <row r="69" spans="10:10" x14ac:dyDescent="0.2">
      <c r="J69">
        <v>1.4</v>
      </c>
    </row>
    <row r="70" spans="10:10" x14ac:dyDescent="0.2">
      <c r="J70">
        <v>1.2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C539-BD6B-44F7-8DDE-5D7893017E64}">
  <dimension ref="A1:K70"/>
  <sheetViews>
    <sheetView zoomScaleNormal="100" workbookViewId="0">
      <pane xSplit="1" ySplit="3" topLeftCell="B20" activePane="bottomRight" state="frozen"/>
      <selection pane="topRight" activeCell="B1" sqref="B1"/>
      <selection pane="bottomLeft" activeCell="A4" sqref="A4"/>
      <selection pane="bottomRight" activeCell="C7" sqref="C7:G12"/>
    </sheetView>
  </sheetViews>
  <sheetFormatPr baseColWidth="10" defaultColWidth="8.83203125" defaultRowHeight="16" x14ac:dyDescent="0.2"/>
  <cols>
    <col min="1" max="1" width="43" customWidth="1"/>
    <col min="2" max="8" width="13.33203125" customWidth="1"/>
    <col min="9" max="9" width="10.83203125" bestFit="1" customWidth="1"/>
  </cols>
  <sheetData>
    <row r="1" spans="1:10" x14ac:dyDescent="0.2">
      <c r="A1" s="5" t="s">
        <v>0</v>
      </c>
      <c r="B1" s="1">
        <v>43646</v>
      </c>
      <c r="H1" s="28"/>
    </row>
    <row r="2" spans="1:10" x14ac:dyDescent="0.2">
      <c r="A2" s="6" t="s">
        <v>80</v>
      </c>
      <c r="H2" s="28"/>
    </row>
    <row r="3" spans="1:10" x14ac:dyDescent="0.2">
      <c r="A3" s="5"/>
      <c r="B3" s="4">
        <f>C3-1</f>
        <v>2016</v>
      </c>
      <c r="C3" s="4">
        <f>D3-1</f>
        <v>2017</v>
      </c>
      <c r="D3" s="4">
        <f>E3-1</f>
        <v>2018</v>
      </c>
      <c r="E3" s="4">
        <v>2019</v>
      </c>
      <c r="F3" s="4">
        <v>2020</v>
      </c>
      <c r="G3" s="4">
        <v>2021</v>
      </c>
      <c r="H3" s="29" t="s">
        <v>2</v>
      </c>
      <c r="I3" t="s">
        <v>3</v>
      </c>
      <c r="J3" t="s">
        <v>51</v>
      </c>
    </row>
    <row r="4" spans="1:10" x14ac:dyDescent="0.2">
      <c r="A4" s="9" t="s">
        <v>205</v>
      </c>
      <c r="B4" s="38"/>
      <c r="C4" s="38"/>
      <c r="D4" s="38"/>
      <c r="E4" s="38"/>
      <c r="F4" s="10"/>
      <c r="G4" s="108">
        <v>12.281000000000001</v>
      </c>
      <c r="H4" s="30"/>
    </row>
    <row r="5" spans="1:10" x14ac:dyDescent="0.2">
      <c r="A5" s="6" t="s">
        <v>160</v>
      </c>
      <c r="B5" s="14"/>
      <c r="C5" s="14"/>
      <c r="D5" s="14"/>
      <c r="E5" s="14"/>
      <c r="F5" s="11"/>
      <c r="G5" s="11">
        <v>6.4050000000000002</v>
      </c>
      <c r="H5" s="30"/>
    </row>
    <row r="6" spans="1:10" x14ac:dyDescent="0.2">
      <c r="A6" s="6" t="s">
        <v>206</v>
      </c>
      <c r="B6" s="14"/>
      <c r="C6" s="14"/>
      <c r="D6" s="14"/>
      <c r="E6" s="14"/>
      <c r="F6" s="11"/>
      <c r="G6" s="11"/>
      <c r="H6" s="30"/>
    </row>
    <row r="7" spans="1:10" x14ac:dyDescent="0.2">
      <c r="A7" s="9" t="s">
        <v>5</v>
      </c>
      <c r="B7" s="45">
        <v>0.23799999999999999</v>
      </c>
      <c r="C7" s="45">
        <v>5.4349999999999996</v>
      </c>
      <c r="D7" s="45">
        <v>7.3659999999999997</v>
      </c>
      <c r="E7" s="45">
        <v>6.4749999999999996</v>
      </c>
      <c r="F7" s="105">
        <v>0.63</v>
      </c>
      <c r="G7" s="105">
        <v>1.452</v>
      </c>
      <c r="H7" s="30">
        <f>SUM(B7:G7)</f>
        <v>21.595999999999997</v>
      </c>
    </row>
    <row r="8" spans="1:10" x14ac:dyDescent="0.2">
      <c r="A8" s="6" t="s">
        <v>219</v>
      </c>
      <c r="B8" s="46"/>
      <c r="C8" s="46"/>
      <c r="D8" s="46"/>
      <c r="E8" s="46"/>
      <c r="F8" s="39">
        <v>1.1120000000000001</v>
      </c>
      <c r="G8" s="39">
        <v>0.82</v>
      </c>
      <c r="H8" s="30"/>
    </row>
    <row r="9" spans="1:10" x14ac:dyDescent="0.2">
      <c r="A9" s="6" t="s">
        <v>6</v>
      </c>
      <c r="B9" s="46">
        <v>0.46600000000000003</v>
      </c>
      <c r="C9" s="46">
        <v>5.4649999999999999</v>
      </c>
      <c r="D9" s="46">
        <v>7.266</v>
      </c>
      <c r="E9" s="47">
        <v>6.3920000000000003</v>
      </c>
      <c r="F9" s="106">
        <v>-0.40400000000000003</v>
      </c>
      <c r="G9" s="106">
        <v>11.462999999999999</v>
      </c>
      <c r="H9" s="30">
        <f>SUM(B9:G9)</f>
        <v>30.647999999999996</v>
      </c>
    </row>
    <row r="10" spans="1:10" x14ac:dyDescent="0.2">
      <c r="A10" s="6" t="s">
        <v>8</v>
      </c>
      <c r="B10" s="47">
        <v>0.41</v>
      </c>
      <c r="C10" s="47">
        <v>4.04</v>
      </c>
      <c r="D10" s="47">
        <v>4.6399999999999997</v>
      </c>
      <c r="E10" s="47">
        <v>3.75</v>
      </c>
      <c r="F10" s="106">
        <v>-0.21</v>
      </c>
      <c r="G10" s="106">
        <v>5.55</v>
      </c>
      <c r="H10" s="30">
        <f>SUM(B10:G10)</f>
        <v>18.18</v>
      </c>
    </row>
    <row r="11" spans="1:10" x14ac:dyDescent="0.2">
      <c r="A11" s="6" t="s">
        <v>9</v>
      </c>
      <c r="B11" s="47">
        <v>2.4129999999999998</v>
      </c>
      <c r="C11" s="47">
        <v>2.2549999999999999</v>
      </c>
      <c r="D11" s="47">
        <v>2.5950000000000002</v>
      </c>
      <c r="E11" s="78">
        <v>3.28</v>
      </c>
      <c r="F11" s="106">
        <v>3.8140000000000001</v>
      </c>
      <c r="G11" s="106">
        <v>6.1059999999999999</v>
      </c>
      <c r="H11" s="30">
        <f>SUM(B11:G11)</f>
        <v>20.463000000000001</v>
      </c>
    </row>
    <row r="12" spans="1:10" x14ac:dyDescent="0.2">
      <c r="A12" s="6" t="s">
        <v>10</v>
      </c>
      <c r="B12" s="46">
        <v>2.5</v>
      </c>
      <c r="C12" s="46">
        <v>2</v>
      </c>
      <c r="D12" s="46">
        <v>2</v>
      </c>
      <c r="E12" s="46">
        <v>2</v>
      </c>
      <c r="F12" s="106">
        <v>2</v>
      </c>
      <c r="G12" s="106">
        <v>1.61</v>
      </c>
      <c r="H12" s="30">
        <f t="shared" ref="H12" si="0">SUM(B12:F12)</f>
        <v>10.5</v>
      </c>
    </row>
    <row r="13" spans="1:10" x14ac:dyDescent="0.2">
      <c r="A13" s="6" t="s">
        <v>11</v>
      </c>
      <c r="B13" s="11"/>
      <c r="C13" s="11"/>
      <c r="D13" s="11"/>
      <c r="E13" s="11"/>
      <c r="F13" s="107"/>
      <c r="G13" s="106">
        <v>2</v>
      </c>
      <c r="H13" s="28"/>
    </row>
    <row r="14" spans="1:10" x14ac:dyDescent="0.2">
      <c r="A14" s="6" t="s">
        <v>12</v>
      </c>
      <c r="B14" s="2">
        <f t="shared" ref="B14:F14" si="1">B7/B11</f>
        <v>9.8632407791131374E-2</v>
      </c>
      <c r="C14" s="2">
        <f t="shared" si="1"/>
        <v>2.4101995565410199</v>
      </c>
      <c r="D14" s="2">
        <f t="shared" si="1"/>
        <v>2.8385356454720614</v>
      </c>
      <c r="E14" s="2">
        <f t="shared" si="1"/>
        <v>1.9740853658536586</v>
      </c>
      <c r="F14" s="2">
        <f t="shared" si="1"/>
        <v>0.16518091242789723</v>
      </c>
      <c r="G14" s="2">
        <f t="shared" ref="G14:H14" si="2">G7/G11</f>
        <v>0.23779888634130364</v>
      </c>
      <c r="H14" s="2">
        <f t="shared" si="2"/>
        <v>1.055368225577872</v>
      </c>
    </row>
    <row r="15" spans="1:10" x14ac:dyDescent="0.2">
      <c r="A15" s="12" t="s">
        <v>13</v>
      </c>
      <c r="B15" s="24">
        <f t="shared" ref="B15:F15" si="3">B9/B11</f>
        <v>0.19312059676750934</v>
      </c>
      <c r="C15" s="24">
        <f t="shared" si="3"/>
        <v>2.4235033259423502</v>
      </c>
      <c r="D15" s="24">
        <f t="shared" si="3"/>
        <v>2.8</v>
      </c>
      <c r="E15" s="24">
        <f t="shared" si="3"/>
        <v>1.9487804878048782</v>
      </c>
      <c r="F15" s="24">
        <f t="shared" si="3"/>
        <v>-0.1059255374934452</v>
      </c>
      <c r="G15" s="24">
        <f t="shared" ref="G15:H15" si="4">G9/G11</f>
        <v>1.8773337700622337</v>
      </c>
      <c r="H15" s="24">
        <f t="shared" si="4"/>
        <v>1.497727605922885</v>
      </c>
    </row>
    <row r="16" spans="1:10" x14ac:dyDescent="0.2">
      <c r="A16" s="6"/>
      <c r="H16" s="28"/>
    </row>
    <row r="17" spans="1:11" x14ac:dyDescent="0.2">
      <c r="A17" s="9" t="s">
        <v>14</v>
      </c>
      <c r="B17" s="19">
        <v>14110</v>
      </c>
      <c r="C17" s="19">
        <v>16211</v>
      </c>
      <c r="D17" s="19">
        <v>1829</v>
      </c>
      <c r="E17" s="19">
        <v>2072</v>
      </c>
      <c r="F17" s="10">
        <v>2200</v>
      </c>
      <c r="G17" s="10"/>
      <c r="H17" s="40"/>
    </row>
    <row r="18" spans="1:11" x14ac:dyDescent="0.2">
      <c r="A18" s="6" t="s">
        <v>15</v>
      </c>
      <c r="B18" s="20">
        <v>13872</v>
      </c>
      <c r="C18" s="20">
        <v>18032</v>
      </c>
      <c r="D18" s="20">
        <v>974</v>
      </c>
      <c r="E18" s="20">
        <v>9061</v>
      </c>
      <c r="F18" s="21">
        <v>13366</v>
      </c>
      <c r="G18" s="21"/>
      <c r="H18" s="41"/>
    </row>
    <row r="19" spans="1:11" x14ac:dyDescent="0.2">
      <c r="A19" s="6" t="s">
        <v>16</v>
      </c>
      <c r="B19" s="20">
        <v>6970</v>
      </c>
      <c r="C19" s="20">
        <v>4425</v>
      </c>
      <c r="D19" s="20">
        <v>40407</v>
      </c>
      <c r="E19" s="20">
        <v>36963</v>
      </c>
      <c r="F19" s="21">
        <v>32685</v>
      </c>
      <c r="G19" s="21"/>
      <c r="H19" s="41"/>
    </row>
    <row r="20" spans="1:11" x14ac:dyDescent="0.2">
      <c r="A20" s="6" t="s">
        <v>17</v>
      </c>
      <c r="B20" s="21">
        <v>1415</v>
      </c>
      <c r="C20" s="21">
        <v>1415</v>
      </c>
      <c r="D20" s="20">
        <v>0</v>
      </c>
      <c r="E20" s="20">
        <v>0</v>
      </c>
      <c r="F20" s="20">
        <v>0</v>
      </c>
      <c r="G20" s="20"/>
      <c r="H20" s="41"/>
    </row>
    <row r="21" spans="1:11" x14ac:dyDescent="0.2">
      <c r="A21" s="6" t="s">
        <v>18</v>
      </c>
      <c r="B21" s="21">
        <v>-1109</v>
      </c>
      <c r="C21" s="21">
        <v>-813</v>
      </c>
      <c r="D21" s="20">
        <v>-769</v>
      </c>
      <c r="E21" s="20">
        <v>-1857</v>
      </c>
      <c r="F21" s="21">
        <v>4990</v>
      </c>
      <c r="G21" s="21"/>
      <c r="H21" s="41"/>
      <c r="J21" t="s">
        <v>19</v>
      </c>
    </row>
    <row r="22" spans="1:11" x14ac:dyDescent="0.2">
      <c r="A22" s="6" t="s">
        <v>20</v>
      </c>
      <c r="B22" s="21">
        <v>2127</v>
      </c>
      <c r="C22" s="21">
        <v>6311</v>
      </c>
      <c r="D22" s="20">
        <v>12973</v>
      </c>
      <c r="E22" s="20">
        <v>19756</v>
      </c>
      <c r="F22" s="21">
        <v>12032</v>
      </c>
      <c r="G22" s="21"/>
      <c r="H22" s="41"/>
      <c r="J22" t="s">
        <v>21</v>
      </c>
    </row>
    <row r="23" spans="1:11" x14ac:dyDescent="0.2">
      <c r="A23" s="6" t="s">
        <v>22</v>
      </c>
      <c r="B23" s="20"/>
      <c r="C23" s="20"/>
      <c r="D23" s="20"/>
      <c r="E23" s="20"/>
      <c r="H23" s="41"/>
    </row>
    <row r="24" spans="1:11" x14ac:dyDescent="0.2">
      <c r="A24" s="6" t="s">
        <v>24</v>
      </c>
      <c r="B24" s="21">
        <f>SUM(B17:B23)</f>
        <v>37385</v>
      </c>
      <c r="C24" s="21">
        <f>SUM(C17:C23)</f>
        <v>45581</v>
      </c>
      <c r="D24" s="21">
        <f>SUM(D17:D23)</f>
        <v>55414</v>
      </c>
      <c r="E24" s="21">
        <f>SUM(E17:E23)</f>
        <v>65995</v>
      </c>
      <c r="F24" s="21">
        <f t="shared" ref="F24" si="5">SUM(F17:F23)</f>
        <v>65273</v>
      </c>
      <c r="G24" s="21">
        <v>77650</v>
      </c>
      <c r="H24" s="28"/>
    </row>
    <row r="25" spans="1:11" x14ac:dyDescent="0.2">
      <c r="A25" s="12" t="s">
        <v>25</v>
      </c>
      <c r="B25" s="18">
        <v>28.94</v>
      </c>
      <c r="C25" s="18">
        <v>30.98</v>
      </c>
      <c r="D25" s="18">
        <v>33.5</v>
      </c>
      <c r="E25" s="18">
        <v>35.29</v>
      </c>
      <c r="F25" s="13">
        <v>33.14</v>
      </c>
      <c r="G25" s="13">
        <v>34.79</v>
      </c>
      <c r="H25" s="31"/>
    </row>
    <row r="26" spans="1:11" x14ac:dyDescent="0.2">
      <c r="A26" s="6"/>
      <c r="H26" s="28"/>
    </row>
    <row r="27" spans="1:11" x14ac:dyDescent="0.2">
      <c r="A27" s="9" t="s">
        <v>26</v>
      </c>
      <c r="B27" s="10"/>
      <c r="C27" s="10"/>
      <c r="D27" s="10"/>
      <c r="E27" s="10"/>
      <c r="F27" s="10"/>
      <c r="G27" s="10"/>
      <c r="H27" s="34"/>
    </row>
    <row r="28" spans="1:11" x14ac:dyDescent="0.2">
      <c r="A28" s="6" t="s">
        <v>27</v>
      </c>
      <c r="B28" s="20">
        <v>303</v>
      </c>
      <c r="C28" s="20">
        <v>826</v>
      </c>
      <c r="D28" s="20">
        <v>712</v>
      </c>
      <c r="E28" s="20">
        <v>896</v>
      </c>
      <c r="F28" s="21">
        <v>937</v>
      </c>
      <c r="G28" s="21">
        <v>1573</v>
      </c>
      <c r="H28" s="28"/>
    </row>
    <row r="29" spans="1:11" x14ac:dyDescent="0.2">
      <c r="A29" s="6" t="s">
        <v>28</v>
      </c>
      <c r="B29" s="21">
        <v>7164</v>
      </c>
      <c r="C29" s="21">
        <v>5833</v>
      </c>
      <c r="D29" s="20">
        <v>5869</v>
      </c>
      <c r="E29" s="21">
        <v>7802</v>
      </c>
      <c r="F29" s="21">
        <v>3839</v>
      </c>
      <c r="G29" s="21">
        <f>8789-20</f>
        <v>8769</v>
      </c>
      <c r="H29" s="28"/>
    </row>
    <row r="30" spans="1:11" x14ac:dyDescent="0.2">
      <c r="A30" s="12" t="s">
        <v>29</v>
      </c>
      <c r="B30" s="22">
        <v>129182580</v>
      </c>
      <c r="C30" s="22">
        <v>147108568</v>
      </c>
      <c r="D30" s="22">
        <v>165394748</v>
      </c>
      <c r="E30" s="22">
        <v>187002237</v>
      </c>
      <c r="F30" s="16">
        <v>196975244</v>
      </c>
      <c r="G30" s="16">
        <v>223224106</v>
      </c>
      <c r="H30" s="31"/>
    </row>
    <row r="31" spans="1:11" x14ac:dyDescent="0.2">
      <c r="A31" s="6"/>
      <c r="H31" s="28"/>
    </row>
    <row r="32" spans="1:11" x14ac:dyDescent="0.2">
      <c r="A32" s="7" t="s">
        <v>30</v>
      </c>
      <c r="B32" s="35"/>
      <c r="C32" s="36">
        <f>(C25+C12+C13)/B25-1</f>
        <v>0.13959917069799599</v>
      </c>
      <c r="D32" s="36">
        <f>(D25+D12+D13)/C25-1</f>
        <v>0.14590058102001291</v>
      </c>
      <c r="E32" s="36">
        <f>(E25+E12+E13)/D25-1</f>
        <v>0.11313432835820891</v>
      </c>
      <c r="F32" s="36">
        <f>(F25+F12+F13)/E25-1</f>
        <v>-4.2504958911873114E-3</v>
      </c>
      <c r="G32" s="36">
        <f>(G25+G12+G13)/F25-1</f>
        <v>0.15872057936028972</v>
      </c>
      <c r="H32" s="35"/>
      <c r="I32" s="3"/>
      <c r="J32" s="3"/>
      <c r="K32" s="3"/>
    </row>
    <row r="33" spans="1:8" x14ac:dyDescent="0.2">
      <c r="A33" s="7" t="s">
        <v>31</v>
      </c>
      <c r="B33" s="35"/>
      <c r="C33" s="36"/>
      <c r="D33" s="36"/>
      <c r="E33" s="36"/>
      <c r="F33" s="36"/>
      <c r="G33" s="37"/>
      <c r="H33" s="35">
        <f>((C32+1)*(D32+1)*(E32+1)*(F32+1)*(1+G32))^(1/5)-1</f>
        <v>0.10895798380383503</v>
      </c>
    </row>
    <row r="34" spans="1:8" x14ac:dyDescent="0.2">
      <c r="A34" s="5"/>
      <c r="H34" s="28"/>
    </row>
    <row r="35" spans="1:8" x14ac:dyDescent="0.2">
      <c r="A35" s="10"/>
      <c r="B35" s="34"/>
      <c r="C35" s="10"/>
      <c r="D35" s="10"/>
      <c r="E35" s="10"/>
      <c r="F35" s="10"/>
      <c r="G35" s="10"/>
      <c r="H35" s="34"/>
    </row>
    <row r="36" spans="1:8" x14ac:dyDescent="0.2">
      <c r="A36" s="11"/>
      <c r="B36" s="28"/>
      <c r="H36" s="28"/>
    </row>
    <row r="37" spans="1:8" x14ac:dyDescent="0.2">
      <c r="A37" s="11" t="s">
        <v>32</v>
      </c>
      <c r="B37" s="54"/>
      <c r="C37" s="53"/>
      <c r="D37" s="53"/>
      <c r="H37" s="28"/>
    </row>
    <row r="38" spans="1:8" x14ac:dyDescent="0.2">
      <c r="A38" s="11" t="s">
        <v>214</v>
      </c>
      <c r="B38" s="55"/>
      <c r="C38" s="52"/>
      <c r="D38" s="2"/>
      <c r="F38" s="60">
        <v>29031</v>
      </c>
      <c r="G38" s="60">
        <f>41381+544</f>
        <v>41925</v>
      </c>
      <c r="H38" s="28"/>
    </row>
    <row r="39" spans="1:8" x14ac:dyDescent="0.2">
      <c r="A39" s="11" t="s">
        <v>215</v>
      </c>
      <c r="B39" s="55"/>
      <c r="C39" s="52"/>
      <c r="D39" s="2"/>
      <c r="F39" s="60">
        <v>12590</v>
      </c>
      <c r="G39" s="60">
        <v>8529</v>
      </c>
      <c r="H39" s="28"/>
    </row>
    <row r="40" spans="1:8" x14ac:dyDescent="0.2">
      <c r="A40" s="11" t="s">
        <v>37</v>
      </c>
      <c r="B40" s="55"/>
      <c r="C40" s="52"/>
      <c r="D40" s="2"/>
      <c r="F40" s="60">
        <v>23966</v>
      </c>
      <c r="G40" s="60">
        <v>27426</v>
      </c>
      <c r="H40" s="28"/>
    </row>
    <row r="41" spans="1:8" x14ac:dyDescent="0.2">
      <c r="A41" s="11"/>
      <c r="B41" s="55"/>
      <c r="C41" s="52"/>
      <c r="H41" s="28"/>
    </row>
    <row r="42" spans="1:8" x14ac:dyDescent="0.2">
      <c r="A42" s="15" t="s">
        <v>38</v>
      </c>
      <c r="B42" s="56"/>
      <c r="C42" s="22"/>
      <c r="D42" s="13"/>
      <c r="E42" s="13"/>
      <c r="F42" s="59">
        <f>F24</f>
        <v>65273</v>
      </c>
      <c r="G42" s="59">
        <f>G24</f>
        <v>77650</v>
      </c>
      <c r="H42" s="31"/>
    </row>
    <row r="43" spans="1:8" x14ac:dyDescent="0.2">
      <c r="A43" s="13"/>
    </row>
    <row r="44" spans="1:8" x14ac:dyDescent="0.2">
      <c r="A44" s="5"/>
    </row>
    <row r="45" spans="1:8" x14ac:dyDescent="0.2">
      <c r="A45" s="5" t="s">
        <v>39</v>
      </c>
    </row>
    <row r="46" spans="1:8" x14ac:dyDescent="0.2">
      <c r="A46" s="5" t="s">
        <v>207</v>
      </c>
      <c r="F46" s="93">
        <v>2.3E-2</v>
      </c>
      <c r="G46" s="93">
        <v>2.1999999999999999E-2</v>
      </c>
    </row>
    <row r="47" spans="1:8" x14ac:dyDescent="0.2">
      <c r="A47" s="5" t="s">
        <v>208</v>
      </c>
      <c r="F47">
        <v>1191</v>
      </c>
      <c r="G47">
        <v>1214</v>
      </c>
    </row>
    <row r="48" spans="1:8" x14ac:dyDescent="0.2">
      <c r="A48" s="5" t="s">
        <v>220</v>
      </c>
      <c r="F48">
        <v>131</v>
      </c>
      <c r="G48">
        <v>223</v>
      </c>
    </row>
    <row r="49" spans="1:9" x14ac:dyDescent="0.2">
      <c r="A49" s="5" t="s">
        <v>226</v>
      </c>
      <c r="F49">
        <v>0</v>
      </c>
      <c r="G49">
        <v>823</v>
      </c>
    </row>
    <row r="50" spans="1:9" x14ac:dyDescent="0.2">
      <c r="A50" s="5" t="s">
        <v>209</v>
      </c>
      <c r="I50" s="101">
        <v>44377</v>
      </c>
    </row>
    <row r="51" spans="1:9" x14ac:dyDescent="0.2">
      <c r="A51" s="5" t="s">
        <v>210</v>
      </c>
      <c r="G51" s="2">
        <f>SUM(I51:I60)/G42</f>
        <v>0.38300064391500321</v>
      </c>
      <c r="I51" s="60">
        <v>10090</v>
      </c>
    </row>
    <row r="52" spans="1:9" x14ac:dyDescent="0.2">
      <c r="A52" s="5" t="s">
        <v>211</v>
      </c>
      <c r="G52" s="2">
        <f>SUM(I51:I70)/G42</f>
        <v>0.49998712169993559</v>
      </c>
      <c r="I52">
        <v>3929</v>
      </c>
    </row>
    <row r="53" spans="1:9" x14ac:dyDescent="0.2">
      <c r="A53" s="5" t="s">
        <v>212</v>
      </c>
      <c r="G53">
        <v>58</v>
      </c>
      <c r="I53">
        <v>3090</v>
      </c>
    </row>
    <row r="54" spans="1:9" x14ac:dyDescent="0.2">
      <c r="A54" s="5" t="s">
        <v>217</v>
      </c>
      <c r="G54">
        <v>17</v>
      </c>
      <c r="I54">
        <v>2767</v>
      </c>
    </row>
    <row r="55" spans="1:9" x14ac:dyDescent="0.2">
      <c r="A55" s="5" t="s">
        <v>223</v>
      </c>
      <c r="F55" s="57">
        <v>0.9849</v>
      </c>
      <c r="G55" s="57">
        <v>0.95569999999999999</v>
      </c>
      <c r="I55">
        <v>2463</v>
      </c>
    </row>
    <row r="56" spans="1:9" x14ac:dyDescent="0.2">
      <c r="I56">
        <v>1734</v>
      </c>
    </row>
    <row r="57" spans="1:9" x14ac:dyDescent="0.2">
      <c r="I57">
        <v>1658</v>
      </c>
    </row>
    <row r="58" spans="1:9" x14ac:dyDescent="0.2">
      <c r="I58">
        <v>1606</v>
      </c>
    </row>
    <row r="59" spans="1:9" x14ac:dyDescent="0.2">
      <c r="A59" s="5" t="s">
        <v>231</v>
      </c>
      <c r="C59" s="75">
        <f>C14</f>
        <v>2.4101995565410199</v>
      </c>
      <c r="D59" s="75">
        <f t="shared" ref="D59:G60" si="6">D14</f>
        <v>2.8385356454720614</v>
      </c>
      <c r="E59" s="75">
        <f t="shared" si="6"/>
        <v>1.9740853658536586</v>
      </c>
      <c r="F59" s="75">
        <f t="shared" si="6"/>
        <v>0.16518091242789723</v>
      </c>
      <c r="G59" s="75">
        <f t="shared" si="6"/>
        <v>0.23779888634130364</v>
      </c>
      <c r="I59">
        <v>1239</v>
      </c>
    </row>
    <row r="60" spans="1:9" x14ac:dyDescent="0.2">
      <c r="A60" s="5" t="s">
        <v>232</v>
      </c>
      <c r="C60" s="75">
        <f>C15</f>
        <v>2.4235033259423502</v>
      </c>
      <c r="D60" s="75">
        <f t="shared" si="6"/>
        <v>2.8</v>
      </c>
      <c r="E60" s="75">
        <f t="shared" si="6"/>
        <v>1.9487804878048782</v>
      </c>
      <c r="F60" s="75">
        <f t="shared" si="6"/>
        <v>-0.1059255374934452</v>
      </c>
      <c r="G60" s="75">
        <f t="shared" si="6"/>
        <v>1.8773337700622337</v>
      </c>
      <c r="I60">
        <v>1164</v>
      </c>
    </row>
    <row r="61" spans="1:9" x14ac:dyDescent="0.2">
      <c r="A61" s="5" t="s">
        <v>228</v>
      </c>
      <c r="C61" s="78">
        <f>C28/1000</f>
        <v>0.82599999999999996</v>
      </c>
      <c r="D61" s="78">
        <f t="shared" ref="D61:G61" si="7">D28/1000</f>
        <v>0.71199999999999997</v>
      </c>
      <c r="E61" s="78">
        <f t="shared" si="7"/>
        <v>0.89600000000000002</v>
      </c>
      <c r="F61" s="78">
        <f t="shared" si="7"/>
        <v>0.93700000000000006</v>
      </c>
      <c r="G61" s="78">
        <f t="shared" si="7"/>
        <v>1.573</v>
      </c>
      <c r="I61">
        <v>1151</v>
      </c>
    </row>
    <row r="62" spans="1:9" x14ac:dyDescent="0.2">
      <c r="A62" s="5" t="s">
        <v>229</v>
      </c>
      <c r="C62" s="78">
        <f>C24/1000</f>
        <v>45.581000000000003</v>
      </c>
      <c r="D62" s="78">
        <f t="shared" ref="D62:G62" si="8">D24/1000</f>
        <v>55.414000000000001</v>
      </c>
      <c r="E62" s="78">
        <f t="shared" si="8"/>
        <v>65.995000000000005</v>
      </c>
      <c r="F62" s="78">
        <f t="shared" si="8"/>
        <v>65.272999999999996</v>
      </c>
      <c r="G62" s="78">
        <f t="shared" si="8"/>
        <v>77.650000000000006</v>
      </c>
      <c r="I62">
        <v>1081</v>
      </c>
    </row>
    <row r="63" spans="1:9" x14ac:dyDescent="0.2">
      <c r="A63" s="5" t="s">
        <v>230</v>
      </c>
      <c r="C63" s="78">
        <f>C25</f>
        <v>30.98</v>
      </c>
      <c r="D63" s="78">
        <f t="shared" ref="D63:G63" si="9">D25</f>
        <v>33.5</v>
      </c>
      <c r="E63" s="78">
        <f t="shared" si="9"/>
        <v>35.29</v>
      </c>
      <c r="F63" s="78">
        <f t="shared" si="9"/>
        <v>33.14</v>
      </c>
      <c r="G63" s="78">
        <f t="shared" si="9"/>
        <v>34.79</v>
      </c>
      <c r="I63">
        <v>1064</v>
      </c>
    </row>
    <row r="64" spans="1:9" x14ac:dyDescent="0.2">
      <c r="I64">
        <v>1062</v>
      </c>
    </row>
    <row r="65" spans="9:9" x14ac:dyDescent="0.2">
      <c r="I65">
        <v>844</v>
      </c>
    </row>
    <row r="66" spans="9:9" x14ac:dyDescent="0.2">
      <c r="I66">
        <v>828</v>
      </c>
    </row>
    <row r="67" spans="9:9" x14ac:dyDescent="0.2">
      <c r="I67">
        <v>809</v>
      </c>
    </row>
    <row r="68" spans="9:9" x14ac:dyDescent="0.2">
      <c r="I68">
        <v>755</v>
      </c>
    </row>
    <row r="69" spans="9:9" x14ac:dyDescent="0.2">
      <c r="I69">
        <v>753</v>
      </c>
    </row>
    <row r="70" spans="9:9" x14ac:dyDescent="0.2">
      <c r="I70">
        <v>737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AA9E-83BA-4A61-ACCE-8C99D2851B60}">
  <dimension ref="A1:M70"/>
  <sheetViews>
    <sheetView zoomScaleNormal="100" workbookViewId="0">
      <pane xSplit="1" ySplit="3" topLeftCell="B23" activePane="bottomRight" state="frozen"/>
      <selection pane="topRight" activeCell="B1" sqref="B1"/>
      <selection pane="bottomLeft" activeCell="A4" sqref="A4"/>
      <selection pane="bottomRight" activeCell="A37" sqref="A37:G42"/>
    </sheetView>
  </sheetViews>
  <sheetFormatPr baseColWidth="10" defaultColWidth="8.83203125" defaultRowHeight="16" x14ac:dyDescent="0.2"/>
  <cols>
    <col min="1" max="1" width="42.6640625" customWidth="1"/>
    <col min="2" max="8" width="14.33203125" customWidth="1"/>
    <col min="12" max="12" width="11.1640625" bestFit="1" customWidth="1"/>
  </cols>
  <sheetData>
    <row r="1" spans="1:12" x14ac:dyDescent="0.2">
      <c r="A1" s="5" t="s">
        <v>0</v>
      </c>
      <c r="B1" s="1">
        <v>43830</v>
      </c>
      <c r="H1" s="28"/>
    </row>
    <row r="2" spans="1:12" x14ac:dyDescent="0.2">
      <c r="A2" s="6" t="s">
        <v>87</v>
      </c>
      <c r="H2" s="28"/>
    </row>
    <row r="3" spans="1:12" x14ac:dyDescent="0.2">
      <c r="A3" s="5"/>
      <c r="B3" s="4">
        <f>C3-1</f>
        <v>2015</v>
      </c>
      <c r="C3" s="4">
        <f>D3-1</f>
        <v>2016</v>
      </c>
      <c r="D3" s="4">
        <f>E3-1</f>
        <v>2017</v>
      </c>
      <c r="E3" s="4">
        <f>F3-1</f>
        <v>2018</v>
      </c>
      <c r="F3" s="4">
        <v>2019</v>
      </c>
      <c r="G3" s="4">
        <v>2020</v>
      </c>
      <c r="H3" s="29" t="s">
        <v>2</v>
      </c>
      <c r="I3" t="s">
        <v>3</v>
      </c>
      <c r="J3" t="s">
        <v>51</v>
      </c>
      <c r="L3" t="s">
        <v>216</v>
      </c>
    </row>
    <row r="4" spans="1:12" x14ac:dyDescent="0.2">
      <c r="A4" s="9" t="s">
        <v>205</v>
      </c>
      <c r="B4" s="38"/>
      <c r="C4" s="38"/>
      <c r="D4" s="38"/>
      <c r="E4" s="38"/>
      <c r="F4" s="38"/>
      <c r="G4" s="10">
        <v>1.8420000000000001</v>
      </c>
      <c r="H4" s="30"/>
      <c r="L4">
        <v>19.824000000000002</v>
      </c>
    </row>
    <row r="5" spans="1:12" x14ac:dyDescent="0.2">
      <c r="A5" s="6" t="s">
        <v>160</v>
      </c>
      <c r="B5" s="14"/>
      <c r="C5" s="14"/>
      <c r="D5" s="14"/>
      <c r="E5" s="14"/>
      <c r="F5" s="14"/>
      <c r="G5" s="11">
        <v>1.254</v>
      </c>
      <c r="H5" s="30"/>
      <c r="L5">
        <v>7.0650000000000004</v>
      </c>
    </row>
    <row r="6" spans="1:12" x14ac:dyDescent="0.2">
      <c r="A6" s="6" t="s">
        <v>206</v>
      </c>
      <c r="B6" s="14"/>
      <c r="C6" s="14"/>
      <c r="D6" s="14"/>
      <c r="E6" s="14"/>
      <c r="F6" s="14"/>
      <c r="G6" s="11"/>
      <c r="H6" s="30"/>
    </row>
    <row r="7" spans="1:12" x14ac:dyDescent="0.2">
      <c r="A7" s="9" t="s">
        <v>5</v>
      </c>
      <c r="B7" s="45">
        <v>3.7839999999999998</v>
      </c>
      <c r="C7" s="45">
        <v>6.0759999999999996</v>
      </c>
      <c r="D7" s="45">
        <v>2.7530000000000001</v>
      </c>
      <c r="E7" s="45">
        <v>7.6440000000000001</v>
      </c>
      <c r="F7" s="45">
        <v>1.002</v>
      </c>
      <c r="G7" s="10">
        <v>0.32</v>
      </c>
      <c r="H7" s="30">
        <f>SUM(B7:G7)</f>
        <v>21.578999999999997</v>
      </c>
      <c r="L7">
        <v>0.14399999999999999</v>
      </c>
    </row>
    <row r="8" spans="1:12" x14ac:dyDescent="0.2">
      <c r="A8" s="6" t="s">
        <v>219</v>
      </c>
      <c r="B8" s="46"/>
      <c r="C8" s="46"/>
      <c r="D8" s="46"/>
      <c r="E8" s="46"/>
      <c r="F8" s="46">
        <v>2.1440000000000001</v>
      </c>
      <c r="G8" s="15">
        <v>1.9219999999999999</v>
      </c>
      <c r="H8" s="30"/>
      <c r="L8">
        <v>0.64600000000000002</v>
      </c>
    </row>
    <row r="9" spans="1:12" x14ac:dyDescent="0.2">
      <c r="A9" s="6" t="s">
        <v>6</v>
      </c>
      <c r="B9" s="46">
        <v>3.835</v>
      </c>
      <c r="C9" s="46">
        <v>5.6769999999999996</v>
      </c>
      <c r="D9" s="46">
        <v>3.4020000000000001</v>
      </c>
      <c r="E9" s="46">
        <v>7.19</v>
      </c>
      <c r="F9" s="47">
        <v>1.359</v>
      </c>
      <c r="G9" s="47">
        <v>3.3839999999999999</v>
      </c>
      <c r="H9" s="30">
        <f>SUM(B9:G9)</f>
        <v>24.847000000000001</v>
      </c>
      <c r="J9" t="s">
        <v>7</v>
      </c>
      <c r="L9">
        <v>12.487</v>
      </c>
    </row>
    <row r="10" spans="1:12" x14ac:dyDescent="0.2">
      <c r="A10" s="6" t="s">
        <v>8</v>
      </c>
      <c r="B10" s="47">
        <v>1.77</v>
      </c>
      <c r="C10" s="47">
        <v>2.3199999999999998</v>
      </c>
      <c r="D10" s="47">
        <v>1.25</v>
      </c>
      <c r="E10" s="47">
        <v>2.38</v>
      </c>
      <c r="F10" s="47">
        <v>0.42</v>
      </c>
      <c r="G10" s="47">
        <v>0.91</v>
      </c>
      <c r="H10" s="30">
        <f>SUM(B10:G10)</f>
        <v>9.0500000000000007</v>
      </c>
      <c r="L10">
        <v>2.97</v>
      </c>
    </row>
    <row r="11" spans="1:12" x14ac:dyDescent="0.2">
      <c r="A11" s="6" t="s">
        <v>9</v>
      </c>
      <c r="B11" s="47">
        <v>2.028</v>
      </c>
      <c r="C11" s="47">
        <v>2.2480000000000002</v>
      </c>
      <c r="D11" s="47">
        <v>2.4300000000000002</v>
      </c>
      <c r="E11" s="47">
        <v>3.2189999999999999</v>
      </c>
      <c r="F11" s="47">
        <v>3.504</v>
      </c>
      <c r="G11" s="47">
        <v>3.5880000000000001</v>
      </c>
      <c r="H11" s="30">
        <f>SUM(B11:G11)</f>
        <v>17.016999999999999</v>
      </c>
      <c r="L11">
        <v>2.2679999999999998</v>
      </c>
    </row>
    <row r="12" spans="1:12" x14ac:dyDescent="0.2">
      <c r="A12" s="6" t="s">
        <v>10</v>
      </c>
      <c r="B12" s="46">
        <v>1</v>
      </c>
      <c r="C12" s="46">
        <v>1</v>
      </c>
      <c r="D12" s="46">
        <v>1</v>
      </c>
      <c r="E12" s="46">
        <v>1.2</v>
      </c>
      <c r="F12" s="46">
        <v>1.2</v>
      </c>
      <c r="G12" s="47">
        <v>1.1100000000000001</v>
      </c>
      <c r="H12" s="30">
        <f>SUM(B12:G12)</f>
        <v>6.5100000000000007</v>
      </c>
      <c r="L12">
        <v>0.6</v>
      </c>
    </row>
    <row r="13" spans="1:12" x14ac:dyDescent="0.2">
      <c r="A13" s="6" t="s">
        <v>11</v>
      </c>
      <c r="B13" s="11"/>
      <c r="C13" s="11"/>
      <c r="D13" s="11"/>
      <c r="E13" s="11"/>
      <c r="F13" s="11"/>
      <c r="G13" s="11"/>
      <c r="H13" s="28"/>
    </row>
    <row r="14" spans="1:12" x14ac:dyDescent="0.2">
      <c r="A14" s="6" t="s">
        <v>12</v>
      </c>
      <c r="B14" s="2">
        <f t="shared" ref="B14:F14" si="0">B7/B11</f>
        <v>1.8658777120315582</v>
      </c>
      <c r="C14" s="2">
        <f t="shared" si="0"/>
        <v>2.7028469750889674</v>
      </c>
      <c r="D14" s="2">
        <f t="shared" si="0"/>
        <v>1.1329218106995884</v>
      </c>
      <c r="E14" s="2">
        <f t="shared" si="0"/>
        <v>2.3746505125815474</v>
      </c>
      <c r="F14" s="2">
        <f t="shared" si="0"/>
        <v>0.28595890410958902</v>
      </c>
      <c r="G14" s="2">
        <f t="shared" ref="G14:H14" si="1">G7/G11</f>
        <v>8.9186176142697887E-2</v>
      </c>
      <c r="H14" s="2">
        <f t="shared" si="1"/>
        <v>1.2680848563201503</v>
      </c>
    </row>
    <row r="15" spans="1:12" x14ac:dyDescent="0.2">
      <c r="A15" s="12" t="s">
        <v>13</v>
      </c>
      <c r="B15" s="23">
        <f t="shared" ref="B15:F15" si="2">B9/B11</f>
        <v>1.891025641025641</v>
      </c>
      <c r="C15" s="24">
        <f t="shared" si="2"/>
        <v>2.5253558718861204</v>
      </c>
      <c r="D15" s="24">
        <f t="shared" si="2"/>
        <v>1.4</v>
      </c>
      <c r="E15" s="24">
        <f t="shared" si="2"/>
        <v>2.2336129232680957</v>
      </c>
      <c r="F15" s="24">
        <f t="shared" si="2"/>
        <v>0.38784246575342463</v>
      </c>
      <c r="G15" s="24">
        <f t="shared" ref="G15:H15" si="3">G9/G11</f>
        <v>0.94314381270903003</v>
      </c>
      <c r="H15" s="24">
        <f t="shared" si="3"/>
        <v>1.4601281071869308</v>
      </c>
    </row>
    <row r="16" spans="1:12" x14ac:dyDescent="0.2">
      <c r="A16" s="6"/>
      <c r="H16" s="28"/>
    </row>
    <row r="17" spans="1:12" x14ac:dyDescent="0.2">
      <c r="A17" s="9" t="s">
        <v>14</v>
      </c>
      <c r="B17" s="19">
        <v>2533</v>
      </c>
      <c r="C17" s="19">
        <v>2840</v>
      </c>
      <c r="D17" s="19">
        <v>3321</v>
      </c>
      <c r="E17" s="19">
        <v>3519</v>
      </c>
      <c r="F17" s="19">
        <v>3883</v>
      </c>
      <c r="G17" s="10"/>
      <c r="H17" s="40"/>
    </row>
    <row r="18" spans="1:12" x14ac:dyDescent="0.2">
      <c r="A18" s="6" t="s">
        <v>15</v>
      </c>
      <c r="B18" s="20">
        <v>8399</v>
      </c>
      <c r="C18" s="20">
        <v>14218</v>
      </c>
      <c r="D18" s="20">
        <v>23841</v>
      </c>
      <c r="E18" s="20">
        <v>27896</v>
      </c>
      <c r="F18" s="20">
        <v>35825</v>
      </c>
      <c r="G18" s="11"/>
      <c r="H18" s="41"/>
    </row>
    <row r="19" spans="1:12" x14ac:dyDescent="0.2">
      <c r="A19" s="6" t="s">
        <v>16</v>
      </c>
      <c r="B19" s="20">
        <v>22669</v>
      </c>
      <c r="C19" s="20">
        <v>19983</v>
      </c>
      <c r="D19" s="20">
        <v>17481</v>
      </c>
      <c r="E19" s="20">
        <v>13727</v>
      </c>
      <c r="F19" s="20">
        <v>9830</v>
      </c>
      <c r="G19" s="11"/>
      <c r="H19" s="41"/>
    </row>
    <row r="20" spans="1:12" x14ac:dyDescent="0.2">
      <c r="A20" s="6" t="s">
        <v>17</v>
      </c>
      <c r="B20" s="21">
        <v>11</v>
      </c>
      <c r="C20" s="21">
        <v>11</v>
      </c>
      <c r="D20" s="21">
        <v>11</v>
      </c>
      <c r="E20" s="20">
        <v>11</v>
      </c>
      <c r="F20" s="20">
        <v>11</v>
      </c>
      <c r="G20" s="11"/>
      <c r="H20" s="41"/>
    </row>
    <row r="21" spans="1:12" x14ac:dyDescent="0.2">
      <c r="A21" s="6" t="s">
        <v>18</v>
      </c>
      <c r="B21" s="21">
        <v>3830</v>
      </c>
      <c r="C21" s="21">
        <v>3432</v>
      </c>
      <c r="D21" s="21">
        <v>5720</v>
      </c>
      <c r="E21" s="20">
        <v>8639</v>
      </c>
      <c r="F21" s="20">
        <v>9200</v>
      </c>
      <c r="G21" s="11"/>
      <c r="H21" s="41"/>
      <c r="J21" t="s">
        <v>19</v>
      </c>
    </row>
    <row r="22" spans="1:12" x14ac:dyDescent="0.2">
      <c r="A22" s="6" t="s">
        <v>20</v>
      </c>
      <c r="B22" s="21">
        <v>7170</v>
      </c>
      <c r="C22" s="21">
        <v>12526</v>
      </c>
      <c r="D22" s="21">
        <v>12118</v>
      </c>
      <c r="E22" s="20">
        <v>15358</v>
      </c>
      <c r="F22" s="20">
        <v>14707</v>
      </c>
      <c r="G22" s="11"/>
      <c r="H22" s="41"/>
      <c r="J22" t="s">
        <v>21</v>
      </c>
    </row>
    <row r="23" spans="1:12" x14ac:dyDescent="0.2">
      <c r="A23" s="6"/>
      <c r="B23" s="21"/>
      <c r="C23" s="21"/>
      <c r="D23" s="21"/>
      <c r="E23" s="20"/>
      <c r="F23" s="20"/>
      <c r="G23" s="11"/>
      <c r="H23" s="41"/>
    </row>
    <row r="24" spans="1:12" x14ac:dyDescent="0.2">
      <c r="A24" s="6" t="s">
        <v>24</v>
      </c>
      <c r="B24" s="21">
        <f>SUM(B17:B22)</f>
        <v>44612</v>
      </c>
      <c r="C24" s="21">
        <f>SUM(C17:C22)</f>
        <v>53010</v>
      </c>
      <c r="D24" s="21">
        <f>SUM(D17:D22)</f>
        <v>62492</v>
      </c>
      <c r="E24" s="21">
        <f>SUM(E17:E22)</f>
        <v>69150</v>
      </c>
      <c r="F24" s="21">
        <f>SUM(F17:F22)</f>
        <v>73456</v>
      </c>
      <c r="G24" s="100">
        <v>81709</v>
      </c>
      <c r="H24" s="28"/>
      <c r="L24" s="60">
        <v>105599</v>
      </c>
    </row>
    <row r="25" spans="1:12" x14ac:dyDescent="0.2">
      <c r="A25" s="12" t="s">
        <v>25</v>
      </c>
      <c r="B25" s="13">
        <v>20.11</v>
      </c>
      <c r="C25" s="18">
        <v>21.41</v>
      </c>
      <c r="D25" s="18">
        <v>21.6</v>
      </c>
      <c r="E25" s="18">
        <v>22.78</v>
      </c>
      <c r="F25" s="18">
        <v>22.02</v>
      </c>
      <c r="G25" s="13">
        <v>21.84</v>
      </c>
      <c r="H25" s="31"/>
      <c r="L25">
        <v>23.99</v>
      </c>
    </row>
    <row r="26" spans="1:12" x14ac:dyDescent="0.2">
      <c r="A26" s="6"/>
      <c r="H26" s="28"/>
    </row>
    <row r="27" spans="1:12" x14ac:dyDescent="0.2">
      <c r="A27" s="9" t="s">
        <v>26</v>
      </c>
      <c r="B27" s="10"/>
      <c r="C27" s="10"/>
      <c r="D27" s="10"/>
      <c r="E27" s="10"/>
      <c r="F27" s="10"/>
      <c r="G27" s="10"/>
      <c r="H27" s="34"/>
    </row>
    <row r="28" spans="1:12" x14ac:dyDescent="0.2">
      <c r="A28" s="6" t="s">
        <v>27</v>
      </c>
      <c r="B28" s="20">
        <v>1192</v>
      </c>
      <c r="C28" s="20">
        <v>905</v>
      </c>
      <c r="D28" s="20">
        <v>1300</v>
      </c>
      <c r="E28" s="20">
        <v>1146</v>
      </c>
      <c r="F28" s="20">
        <v>1367</v>
      </c>
      <c r="G28" s="21">
        <v>1100</v>
      </c>
      <c r="H28" s="28"/>
      <c r="L28">
        <v>640</v>
      </c>
    </row>
    <row r="29" spans="1:12" x14ac:dyDescent="0.2">
      <c r="A29" s="6" t="s">
        <v>28</v>
      </c>
      <c r="B29" s="21">
        <v>5059</v>
      </c>
      <c r="C29" s="21">
        <v>5880</v>
      </c>
      <c r="D29" s="21">
        <v>9814</v>
      </c>
      <c r="E29" s="21">
        <v>3826</v>
      </c>
      <c r="F29" s="21">
        <v>7804</v>
      </c>
      <c r="G29" s="11">
        <f>9588-4</f>
        <v>9584</v>
      </c>
      <c r="H29" s="28"/>
      <c r="L29" s="21">
        <f>14627-18</f>
        <v>14609</v>
      </c>
    </row>
    <row r="30" spans="1:12" x14ac:dyDescent="0.2">
      <c r="A30" s="12" t="s">
        <v>29</v>
      </c>
      <c r="B30" s="22">
        <v>221840558</v>
      </c>
      <c r="C30" s="22">
        <v>247618804</v>
      </c>
      <c r="D30" s="22">
        <v>289329215</v>
      </c>
      <c r="E30" s="61" t="s">
        <v>88</v>
      </c>
      <c r="F30" s="16">
        <v>333612260</v>
      </c>
      <c r="G30" s="16">
        <v>374065868</v>
      </c>
      <c r="H30" s="31"/>
      <c r="L30" s="60">
        <v>440131280</v>
      </c>
    </row>
    <row r="31" spans="1:12" x14ac:dyDescent="0.2">
      <c r="A31" s="6"/>
      <c r="F31" s="60"/>
      <c r="H31" s="28"/>
    </row>
    <row r="32" spans="1:12" x14ac:dyDescent="0.2">
      <c r="A32" s="7" t="s">
        <v>30</v>
      </c>
      <c r="B32" s="35"/>
      <c r="C32" s="36">
        <f>(C25+C12+C13)/B25-1</f>
        <v>0.11437095972153166</v>
      </c>
      <c r="D32" s="36">
        <f>(D25+D12+D13)/C25-1</f>
        <v>5.5581503970107526E-2</v>
      </c>
      <c r="E32" s="36">
        <f>(E25+E12+E13)/D25-1</f>
        <v>0.11018518518518516</v>
      </c>
      <c r="F32" s="36">
        <f>(F25+F12+F13)/E25-1</f>
        <v>1.9315188762071944E-2</v>
      </c>
      <c r="G32" s="36">
        <f>(G25+G12+G13)/F25-1</f>
        <v>4.2234332425068022E-2</v>
      </c>
      <c r="H32" s="35"/>
      <c r="I32" s="3"/>
      <c r="J32" s="3"/>
      <c r="L32" s="36">
        <f>(L25+L11+L12)/G25-1</f>
        <v>0.22976190476190483</v>
      </c>
    </row>
    <row r="33" spans="1:12" x14ac:dyDescent="0.2">
      <c r="A33" s="7" t="s">
        <v>31</v>
      </c>
      <c r="B33" s="35"/>
      <c r="C33" s="36"/>
      <c r="D33" s="36"/>
      <c r="E33" s="36"/>
      <c r="F33" s="36"/>
      <c r="G33" s="37"/>
      <c r="H33" s="35">
        <f>((C32+1)*(D32+1)*(E32+1)*(F32+1)*(1+G32))^(1/5)-1</f>
        <v>6.7672781485000666E-2</v>
      </c>
      <c r="L33" s="90">
        <f>((D32+1)*(E32+1)*(F32+1)*(1+G32)*(1+L32))^(1/4.5)-1</f>
        <v>9.9276982882312126E-2</v>
      </c>
    </row>
    <row r="34" spans="1:12" x14ac:dyDescent="0.2">
      <c r="A34" s="5"/>
      <c r="H34" s="28"/>
    </row>
    <row r="35" spans="1:12" x14ac:dyDescent="0.2">
      <c r="A35" s="10"/>
      <c r="B35" s="34"/>
      <c r="C35" s="10"/>
      <c r="D35" s="10"/>
      <c r="E35" s="10"/>
      <c r="F35" s="10"/>
      <c r="G35" s="10"/>
      <c r="H35" s="34"/>
    </row>
    <row r="36" spans="1:12" x14ac:dyDescent="0.2">
      <c r="A36" s="11"/>
      <c r="B36" s="28"/>
      <c r="H36" s="28"/>
    </row>
    <row r="37" spans="1:12" x14ac:dyDescent="0.2">
      <c r="A37" s="11" t="s">
        <v>32</v>
      </c>
      <c r="B37" s="55"/>
      <c r="C37" s="52"/>
      <c r="D37" s="2"/>
      <c r="F37" s="51"/>
      <c r="G37" s="51"/>
      <c r="H37" s="28"/>
    </row>
    <row r="38" spans="1:12" x14ac:dyDescent="0.2">
      <c r="A38" s="11" t="s">
        <v>214</v>
      </c>
      <c r="B38" s="55"/>
      <c r="C38" s="52"/>
      <c r="D38" s="2"/>
      <c r="F38" s="60">
        <v>44833</v>
      </c>
      <c r="G38" s="60">
        <v>51072</v>
      </c>
      <c r="H38" s="28"/>
    </row>
    <row r="39" spans="1:12" x14ac:dyDescent="0.2">
      <c r="A39" s="11" t="s">
        <v>215</v>
      </c>
      <c r="B39" s="55"/>
      <c r="C39" s="52"/>
      <c r="D39" s="2"/>
      <c r="F39" s="60">
        <v>19127</v>
      </c>
      <c r="G39" s="60">
        <v>18580</v>
      </c>
      <c r="H39" s="28"/>
    </row>
    <row r="40" spans="1:12" x14ac:dyDescent="0.2">
      <c r="A40" s="11" t="s">
        <v>37</v>
      </c>
      <c r="B40" s="55"/>
      <c r="C40" s="52"/>
      <c r="F40">
        <v>9.8670000000000009</v>
      </c>
      <c r="G40" s="60">
        <v>11266</v>
      </c>
      <c r="H40" s="28"/>
    </row>
    <row r="41" spans="1:12" x14ac:dyDescent="0.2">
      <c r="A41" s="11"/>
      <c r="B41" s="56"/>
      <c r="C41" s="22"/>
      <c r="D41" s="13"/>
      <c r="E41" s="13"/>
      <c r="F41" s="13"/>
      <c r="G41" s="13"/>
      <c r="H41" s="28"/>
      <c r="L41" s="60">
        <v>37739</v>
      </c>
    </row>
    <row r="42" spans="1:12" x14ac:dyDescent="0.2">
      <c r="A42" s="15" t="s">
        <v>38</v>
      </c>
      <c r="F42" s="51">
        <f>F24</f>
        <v>73456</v>
      </c>
      <c r="G42" s="60">
        <f>G24</f>
        <v>81709</v>
      </c>
      <c r="H42" s="31"/>
      <c r="I42" t="s">
        <v>81</v>
      </c>
    </row>
    <row r="43" spans="1:12" x14ac:dyDescent="0.2">
      <c r="L43" s="60">
        <f>L24</f>
        <v>105599</v>
      </c>
    </row>
    <row r="44" spans="1:12" x14ac:dyDescent="0.2">
      <c r="A44" s="13"/>
    </row>
    <row r="45" spans="1:12" x14ac:dyDescent="0.2">
      <c r="A45" s="5" t="s">
        <v>39</v>
      </c>
    </row>
    <row r="46" spans="1:12" x14ac:dyDescent="0.2">
      <c r="A46" s="5" t="s">
        <v>207</v>
      </c>
      <c r="F46" s="93">
        <v>2.4E-2</v>
      </c>
      <c r="G46" s="93">
        <v>2.4E-2</v>
      </c>
    </row>
    <row r="47" spans="1:12" x14ac:dyDescent="0.2">
      <c r="A47" s="5" t="s">
        <v>208</v>
      </c>
      <c r="F47" s="60">
        <v>1456</v>
      </c>
      <c r="G47" s="60">
        <v>1509</v>
      </c>
      <c r="L47">
        <v>900</v>
      </c>
    </row>
    <row r="48" spans="1:12" x14ac:dyDescent="0.2">
      <c r="A48" s="5" t="s">
        <v>220</v>
      </c>
      <c r="F48">
        <v>200</v>
      </c>
      <c r="G48">
        <v>183</v>
      </c>
      <c r="L48">
        <v>145</v>
      </c>
    </row>
    <row r="49" spans="1:13" x14ac:dyDescent="0.2">
      <c r="A49" s="5" t="s">
        <v>227</v>
      </c>
      <c r="F49">
        <v>0</v>
      </c>
      <c r="G49">
        <v>0</v>
      </c>
      <c r="L49" s="60">
        <v>1411</v>
      </c>
    </row>
    <row r="50" spans="1:13" x14ac:dyDescent="0.2">
      <c r="A50" s="5" t="s">
        <v>209</v>
      </c>
    </row>
    <row r="51" spans="1:13" x14ac:dyDescent="0.2">
      <c r="A51" s="5" t="s">
        <v>210</v>
      </c>
      <c r="L51" s="2">
        <f>SUM(M51:M60)/L43</f>
        <v>0.39851703141128231</v>
      </c>
      <c r="M51">
        <v>9535</v>
      </c>
    </row>
    <row r="52" spans="1:13" x14ac:dyDescent="0.2">
      <c r="A52" s="5" t="s">
        <v>211</v>
      </c>
      <c r="L52" s="2">
        <f>SUM(M51:M70)/L43</f>
        <v>0.5149291186469569</v>
      </c>
      <c r="M52">
        <v>9100</v>
      </c>
    </row>
    <row r="53" spans="1:13" x14ac:dyDescent="0.2">
      <c r="A53" s="5" t="s">
        <v>212</v>
      </c>
      <c r="L53">
        <v>61</v>
      </c>
      <c r="M53">
        <v>5718</v>
      </c>
    </row>
    <row r="54" spans="1:13" x14ac:dyDescent="0.2">
      <c r="A54" s="5" t="s">
        <v>217</v>
      </c>
      <c r="L54">
        <v>17</v>
      </c>
      <c r="M54">
        <v>5250</v>
      </c>
    </row>
    <row r="55" spans="1:13" x14ac:dyDescent="0.2">
      <c r="A55" s="5" t="s">
        <v>223</v>
      </c>
      <c r="F55" s="75">
        <v>1</v>
      </c>
      <c r="G55" s="57">
        <v>0.9849</v>
      </c>
      <c r="M55">
        <v>3281</v>
      </c>
    </row>
    <row r="56" spans="1:13" x14ac:dyDescent="0.2">
      <c r="M56">
        <v>2074</v>
      </c>
    </row>
    <row r="57" spans="1:13" x14ac:dyDescent="0.2">
      <c r="M57">
        <v>1889</v>
      </c>
    </row>
    <row r="58" spans="1:13" x14ac:dyDescent="0.2">
      <c r="M58">
        <v>1825</v>
      </c>
    </row>
    <row r="59" spans="1:13" x14ac:dyDescent="0.2">
      <c r="A59" s="5" t="s">
        <v>231</v>
      </c>
      <c r="C59" s="75">
        <f>C14</f>
        <v>2.7028469750889674</v>
      </c>
      <c r="D59" s="75">
        <f t="shared" ref="D59:G60" si="4">D14</f>
        <v>1.1329218106995884</v>
      </c>
      <c r="E59" s="75">
        <f t="shared" si="4"/>
        <v>2.3746505125815474</v>
      </c>
      <c r="F59" s="75">
        <f t="shared" si="4"/>
        <v>0.28595890410958902</v>
      </c>
      <c r="G59" s="75">
        <f t="shared" si="4"/>
        <v>8.9186176142697887E-2</v>
      </c>
      <c r="M59">
        <v>1722</v>
      </c>
    </row>
    <row r="60" spans="1:13" x14ac:dyDescent="0.2">
      <c r="A60" s="5" t="s">
        <v>232</v>
      </c>
      <c r="C60" s="75">
        <f>C15</f>
        <v>2.5253558718861204</v>
      </c>
      <c r="D60" s="75">
        <f t="shared" si="4"/>
        <v>1.4</v>
      </c>
      <c r="E60" s="75">
        <f t="shared" si="4"/>
        <v>2.2336129232680957</v>
      </c>
      <c r="F60" s="75">
        <f t="shared" si="4"/>
        <v>0.38784246575342463</v>
      </c>
      <c r="G60" s="75">
        <f t="shared" si="4"/>
        <v>0.94314381270903003</v>
      </c>
      <c r="M60">
        <v>1689</v>
      </c>
    </row>
    <row r="61" spans="1:13" x14ac:dyDescent="0.2">
      <c r="A61" s="5" t="s">
        <v>228</v>
      </c>
      <c r="C61" s="78">
        <f>C28/1000</f>
        <v>0.90500000000000003</v>
      </c>
      <c r="D61" s="78">
        <f t="shared" ref="D61:G61" si="5">D28/1000</f>
        <v>1.3</v>
      </c>
      <c r="E61" s="78">
        <f t="shared" si="5"/>
        <v>1.1459999999999999</v>
      </c>
      <c r="F61" s="78">
        <f t="shared" si="5"/>
        <v>1.367</v>
      </c>
      <c r="G61" s="78">
        <f t="shared" si="5"/>
        <v>1.1000000000000001</v>
      </c>
      <c r="M61">
        <v>1603</v>
      </c>
    </row>
    <row r="62" spans="1:13" x14ac:dyDescent="0.2">
      <c r="A62" s="5" t="s">
        <v>229</v>
      </c>
      <c r="C62" s="78">
        <f>C24/1000</f>
        <v>53.01</v>
      </c>
      <c r="D62" s="78">
        <f t="shared" ref="D62:G62" si="6">D24/1000</f>
        <v>62.491999999999997</v>
      </c>
      <c r="E62" s="78">
        <f t="shared" si="6"/>
        <v>69.150000000000006</v>
      </c>
      <c r="F62" s="78">
        <f t="shared" si="6"/>
        <v>73.456000000000003</v>
      </c>
      <c r="G62" s="78">
        <f t="shared" si="6"/>
        <v>81.709000000000003</v>
      </c>
      <c r="M62">
        <v>1573</v>
      </c>
    </row>
    <row r="63" spans="1:13" x14ac:dyDescent="0.2">
      <c r="A63" s="5" t="s">
        <v>230</v>
      </c>
      <c r="C63" s="78">
        <f>C25</f>
        <v>21.41</v>
      </c>
      <c r="D63" s="78">
        <f t="shared" ref="D63:G63" si="7">D25</f>
        <v>21.6</v>
      </c>
      <c r="E63" s="78">
        <f t="shared" si="7"/>
        <v>22.78</v>
      </c>
      <c r="F63" s="78">
        <f t="shared" si="7"/>
        <v>22.02</v>
      </c>
      <c r="G63" s="78">
        <f t="shared" si="7"/>
        <v>21.84</v>
      </c>
      <c r="M63">
        <v>1523</v>
      </c>
    </row>
    <row r="64" spans="1:13" x14ac:dyDescent="0.2">
      <c r="A64" s="5"/>
      <c r="C64" s="78"/>
      <c r="D64" s="78"/>
      <c r="E64" s="78"/>
      <c r="F64" s="78"/>
      <c r="G64" s="78"/>
      <c r="M64">
        <v>1344</v>
      </c>
    </row>
    <row r="65" spans="13:13" x14ac:dyDescent="0.2">
      <c r="M65">
        <v>1300</v>
      </c>
    </row>
    <row r="66" spans="13:13" x14ac:dyDescent="0.2">
      <c r="M66">
        <v>1100</v>
      </c>
    </row>
    <row r="67" spans="13:13" x14ac:dyDescent="0.2">
      <c r="M67">
        <v>1074</v>
      </c>
    </row>
    <row r="68" spans="13:13" x14ac:dyDescent="0.2">
      <c r="M68">
        <v>1026</v>
      </c>
    </row>
    <row r="69" spans="13:13" x14ac:dyDescent="0.2">
      <c r="M69">
        <v>917</v>
      </c>
    </row>
    <row r="70" spans="13:13" x14ac:dyDescent="0.2">
      <c r="M70">
        <v>833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7562-82E6-4EE3-A6D5-3172C1264488}">
  <sheetPr>
    <tabColor rgb="FFFFFF00"/>
  </sheetPr>
  <dimension ref="A3:G97"/>
  <sheetViews>
    <sheetView zoomScale="85" zoomScaleNormal="85" workbookViewId="0">
      <selection activeCell="E95" sqref="E95"/>
    </sheetView>
  </sheetViews>
  <sheetFormatPr baseColWidth="10" defaultColWidth="8.83203125" defaultRowHeight="16" x14ac:dyDescent="0.2"/>
  <cols>
    <col min="1" max="1" width="44.83203125" customWidth="1"/>
    <col min="2" max="6" width="13.83203125" customWidth="1"/>
  </cols>
  <sheetData>
    <row r="3" spans="1:7" x14ac:dyDescent="0.2">
      <c r="A3" t="s">
        <v>125</v>
      </c>
    </row>
    <row r="4" spans="1:7" x14ac:dyDescent="0.2">
      <c r="B4">
        <f>SUM(B5:B10)</f>
        <v>100</v>
      </c>
    </row>
    <row r="5" spans="1:7" x14ac:dyDescent="0.2">
      <c r="A5" t="s">
        <v>126</v>
      </c>
      <c r="B5">
        <v>26</v>
      </c>
    </row>
    <row r="6" spans="1:7" x14ac:dyDescent="0.2">
      <c r="A6" t="s">
        <v>127</v>
      </c>
      <c r="B6">
        <v>5</v>
      </c>
    </row>
    <row r="7" spans="1:7" x14ac:dyDescent="0.2">
      <c r="A7" t="s">
        <v>128</v>
      </c>
      <c r="B7">
        <v>23</v>
      </c>
    </row>
    <row r="8" spans="1:7" x14ac:dyDescent="0.2">
      <c r="A8" t="s">
        <v>129</v>
      </c>
      <c r="B8">
        <v>12</v>
      </c>
    </row>
    <row r="9" spans="1:7" x14ac:dyDescent="0.2">
      <c r="A9" t="s">
        <v>130</v>
      </c>
      <c r="B9">
        <v>4</v>
      </c>
    </row>
    <row r="10" spans="1:7" x14ac:dyDescent="0.2">
      <c r="A10" t="s">
        <v>131</v>
      </c>
      <c r="B10">
        <v>30</v>
      </c>
    </row>
    <row r="12" spans="1:7" ht="68" x14ac:dyDescent="0.2">
      <c r="B12" t="s">
        <v>132</v>
      </c>
      <c r="C12" t="s">
        <v>43</v>
      </c>
      <c r="D12" s="82" t="s">
        <v>133</v>
      </c>
      <c r="E12" s="82" t="s">
        <v>134</v>
      </c>
      <c r="F12" s="82" t="s">
        <v>135</v>
      </c>
      <c r="G12" s="82" t="s">
        <v>2</v>
      </c>
    </row>
    <row r="13" spans="1:7" x14ac:dyDescent="0.2">
      <c r="A13" t="s">
        <v>126</v>
      </c>
      <c r="B13">
        <v>36</v>
      </c>
      <c r="C13">
        <v>39</v>
      </c>
      <c r="D13">
        <v>36</v>
      </c>
      <c r="E13">
        <v>23</v>
      </c>
      <c r="F13">
        <v>31</v>
      </c>
      <c r="G13">
        <v>33</v>
      </c>
    </row>
    <row r="14" spans="1:7" x14ac:dyDescent="0.2">
      <c r="A14" t="s">
        <v>128</v>
      </c>
      <c r="B14">
        <v>19</v>
      </c>
      <c r="C14">
        <v>18</v>
      </c>
      <c r="D14">
        <v>13</v>
      </c>
      <c r="E14">
        <v>26</v>
      </c>
      <c r="F14">
        <v>33</v>
      </c>
      <c r="G14">
        <v>22</v>
      </c>
    </row>
    <row r="15" spans="1:7" x14ac:dyDescent="0.2">
      <c r="A15" t="s">
        <v>129</v>
      </c>
      <c r="B15">
        <v>12</v>
      </c>
      <c r="C15">
        <v>9</v>
      </c>
      <c r="D15">
        <v>12</v>
      </c>
      <c r="E15">
        <v>11</v>
      </c>
      <c r="F15">
        <v>15</v>
      </c>
      <c r="G15">
        <v>12</v>
      </c>
    </row>
    <row r="16" spans="1:7" x14ac:dyDescent="0.2">
      <c r="A16" t="s">
        <v>130</v>
      </c>
      <c r="B16">
        <v>4</v>
      </c>
      <c r="C16">
        <v>4</v>
      </c>
      <c r="D16">
        <v>7</v>
      </c>
      <c r="E16">
        <v>5</v>
      </c>
      <c r="F16">
        <v>0</v>
      </c>
      <c r="G16">
        <v>4</v>
      </c>
    </row>
    <row r="17" spans="1:7" x14ac:dyDescent="0.2">
      <c r="A17" t="s">
        <v>127</v>
      </c>
      <c r="B17">
        <v>7</v>
      </c>
      <c r="C17">
        <v>5</v>
      </c>
      <c r="D17">
        <v>7</v>
      </c>
      <c r="E17">
        <v>4</v>
      </c>
      <c r="F17">
        <v>4</v>
      </c>
      <c r="G17">
        <v>5</v>
      </c>
    </row>
    <row r="18" spans="1:7" x14ac:dyDescent="0.2">
      <c r="A18" t="s">
        <v>131</v>
      </c>
      <c r="B18">
        <v>22</v>
      </c>
      <c r="C18">
        <v>25</v>
      </c>
      <c r="D18">
        <v>25</v>
      </c>
      <c r="E18">
        <v>31</v>
      </c>
      <c r="F18">
        <v>17</v>
      </c>
      <c r="G18">
        <v>24</v>
      </c>
    </row>
    <row r="19" spans="1:7" x14ac:dyDescent="0.2">
      <c r="A19" t="s">
        <v>2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</row>
    <row r="21" spans="1:7" x14ac:dyDescent="0.2">
      <c r="A21" t="s">
        <v>38</v>
      </c>
      <c r="B21" s="83">
        <v>73.400000000000006</v>
      </c>
      <c r="C21" s="85">
        <v>74.3</v>
      </c>
      <c r="D21" s="87">
        <v>86</v>
      </c>
      <c r="E21" s="85">
        <v>65.3</v>
      </c>
      <c r="F21" s="85">
        <v>76.400000000000006</v>
      </c>
      <c r="G21" s="87">
        <v>375.1</v>
      </c>
    </row>
    <row r="22" spans="1:7" ht="17" thickBot="1" x14ac:dyDescent="0.25">
      <c r="A22" t="s">
        <v>143</v>
      </c>
      <c r="B22" s="84">
        <v>7</v>
      </c>
      <c r="C22" s="86">
        <v>6</v>
      </c>
      <c r="D22" s="88">
        <v>14</v>
      </c>
      <c r="E22" s="86">
        <v>6</v>
      </c>
      <c r="F22" s="86">
        <v>12</v>
      </c>
      <c r="G22" s="88">
        <v>45</v>
      </c>
    </row>
    <row r="23" spans="1:7" x14ac:dyDescent="0.2">
      <c r="A23" t="s">
        <v>144</v>
      </c>
      <c r="B23" s="89">
        <f>100*(B21*B18/100+B22)/(B21+B22)</f>
        <v>28.791044776119403</v>
      </c>
      <c r="C23" s="89">
        <f t="shared" ref="C23:G23" si="0">100*(C21*C18/100+C22)/(C21+C22)</f>
        <v>30.603985056039853</v>
      </c>
      <c r="D23" s="89">
        <f t="shared" si="0"/>
        <v>35.5</v>
      </c>
      <c r="E23" s="89">
        <f t="shared" si="0"/>
        <v>36.806451612903224</v>
      </c>
      <c r="F23" s="89">
        <f t="shared" si="0"/>
        <v>28.266968325791854</v>
      </c>
      <c r="G23" s="89">
        <f t="shared" si="0"/>
        <v>32.140918828850268</v>
      </c>
    </row>
    <row r="28" spans="1:7" ht="68" x14ac:dyDescent="0.2">
      <c r="B28" t="s">
        <v>132</v>
      </c>
      <c r="C28" t="s">
        <v>43</v>
      </c>
      <c r="D28" s="82" t="s">
        <v>133</v>
      </c>
      <c r="E28" s="82" t="s">
        <v>134</v>
      </c>
      <c r="F28" s="82" t="s">
        <v>135</v>
      </c>
      <c r="G28" s="82" t="s">
        <v>2</v>
      </c>
    </row>
    <row r="29" spans="1:7" x14ac:dyDescent="0.2">
      <c r="A29" t="s">
        <v>139</v>
      </c>
      <c r="B29">
        <v>5</v>
      </c>
      <c r="C29">
        <v>3</v>
      </c>
      <c r="D29">
        <v>6</v>
      </c>
      <c r="E29">
        <v>4</v>
      </c>
      <c r="F29">
        <v>3</v>
      </c>
      <c r="G29">
        <v>4</v>
      </c>
    </row>
    <row r="30" spans="1:7" x14ac:dyDescent="0.2">
      <c r="A30" t="s">
        <v>136</v>
      </c>
      <c r="B30">
        <v>31</v>
      </c>
      <c r="C30">
        <v>31</v>
      </c>
      <c r="D30">
        <v>31</v>
      </c>
      <c r="E30">
        <v>25</v>
      </c>
      <c r="F30">
        <v>28</v>
      </c>
      <c r="G30">
        <v>29</v>
      </c>
    </row>
    <row r="31" spans="1:7" x14ac:dyDescent="0.2">
      <c r="A31" t="s">
        <v>137</v>
      </c>
      <c r="B31">
        <v>9</v>
      </c>
      <c r="C31">
        <v>10</v>
      </c>
      <c r="D31">
        <v>13</v>
      </c>
      <c r="E31">
        <v>29</v>
      </c>
      <c r="F31">
        <v>32</v>
      </c>
      <c r="G31">
        <v>18</v>
      </c>
    </row>
    <row r="32" spans="1:7" x14ac:dyDescent="0.2">
      <c r="A32" t="s">
        <v>138</v>
      </c>
      <c r="B32">
        <v>39</v>
      </c>
      <c r="C32">
        <v>44</v>
      </c>
      <c r="D32">
        <v>34</v>
      </c>
      <c r="E32">
        <v>27</v>
      </c>
      <c r="F32">
        <v>20</v>
      </c>
      <c r="G32">
        <v>33</v>
      </c>
    </row>
    <row r="33" spans="1:7" x14ac:dyDescent="0.2">
      <c r="A33" t="s">
        <v>129</v>
      </c>
      <c r="B33">
        <v>16</v>
      </c>
      <c r="C33">
        <v>12</v>
      </c>
      <c r="D33">
        <v>16</v>
      </c>
      <c r="E33">
        <v>15</v>
      </c>
      <c r="F33">
        <v>17</v>
      </c>
      <c r="G33">
        <v>16</v>
      </c>
    </row>
    <row r="34" spans="1:7" x14ac:dyDescent="0.2">
      <c r="A34" t="s">
        <v>2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</row>
    <row r="43" spans="1:7" ht="68" x14ac:dyDescent="0.2">
      <c r="B43" t="s">
        <v>132</v>
      </c>
      <c r="C43" t="s">
        <v>43</v>
      </c>
      <c r="D43" s="82" t="s">
        <v>133</v>
      </c>
      <c r="E43" s="82" t="s">
        <v>134</v>
      </c>
      <c r="F43" s="82" t="s">
        <v>135</v>
      </c>
      <c r="G43" s="82" t="s">
        <v>2</v>
      </c>
    </row>
    <row r="45" spans="1:7" x14ac:dyDescent="0.2">
      <c r="A45" t="s">
        <v>140</v>
      </c>
      <c r="B45">
        <v>14</v>
      </c>
      <c r="C45">
        <v>12</v>
      </c>
      <c r="D45">
        <v>12</v>
      </c>
      <c r="E45">
        <v>10</v>
      </c>
      <c r="F45">
        <v>12</v>
      </c>
      <c r="G45">
        <v>12</v>
      </c>
    </row>
    <row r="46" spans="1:7" ht="34" x14ac:dyDescent="0.2">
      <c r="A46" s="82" t="s">
        <v>141</v>
      </c>
      <c r="B46">
        <v>29</v>
      </c>
      <c r="C46">
        <v>26</v>
      </c>
      <c r="D46">
        <v>36</v>
      </c>
      <c r="E46">
        <v>47</v>
      </c>
      <c r="F46">
        <v>49</v>
      </c>
      <c r="G46">
        <v>37</v>
      </c>
    </row>
    <row r="47" spans="1:7" x14ac:dyDescent="0.2">
      <c r="A47" t="s">
        <v>142</v>
      </c>
      <c r="B47">
        <v>57</v>
      </c>
      <c r="C47">
        <v>62</v>
      </c>
      <c r="D47">
        <v>52</v>
      </c>
      <c r="E47">
        <v>43</v>
      </c>
      <c r="F47">
        <v>39</v>
      </c>
      <c r="G47">
        <v>51</v>
      </c>
    </row>
    <row r="48" spans="1:7" x14ac:dyDescent="0.2">
      <c r="A48" t="s">
        <v>2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</row>
    <row r="52" spans="1:6" x14ac:dyDescent="0.2">
      <c r="A52" t="s">
        <v>164</v>
      </c>
    </row>
    <row r="53" spans="1:6" x14ac:dyDescent="0.2">
      <c r="A53" t="s">
        <v>165</v>
      </c>
      <c r="B53" t="s">
        <v>166</v>
      </c>
      <c r="C53" t="s">
        <v>167</v>
      </c>
      <c r="D53" t="s">
        <v>168</v>
      </c>
      <c r="E53" t="s">
        <v>169</v>
      </c>
    </row>
    <row r="54" spans="1:6" x14ac:dyDescent="0.2">
      <c r="A54" t="s">
        <v>170</v>
      </c>
      <c r="B54" t="s">
        <v>171</v>
      </c>
      <c r="C54" s="92">
        <v>43221</v>
      </c>
      <c r="D54" s="92" t="s">
        <v>172</v>
      </c>
      <c r="E54" t="s">
        <v>173</v>
      </c>
    </row>
    <row r="55" spans="1:6" x14ac:dyDescent="0.2">
      <c r="A55" t="s">
        <v>174</v>
      </c>
      <c r="B55" t="s">
        <v>175</v>
      </c>
      <c r="C55" s="92">
        <v>43709</v>
      </c>
      <c r="D55" s="92" t="s">
        <v>176</v>
      </c>
      <c r="E55" t="s">
        <v>177</v>
      </c>
    </row>
    <row r="56" spans="1:6" x14ac:dyDescent="0.2">
      <c r="A56" t="s">
        <v>178</v>
      </c>
      <c r="B56" t="s">
        <v>179</v>
      </c>
      <c r="C56" s="92">
        <v>44105</v>
      </c>
      <c r="D56" s="92" t="s">
        <v>180</v>
      </c>
      <c r="E56" t="s">
        <v>181</v>
      </c>
    </row>
    <row r="57" spans="1:6" x14ac:dyDescent="0.2">
      <c r="A57" t="s">
        <v>182</v>
      </c>
      <c r="B57" t="s">
        <v>183</v>
      </c>
      <c r="C57" s="92">
        <v>44166</v>
      </c>
      <c r="D57" s="92" t="s">
        <v>184</v>
      </c>
      <c r="E57" t="s">
        <v>185</v>
      </c>
    </row>
    <row r="62" spans="1:6" x14ac:dyDescent="0.2">
      <c r="B62" t="s">
        <v>186</v>
      </c>
      <c r="C62" t="s">
        <v>187</v>
      </c>
      <c r="D62" t="s">
        <v>188</v>
      </c>
      <c r="E62" t="s">
        <v>189</v>
      </c>
      <c r="F62" t="s">
        <v>190</v>
      </c>
    </row>
    <row r="63" spans="1:6" x14ac:dyDescent="0.2">
      <c r="A63" t="s">
        <v>191</v>
      </c>
      <c r="B63">
        <v>2016</v>
      </c>
      <c r="C63">
        <v>2017</v>
      </c>
      <c r="D63">
        <v>2018</v>
      </c>
      <c r="E63">
        <v>2019</v>
      </c>
      <c r="F63">
        <v>2020</v>
      </c>
    </row>
    <row r="64" spans="1:6" x14ac:dyDescent="0.2">
      <c r="A64" t="s">
        <v>192</v>
      </c>
      <c r="C64" s="79">
        <f>+AlbionDevelopment!C24/1000</f>
        <v>44.085000000000001</v>
      </c>
      <c r="D64" s="79">
        <f>+AlbionDevelopment!D24/1000</f>
        <v>53.345999999999997</v>
      </c>
      <c r="E64" s="79">
        <f>+AlbionDevelopment!E24/1000</f>
        <v>63.378</v>
      </c>
      <c r="F64" s="79">
        <f>+AlbionDevelopment!F24/1000</f>
        <v>69.683000000000007</v>
      </c>
    </row>
    <row r="65" spans="1:6" x14ac:dyDescent="0.2">
      <c r="A65" t="s">
        <v>187</v>
      </c>
      <c r="C65" s="79">
        <f>AlbionDevelopment!D11</f>
        <v>2.2749999999999999</v>
      </c>
      <c r="D65" s="79">
        <f>AlbionDevelopment!E11</f>
        <v>2.5099999999999998</v>
      </c>
      <c r="E65" s="79">
        <f>AlbionDevelopment!F11</f>
        <v>3.1320000000000001</v>
      </c>
      <c r="F65" s="79"/>
    </row>
    <row r="66" spans="1:6" x14ac:dyDescent="0.2">
      <c r="A66" t="s">
        <v>188</v>
      </c>
      <c r="C66" s="79">
        <f>AlbionDevelopment!D28/1000</f>
        <v>0.85499999999999998</v>
      </c>
      <c r="D66" s="79">
        <f>AlbionDevelopment!E28/1000</f>
        <v>0.92100000000000004</v>
      </c>
      <c r="E66" s="79">
        <f>AlbionDevelopment!F28/1000</f>
        <v>1.0129999999999999</v>
      </c>
    </row>
    <row r="67" spans="1:6" x14ac:dyDescent="0.2">
      <c r="A67" t="s">
        <v>193</v>
      </c>
      <c r="C67" s="79">
        <f>C66+C65</f>
        <v>3.13</v>
      </c>
      <c r="D67" s="79">
        <f>D66+D65</f>
        <v>3.431</v>
      </c>
      <c r="E67" s="79">
        <f>E66+E65</f>
        <v>4.1449999999999996</v>
      </c>
      <c r="F67" s="79"/>
    </row>
    <row r="68" spans="1:6" x14ac:dyDescent="0.2">
      <c r="A68" t="s">
        <v>194</v>
      </c>
      <c r="C68" s="79">
        <f>C67/C64*100</f>
        <v>7.0999206079165242</v>
      </c>
      <c r="D68" s="79">
        <f>D67/D64*100</f>
        <v>6.4315974955947972</v>
      </c>
      <c r="E68" s="79">
        <f>E67/E64*100</f>
        <v>6.54012433336489</v>
      </c>
      <c r="F68" s="79"/>
    </row>
    <row r="69" spans="1:6" x14ac:dyDescent="0.2">
      <c r="C69" s="79"/>
      <c r="D69" s="79"/>
      <c r="E69" s="79"/>
      <c r="F69" s="79"/>
    </row>
    <row r="70" spans="1:6" x14ac:dyDescent="0.2">
      <c r="A70" t="s">
        <v>195</v>
      </c>
      <c r="B70">
        <v>2016</v>
      </c>
      <c r="C70">
        <v>2017</v>
      </c>
      <c r="D70">
        <v>2018</v>
      </c>
      <c r="E70">
        <v>2019</v>
      </c>
      <c r="F70">
        <v>2020</v>
      </c>
    </row>
    <row r="71" spans="1:6" x14ac:dyDescent="0.2">
      <c r="A71" t="s">
        <v>192</v>
      </c>
      <c r="C71" s="79">
        <f>AlbionEnterprise!B24/1000</f>
        <v>44.47</v>
      </c>
      <c r="D71" s="79">
        <f>AlbionEnterprise!C24/1000</f>
        <v>52.457999999999998</v>
      </c>
      <c r="E71" s="79">
        <f>AlbionEnterprise!D24/1000</f>
        <v>61.871000000000002</v>
      </c>
      <c r="F71" s="79">
        <f>AlbionEnterprise!E24/1000</f>
        <v>67.388000000000005</v>
      </c>
    </row>
    <row r="72" spans="1:6" x14ac:dyDescent="0.2">
      <c r="A72" t="s">
        <v>187</v>
      </c>
      <c r="C72" s="79">
        <f>AlbionEnterprise!C11</f>
        <v>2.4049999999999998</v>
      </c>
      <c r="D72" s="79">
        <f>AlbionEnterprise!D11</f>
        <v>2.7109999999999999</v>
      </c>
      <c r="E72" s="79">
        <f>AlbionEnterprise!E11</f>
        <v>3.4319999999999999</v>
      </c>
      <c r="F72" s="79">
        <f>AlbionEnterprise!F11</f>
        <v>3.956</v>
      </c>
    </row>
    <row r="73" spans="1:6" x14ac:dyDescent="0.2">
      <c r="A73" t="s">
        <v>188</v>
      </c>
      <c r="C73" s="79">
        <f>AlbionEnterprise!C28/1000</f>
        <v>0.66600000000000004</v>
      </c>
      <c r="D73" s="79">
        <f>AlbionEnterprise!D28/1000</f>
        <v>0.82099999999999995</v>
      </c>
      <c r="E73" s="79">
        <f>AlbionEnterprise!E28/1000</f>
        <v>0.58499999999999996</v>
      </c>
      <c r="F73" s="79">
        <f>AlbionEnterprise!F28/1000</f>
        <v>1.252</v>
      </c>
    </row>
    <row r="74" spans="1:6" x14ac:dyDescent="0.2">
      <c r="A74" t="s">
        <v>193</v>
      </c>
      <c r="C74" s="79">
        <f>C73+C72</f>
        <v>3.0709999999999997</v>
      </c>
      <c r="D74" s="79">
        <f>D73+D72</f>
        <v>3.532</v>
      </c>
      <c r="E74" s="79">
        <f>E73+E72</f>
        <v>4.0169999999999995</v>
      </c>
      <c r="F74" s="79">
        <f>F73+F72</f>
        <v>5.2080000000000002</v>
      </c>
    </row>
    <row r="75" spans="1:6" x14ac:dyDescent="0.2">
      <c r="A75" t="s">
        <v>194</v>
      </c>
      <c r="C75" s="79">
        <f>C74/C71*100</f>
        <v>6.9057791769732395</v>
      </c>
      <c r="D75" s="79">
        <f>D74/D71*100</f>
        <v>6.7330054519806319</v>
      </c>
      <c r="E75" s="79">
        <f>E74/E71*100</f>
        <v>6.4925409319390335</v>
      </c>
      <c r="F75" s="79">
        <f>F74/F71*100</f>
        <v>7.7283789398706002</v>
      </c>
    </row>
    <row r="77" spans="1:6" ht="17" x14ac:dyDescent="0.2">
      <c r="A77" s="82" t="s">
        <v>196</v>
      </c>
      <c r="B77">
        <v>2016</v>
      </c>
      <c r="C77">
        <v>2017</v>
      </c>
      <c r="D77">
        <v>2018</v>
      </c>
      <c r="E77">
        <v>2019</v>
      </c>
      <c r="F77">
        <v>2020</v>
      </c>
    </row>
    <row r="78" spans="1:6" x14ac:dyDescent="0.2">
      <c r="A78" t="s">
        <v>192</v>
      </c>
      <c r="C78" s="79">
        <f>AlbionTechGeneral!C24/1000</f>
        <v>64.426000000000002</v>
      </c>
      <c r="D78" s="79">
        <f>AlbionTechGeneral!D24/1000</f>
        <v>72.647999999999996</v>
      </c>
      <c r="E78" s="79">
        <f>AlbionTechGeneral!E24/1000</f>
        <v>79.897000000000006</v>
      </c>
    </row>
    <row r="79" spans="1:6" x14ac:dyDescent="0.2">
      <c r="A79" t="s">
        <v>187</v>
      </c>
      <c r="C79" s="79">
        <f>AlbionTechGeneral!D11</f>
        <v>3.3180000000000001</v>
      </c>
      <c r="D79" s="79">
        <f>AlbionTechGeneral!E11</f>
        <v>3.536</v>
      </c>
      <c r="E79" s="79">
        <f>AlbionTechGeneral!F11</f>
        <v>3.794</v>
      </c>
      <c r="F79" s="79"/>
    </row>
    <row r="80" spans="1:6" x14ac:dyDescent="0.2">
      <c r="A80" t="s">
        <v>188</v>
      </c>
      <c r="C80" s="79">
        <f>AlbionTechGeneral!D28/1000</f>
        <v>1.7170000000000001</v>
      </c>
      <c r="D80" s="79">
        <f>AlbionTechGeneral!E28/1000</f>
        <v>1.57</v>
      </c>
      <c r="E80" s="79">
        <f>AlbionTechGeneral!F28/1000</f>
        <v>2.016</v>
      </c>
    </row>
    <row r="81" spans="1:6" x14ac:dyDescent="0.2">
      <c r="A81" t="s">
        <v>193</v>
      </c>
      <c r="C81" s="79">
        <f>C80+C79</f>
        <v>5.0350000000000001</v>
      </c>
      <c r="D81" s="79">
        <f>D80+D79</f>
        <v>5.1059999999999999</v>
      </c>
      <c r="E81" s="79">
        <f>E80+E79</f>
        <v>5.8100000000000005</v>
      </c>
      <c r="F81" s="79"/>
    </row>
    <row r="82" spans="1:6" x14ac:dyDescent="0.2">
      <c r="A82" t="s">
        <v>194</v>
      </c>
      <c r="C82" s="79">
        <f>C81/C78*100</f>
        <v>7.8151677894017944</v>
      </c>
      <c r="D82" s="79">
        <f>D81/D78*100</f>
        <v>7.0284109679550717</v>
      </c>
      <c r="E82" s="79">
        <f>E81/E78*100</f>
        <v>7.2718625229983607</v>
      </c>
      <c r="F82" s="79"/>
    </row>
    <row r="83" spans="1:6" x14ac:dyDescent="0.2">
      <c r="C83" s="79"/>
      <c r="D83" s="79"/>
      <c r="E83" s="79"/>
      <c r="F83" s="79"/>
    </row>
    <row r="84" spans="1:6" ht="17" x14ac:dyDescent="0.2">
      <c r="A84" s="82" t="s">
        <v>197</v>
      </c>
      <c r="B84">
        <v>2016</v>
      </c>
      <c r="C84">
        <v>2017</v>
      </c>
      <c r="D84">
        <v>2018</v>
      </c>
      <c r="E84">
        <v>2019</v>
      </c>
      <c r="F84">
        <v>2020</v>
      </c>
    </row>
    <row r="85" spans="1:6" x14ac:dyDescent="0.2">
      <c r="A85" t="s">
        <v>192</v>
      </c>
      <c r="C85" s="79">
        <f>Crown!C25</f>
        <v>30.98</v>
      </c>
      <c r="D85" s="79">
        <f>Crown!D25</f>
        <v>33.5</v>
      </c>
      <c r="E85" s="79">
        <f>Crown!E25</f>
        <v>35.29</v>
      </c>
      <c r="F85" s="79">
        <f>Crown!F25</f>
        <v>33.14</v>
      </c>
    </row>
    <row r="86" spans="1:6" x14ac:dyDescent="0.2">
      <c r="A86" t="s">
        <v>187</v>
      </c>
      <c r="C86" s="79">
        <f>Crown!D11</f>
        <v>2.5950000000000002</v>
      </c>
      <c r="D86" s="79">
        <f>Crown!E11</f>
        <v>3.28</v>
      </c>
      <c r="E86" s="79">
        <f>Crown!F11</f>
        <v>3.8140000000000001</v>
      </c>
      <c r="F86" s="79">
        <f>Crown!G11</f>
        <v>6.1059999999999999</v>
      </c>
    </row>
    <row r="87" spans="1:6" x14ac:dyDescent="0.2">
      <c r="A87" t="s">
        <v>188</v>
      </c>
      <c r="C87" s="79">
        <f>Crown!D28/1000</f>
        <v>0.71199999999999997</v>
      </c>
      <c r="D87" s="79">
        <f>Crown!E28/1000</f>
        <v>0.89600000000000002</v>
      </c>
      <c r="E87" s="79">
        <f>Crown!F28/1000</f>
        <v>0.93700000000000006</v>
      </c>
      <c r="F87" s="79">
        <f>Crown!G28/1000</f>
        <v>1.573</v>
      </c>
    </row>
    <row r="88" spans="1:6" x14ac:dyDescent="0.2">
      <c r="A88" t="s">
        <v>193</v>
      </c>
      <c r="C88" s="79">
        <f>C87+C86</f>
        <v>3.3070000000000004</v>
      </c>
      <c r="D88" s="79">
        <f>D87+D86</f>
        <v>4.1760000000000002</v>
      </c>
      <c r="E88" s="79">
        <f>E87+E86</f>
        <v>4.7510000000000003</v>
      </c>
      <c r="F88" s="79">
        <f>F87+F86</f>
        <v>7.6790000000000003</v>
      </c>
    </row>
    <row r="89" spans="1:6" x14ac:dyDescent="0.2">
      <c r="A89" t="s">
        <v>194</v>
      </c>
      <c r="C89" s="79">
        <f>C88/C85*100</f>
        <v>10.67462879276953</v>
      </c>
      <c r="D89" s="79">
        <f>D88/D85*100</f>
        <v>12.465671641791046</v>
      </c>
      <c r="E89" s="79">
        <f>E88/E85*100</f>
        <v>13.462737319353927</v>
      </c>
      <c r="F89" s="79">
        <f>F88/F85*100</f>
        <v>23.171394085697045</v>
      </c>
    </row>
    <row r="90" spans="1:6" x14ac:dyDescent="0.2">
      <c r="C90" s="79"/>
      <c r="D90" s="79"/>
      <c r="E90" s="79"/>
      <c r="F90" s="79"/>
    </row>
    <row r="91" spans="1:6" ht="17" x14ac:dyDescent="0.2">
      <c r="A91" s="82" t="s">
        <v>198</v>
      </c>
      <c r="B91">
        <v>2016</v>
      </c>
      <c r="C91">
        <v>2017</v>
      </c>
      <c r="D91">
        <v>2018</v>
      </c>
      <c r="E91">
        <v>2019</v>
      </c>
      <c r="F91">
        <v>2020</v>
      </c>
    </row>
    <row r="92" spans="1:6" x14ac:dyDescent="0.2">
      <c r="A92" t="s">
        <v>192</v>
      </c>
      <c r="C92" s="79">
        <f>KingsArm!C24/1000</f>
        <v>53.01</v>
      </c>
      <c r="D92" s="79">
        <f>KingsArm!D24/1000</f>
        <v>62.491999999999997</v>
      </c>
      <c r="E92" s="79">
        <f>KingsArm!E24/1000</f>
        <v>69.150000000000006</v>
      </c>
    </row>
    <row r="93" spans="1:6" x14ac:dyDescent="0.2">
      <c r="A93" t="s">
        <v>187</v>
      </c>
      <c r="C93" s="79">
        <f>KingsArm!D11</f>
        <v>2.4300000000000002</v>
      </c>
      <c r="D93" s="79">
        <f>KingsArm!E11</f>
        <v>3.2189999999999999</v>
      </c>
      <c r="E93" s="79">
        <f>KingsArm!F11</f>
        <v>3.504</v>
      </c>
      <c r="F93" s="79"/>
    </row>
    <row r="94" spans="1:6" x14ac:dyDescent="0.2">
      <c r="A94" t="s">
        <v>188</v>
      </c>
      <c r="C94" s="79">
        <f>KingsArm!D28/1000</f>
        <v>1.3</v>
      </c>
      <c r="D94" s="79">
        <f>KingsArm!E28/1000</f>
        <v>1.1459999999999999</v>
      </c>
      <c r="E94" s="79">
        <f>KingsArm!F28/1000</f>
        <v>1.367</v>
      </c>
    </row>
    <row r="95" spans="1:6" x14ac:dyDescent="0.2">
      <c r="A95" t="s">
        <v>193</v>
      </c>
      <c r="C95" s="79">
        <f>C94+C93</f>
        <v>3.7300000000000004</v>
      </c>
      <c r="D95" s="79">
        <f>D94+D93</f>
        <v>4.3650000000000002</v>
      </c>
      <c r="E95" s="79">
        <f>E94+E93</f>
        <v>4.8710000000000004</v>
      </c>
      <c r="F95" s="79"/>
    </row>
    <row r="96" spans="1:6" x14ac:dyDescent="0.2">
      <c r="A96" t="s">
        <v>194</v>
      </c>
      <c r="C96" s="79">
        <f>C95/C92*100</f>
        <v>7.0364082248632345</v>
      </c>
      <c r="D96" s="79">
        <f>D95/D92*100</f>
        <v>6.9848940664405053</v>
      </c>
      <c r="E96" s="79">
        <f>E95/E92*100</f>
        <v>7.04410701373825</v>
      </c>
      <c r="F96" s="79"/>
    </row>
    <row r="97" spans="3:6" x14ac:dyDescent="0.2">
      <c r="C97" s="79"/>
      <c r="D97" s="79"/>
      <c r="E97" s="79"/>
      <c r="F97" s="79"/>
    </row>
  </sheetData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340D-DA95-452B-9CD6-CCFBF4B0C5D0}">
  <sheetPr>
    <tabColor rgb="FFFF0000"/>
  </sheetPr>
  <dimension ref="A1:U40"/>
  <sheetViews>
    <sheetView workbookViewId="0">
      <selection activeCell="G39" sqref="G39"/>
    </sheetView>
  </sheetViews>
  <sheetFormatPr baseColWidth="10" defaultColWidth="8.83203125" defaultRowHeight="16" x14ac:dyDescent="0.2"/>
  <cols>
    <col min="1" max="1" width="37" customWidth="1"/>
    <col min="2" max="6" width="11.5" customWidth="1"/>
    <col min="7" max="7" width="13.1640625" customWidth="1"/>
    <col min="8" max="8" width="7.6640625" customWidth="1"/>
    <col min="9" max="9" width="11.5" customWidth="1"/>
    <col min="12" max="15" width="15.6640625" style="52" customWidth="1"/>
    <col min="16" max="18" width="11" style="52" customWidth="1"/>
    <col min="19" max="19" width="14.6640625" style="52" bestFit="1" customWidth="1"/>
  </cols>
  <sheetData>
    <row r="1" spans="1:21" x14ac:dyDescent="0.2">
      <c r="A1" t="s">
        <v>40</v>
      </c>
    </row>
    <row r="3" spans="1:21" x14ac:dyDescent="0.2">
      <c r="B3" s="67" t="s">
        <v>41</v>
      </c>
      <c r="C3" s="67" t="s">
        <v>42</v>
      </c>
      <c r="D3" s="67" t="s">
        <v>43</v>
      </c>
      <c r="E3" s="67" t="s">
        <v>44</v>
      </c>
      <c r="F3" s="67" t="s">
        <v>45</v>
      </c>
      <c r="G3" s="67" t="s">
        <v>46</v>
      </c>
      <c r="H3" s="71" t="s">
        <v>99</v>
      </c>
      <c r="I3" s="71" t="s">
        <v>100</v>
      </c>
      <c r="U3" s="68"/>
    </row>
    <row r="4" spans="1:21" ht="17" x14ac:dyDescent="0.2">
      <c r="A4" s="54" t="s">
        <v>32</v>
      </c>
      <c r="B4" s="72"/>
      <c r="C4" s="72"/>
      <c r="D4" s="72"/>
      <c r="E4" s="72"/>
      <c r="F4" s="72"/>
      <c r="G4" s="72"/>
      <c r="H4" s="72"/>
      <c r="I4" s="72"/>
      <c r="L4" s="67"/>
      <c r="M4" s="67"/>
      <c r="N4" s="69"/>
      <c r="O4" s="67"/>
      <c r="P4" s="67"/>
      <c r="Q4" s="67"/>
      <c r="R4" s="67"/>
      <c r="S4" s="67"/>
      <c r="T4" s="70"/>
      <c r="U4" s="68"/>
    </row>
    <row r="5" spans="1:21" ht="17" x14ac:dyDescent="0.2">
      <c r="A5" s="55" t="s">
        <v>35</v>
      </c>
      <c r="B5" s="76">
        <f>+L5/1000000</f>
        <v>0</v>
      </c>
      <c r="C5" s="76">
        <f t="shared" ref="C5:C9" si="0">+M5/1000000</f>
        <v>3.7372000000000002E-2</v>
      </c>
      <c r="D5" s="76">
        <f t="shared" ref="D5:D9" si="1">+N5/1000000</f>
        <v>0</v>
      </c>
      <c r="E5" s="76">
        <f t="shared" ref="E5:E9" si="2">+O5/1000000</f>
        <v>0</v>
      </c>
      <c r="F5" s="76">
        <f t="shared" ref="F5:F9" si="3">+P5/1000000</f>
        <v>0</v>
      </c>
      <c r="G5" s="76">
        <f t="shared" ref="G5:G9" si="4">+Q5/1000000</f>
        <v>0</v>
      </c>
      <c r="H5" s="76">
        <f>+S5/1000000</f>
        <v>3.7372000000000002E-2</v>
      </c>
      <c r="I5" s="75" t="e">
        <f>+T5</f>
        <v>#DIV/0!</v>
      </c>
      <c r="L5" s="67">
        <f>+AlbionVCT!C38</f>
        <v>0</v>
      </c>
      <c r="M5" s="67">
        <f>+AlbionDevelopment!F38</f>
        <v>37372</v>
      </c>
      <c r="N5" s="67">
        <f>+AlbionEnterprise!C38</f>
        <v>0</v>
      </c>
      <c r="O5" s="67">
        <f>+AlbionTechGeneral!C38</f>
        <v>0</v>
      </c>
      <c r="P5" s="67">
        <f>+Crown!C38</f>
        <v>0</v>
      </c>
      <c r="Q5" s="67">
        <f>+KingsArm!C37</f>
        <v>0</v>
      </c>
      <c r="R5" s="67"/>
      <c r="S5" s="67">
        <f t="shared" ref="S5:S8" si="5">SUM(L5:R5)</f>
        <v>37372</v>
      </c>
      <c r="T5" s="70" t="e">
        <f>+S5/$S$9</f>
        <v>#DIV/0!</v>
      </c>
      <c r="U5" s="68"/>
    </row>
    <row r="6" spans="1:21" ht="34" x14ac:dyDescent="0.2">
      <c r="A6" s="55" t="s">
        <v>47</v>
      </c>
      <c r="B6" s="76" t="s">
        <v>101</v>
      </c>
      <c r="C6" s="76">
        <f t="shared" si="0"/>
        <v>1.4012E-2</v>
      </c>
      <c r="D6" s="76">
        <f t="shared" si="1"/>
        <v>0</v>
      </c>
      <c r="E6" s="76">
        <f t="shared" si="2"/>
        <v>0</v>
      </c>
      <c r="F6" s="76">
        <f t="shared" si="3"/>
        <v>0</v>
      </c>
      <c r="G6" s="76">
        <f t="shared" si="4"/>
        <v>0</v>
      </c>
      <c r="H6" s="76">
        <f t="shared" ref="H6:H9" si="6">+S6/1000000</f>
        <v>1.4012E-2</v>
      </c>
      <c r="I6" s="75" t="e">
        <f t="shared" ref="I6:I7" si="7">+T6</f>
        <v>#DIV/0!</v>
      </c>
      <c r="L6" s="67">
        <f>+AlbionVCT!C39</f>
        <v>0</v>
      </c>
      <c r="M6" s="67">
        <f>+AlbionDevelopment!F39</f>
        <v>14012</v>
      </c>
      <c r="N6" s="67">
        <f>+AlbionEnterprise!C39</f>
        <v>0</v>
      </c>
      <c r="O6" s="67">
        <f>+AlbionTechGeneral!C39</f>
        <v>0</v>
      </c>
      <c r="P6" s="67">
        <f>+Crown!C39</f>
        <v>0</v>
      </c>
      <c r="Q6" s="67">
        <f>+KingsArm!C38</f>
        <v>0</v>
      </c>
      <c r="R6" s="67"/>
      <c r="S6" s="67">
        <f t="shared" si="5"/>
        <v>14012</v>
      </c>
      <c r="T6" s="70" t="e">
        <f t="shared" ref="T6:T8" si="8">+S6/$S$9</f>
        <v>#DIV/0!</v>
      </c>
      <c r="U6" s="68"/>
    </row>
    <row r="7" spans="1:21" ht="17" x14ac:dyDescent="0.2">
      <c r="A7" s="55" t="s">
        <v>37</v>
      </c>
      <c r="B7" s="76">
        <f t="shared" ref="B7:B9" si="9">+L7/1000000</f>
        <v>0</v>
      </c>
      <c r="C7" s="76">
        <f t="shared" si="0"/>
        <v>1.4529E-2</v>
      </c>
      <c r="D7" s="76">
        <f t="shared" si="1"/>
        <v>0</v>
      </c>
      <c r="E7" s="76">
        <f t="shared" si="2"/>
        <v>0</v>
      </c>
      <c r="F7" s="76">
        <f t="shared" si="3"/>
        <v>0</v>
      </c>
      <c r="G7" s="76">
        <f t="shared" si="4"/>
        <v>0</v>
      </c>
      <c r="H7" s="76">
        <f t="shared" si="6"/>
        <v>1.4529E-2</v>
      </c>
      <c r="I7" s="75" t="e">
        <f t="shared" si="7"/>
        <v>#DIV/0!</v>
      </c>
      <c r="L7" s="67">
        <f>+AlbionVCT!C40</f>
        <v>0</v>
      </c>
      <c r="M7" s="67">
        <f>+AlbionDevelopment!F40</f>
        <v>14529</v>
      </c>
      <c r="N7" s="67">
        <f>+AlbionEnterprise!C40</f>
        <v>0</v>
      </c>
      <c r="O7" s="67">
        <f>+AlbionTechGeneral!C40</f>
        <v>0</v>
      </c>
      <c r="P7" s="67">
        <f>+Crown!C40</f>
        <v>0</v>
      </c>
      <c r="Q7" s="67">
        <f>+KingsArm!C39</f>
        <v>0</v>
      </c>
      <c r="R7" s="67"/>
      <c r="S7" s="67">
        <f t="shared" si="5"/>
        <v>14529</v>
      </c>
      <c r="T7" s="70" t="e">
        <f t="shared" si="8"/>
        <v>#DIV/0!</v>
      </c>
      <c r="U7" s="68"/>
    </row>
    <row r="8" spans="1:21" x14ac:dyDescent="0.2">
      <c r="A8" s="55"/>
      <c r="B8" s="76"/>
      <c r="C8" s="76"/>
      <c r="D8" s="76"/>
      <c r="E8" s="76"/>
      <c r="F8" s="76"/>
      <c r="G8" s="76"/>
      <c r="H8" s="76"/>
      <c r="I8" s="73"/>
      <c r="L8" s="67">
        <f>+AlbionVCT!C41</f>
        <v>0</v>
      </c>
      <c r="M8" s="67">
        <f>+AlbionDevelopment!C41</f>
        <v>0</v>
      </c>
      <c r="N8" s="67">
        <f>+AlbionEnterprise!C41</f>
        <v>0</v>
      </c>
      <c r="O8" s="67">
        <f>+AlbionTechGeneral!C41</f>
        <v>0</v>
      </c>
      <c r="P8" s="67">
        <f>+Crown!C41</f>
        <v>0</v>
      </c>
      <c r="Q8" s="67">
        <f>+KingsArm!C40</f>
        <v>0</v>
      </c>
      <c r="R8" s="67"/>
      <c r="S8" s="67">
        <f t="shared" si="5"/>
        <v>0</v>
      </c>
      <c r="T8" s="70" t="e">
        <f t="shared" si="8"/>
        <v>#DIV/0!</v>
      </c>
      <c r="U8" s="68"/>
    </row>
    <row r="9" spans="1:21" ht="17" x14ac:dyDescent="0.2">
      <c r="A9" s="56" t="s">
        <v>38</v>
      </c>
      <c r="B9" s="76">
        <f t="shared" si="9"/>
        <v>0</v>
      </c>
      <c r="C9" s="76">
        <f t="shared" si="0"/>
        <v>0</v>
      </c>
      <c r="D9" s="76">
        <f t="shared" si="1"/>
        <v>0</v>
      </c>
      <c r="E9" s="76">
        <f t="shared" si="2"/>
        <v>0</v>
      </c>
      <c r="F9" s="76">
        <f t="shared" si="3"/>
        <v>0</v>
      </c>
      <c r="G9" s="76">
        <f t="shared" si="4"/>
        <v>0</v>
      </c>
      <c r="H9" s="76">
        <f t="shared" si="6"/>
        <v>0</v>
      </c>
      <c r="I9" s="73"/>
      <c r="L9" s="67">
        <f>+AlbionVCT!C43</f>
        <v>0</v>
      </c>
      <c r="M9" s="67">
        <f>+AlbionDevelopment!C43</f>
        <v>0</v>
      </c>
      <c r="N9" s="67">
        <f>+AlbionEnterprise!C43</f>
        <v>0</v>
      </c>
      <c r="O9" s="67">
        <f>+AlbionTechGeneral!C43</f>
        <v>0</v>
      </c>
      <c r="P9" s="67">
        <f>+Crown!C42</f>
        <v>0</v>
      </c>
      <c r="Q9" s="67">
        <f>+KingsArm!C41</f>
        <v>0</v>
      </c>
      <c r="R9" s="67"/>
      <c r="S9" s="67">
        <f>SUM(L9:R9)</f>
        <v>0</v>
      </c>
      <c r="T9" s="70"/>
      <c r="U9" s="68"/>
    </row>
    <row r="10" spans="1:21" x14ac:dyDescent="0.2">
      <c r="L10" s="67"/>
      <c r="M10" s="67"/>
      <c r="N10" s="67"/>
      <c r="O10" s="67"/>
      <c r="P10" s="67"/>
      <c r="Q10" s="67"/>
      <c r="R10" s="67"/>
      <c r="S10" s="67"/>
      <c r="T10" s="70"/>
      <c r="U10" s="68"/>
    </row>
    <row r="11" spans="1:21" x14ac:dyDescent="0.2">
      <c r="T11" s="2"/>
    </row>
    <row r="12" spans="1:21" ht="24" x14ac:dyDescent="0.2">
      <c r="A12" t="s">
        <v>89</v>
      </c>
      <c r="L12" s="66" t="s">
        <v>90</v>
      </c>
      <c r="M12" s="66" t="s">
        <v>91</v>
      </c>
      <c r="N12" s="66" t="s">
        <v>92</v>
      </c>
      <c r="O12" s="66" t="s">
        <v>93</v>
      </c>
      <c r="T12" s="2"/>
    </row>
    <row r="13" spans="1:21" x14ac:dyDescent="0.2">
      <c r="B13" s="66" t="s">
        <v>102</v>
      </c>
      <c r="C13" s="66" t="s">
        <v>103</v>
      </c>
      <c r="D13" s="66" t="s">
        <v>104</v>
      </c>
      <c r="E13" s="66" t="s">
        <v>105</v>
      </c>
      <c r="F13" s="71" t="s">
        <v>99</v>
      </c>
      <c r="G13" s="71" t="s">
        <v>100</v>
      </c>
      <c r="T13" s="2"/>
    </row>
    <row r="14" spans="1:21" ht="17" x14ac:dyDescent="0.2">
      <c r="A14" s="54" t="s">
        <v>32</v>
      </c>
      <c r="B14" s="72"/>
      <c r="C14" s="72"/>
      <c r="D14" s="72"/>
      <c r="E14" s="72"/>
      <c r="F14" s="72"/>
      <c r="G14" s="72"/>
      <c r="H14" s="72"/>
      <c r="I14" s="72"/>
      <c r="T14" s="2"/>
    </row>
    <row r="15" spans="1:21" ht="17" x14ac:dyDescent="0.2">
      <c r="A15" s="55" t="s">
        <v>35</v>
      </c>
      <c r="B15" s="76">
        <f>+L15/1000000</f>
        <v>21.993708999999999</v>
      </c>
      <c r="C15" s="76">
        <f t="shared" ref="B15:C17" si="10">+M15/1000000</f>
        <v>38.538280999999998</v>
      </c>
      <c r="D15" s="76">
        <f t="shared" ref="D15:E17" si="11">+N15/1000000</f>
        <v>51.703161000000001</v>
      </c>
      <c r="E15" s="76">
        <f t="shared" si="11"/>
        <v>63.96</v>
      </c>
      <c r="F15" s="76">
        <f>+S15/1000000</f>
        <v>176.19515100000001</v>
      </c>
      <c r="G15" s="75">
        <f>+T15</f>
        <v>0.73735852380593425</v>
      </c>
      <c r="L15" s="52">
        <f>+'Mobeus Income &amp; Growth 2'!C35</f>
        <v>21993709</v>
      </c>
      <c r="M15" s="52">
        <f>+'Mobeus Income &amp; Growth 4'!C35</f>
        <v>38538281</v>
      </c>
      <c r="N15" s="52">
        <f>+'Mobeus Income &amp; Growth'!C35</f>
        <v>51703161</v>
      </c>
      <c r="O15" s="60">
        <v>63960000</v>
      </c>
      <c r="S15" s="52">
        <f>SUM(L15:R15)</f>
        <v>176195151</v>
      </c>
      <c r="T15" s="2">
        <f>+S15/$S$20</f>
        <v>0.73735852380593425</v>
      </c>
    </row>
    <row r="16" spans="1:21" ht="17" x14ac:dyDescent="0.2">
      <c r="A16" s="55" t="s">
        <v>59</v>
      </c>
      <c r="B16" s="76">
        <f t="shared" si="10"/>
        <v>0.150699</v>
      </c>
      <c r="C16" s="76">
        <f t="shared" si="10"/>
        <v>0.183175</v>
      </c>
      <c r="D16" s="76">
        <f t="shared" si="11"/>
        <v>0.22556200000000001</v>
      </c>
      <c r="E16" s="76">
        <f t="shared" si="11"/>
        <v>0.115</v>
      </c>
      <c r="F16" s="76">
        <f>+S16/1000000</f>
        <v>0.67443600000000004</v>
      </c>
      <c r="G16" s="75">
        <f>+T16</f>
        <v>2.8224450590106144E-3</v>
      </c>
      <c r="L16" s="52">
        <f>+'Mobeus Income &amp; Growth 2'!C36</f>
        <v>150699</v>
      </c>
      <c r="M16" s="52">
        <f>+'Mobeus Income &amp; Growth 4'!C36</f>
        <v>183175</v>
      </c>
      <c r="N16" s="52">
        <f>+'Mobeus Income &amp; Growth'!C36</f>
        <v>225562</v>
      </c>
      <c r="O16" s="60">
        <v>115000</v>
      </c>
      <c r="S16" s="52">
        <f>SUM(L16:R16)</f>
        <v>674436</v>
      </c>
      <c r="T16" s="2">
        <f t="shared" ref="T16:T17" si="12">+S16/$S$20</f>
        <v>2.8224450590106144E-3</v>
      </c>
    </row>
    <row r="17" spans="1:20" ht="17" x14ac:dyDescent="0.2">
      <c r="A17" s="55" t="s">
        <v>36</v>
      </c>
      <c r="B17" s="76">
        <f t="shared" ref="B17" si="13">+L17/1000000</f>
        <v>19.419301000000001</v>
      </c>
      <c r="C17" s="76">
        <f t="shared" si="10"/>
        <v>8.9284560000000006</v>
      </c>
      <c r="D17" s="76">
        <f t="shared" si="11"/>
        <v>12.914123999999999</v>
      </c>
      <c r="E17" s="76">
        <f t="shared" si="11"/>
        <v>0</v>
      </c>
      <c r="F17" s="76">
        <f>+S17/1000000</f>
        <v>41.261881000000002</v>
      </c>
      <c r="G17" s="75">
        <f>+T17</f>
        <v>0.17267671380818039</v>
      </c>
      <c r="L17" s="52">
        <f>+'Mobeus Income &amp; Growth 2'!C37</f>
        <v>19419301</v>
      </c>
      <c r="M17" s="52">
        <f>+'Mobeus Income &amp; Growth 4'!C37</f>
        <v>8928456</v>
      </c>
      <c r="N17" s="52">
        <f>+'Mobeus Income &amp; Growth'!C37</f>
        <v>12914124</v>
      </c>
      <c r="S17" s="52">
        <f>SUM(L17:R17)</f>
        <v>41261881</v>
      </c>
      <c r="T17" s="2">
        <f t="shared" si="12"/>
        <v>0.17267671380818039</v>
      </c>
    </row>
    <row r="18" spans="1:20" ht="17" x14ac:dyDescent="0.2">
      <c r="A18" s="55" t="s">
        <v>37</v>
      </c>
      <c r="B18" s="76">
        <f t="shared" ref="B18" si="14">+L18/1000000</f>
        <v>2.3867500000000001</v>
      </c>
      <c r="C18" s="76">
        <f t="shared" ref="C18" si="15">+M18/1000000</f>
        <v>2.6275110000000002</v>
      </c>
      <c r="D18" s="76">
        <f t="shared" ref="D18:E18" si="16">+N18/1000000</f>
        <v>7.2616180000000004</v>
      </c>
      <c r="E18" s="76">
        <f t="shared" si="16"/>
        <v>9.8670000000000009</v>
      </c>
      <c r="F18" s="76">
        <f>+S18/1000000</f>
        <v>22.142879000000001</v>
      </c>
      <c r="G18" s="75">
        <f>+T18</f>
        <v>9.2665663496343448E-2</v>
      </c>
      <c r="L18" s="52">
        <f>+'Mobeus Income &amp; Growth 2'!C38</f>
        <v>2386750</v>
      </c>
      <c r="M18" s="52">
        <f>+'Mobeus Income &amp; Growth 4'!C38</f>
        <v>2627511</v>
      </c>
      <c r="N18" s="52">
        <f>+'Mobeus Income &amp; Growth'!C38</f>
        <v>7261618</v>
      </c>
      <c r="O18" s="60">
        <v>9867000</v>
      </c>
      <c r="S18" s="52">
        <f>SUM(L18:R18)</f>
        <v>22142879</v>
      </c>
      <c r="T18" s="2">
        <f>+S18/$S$20</f>
        <v>9.2665663496343448E-2</v>
      </c>
    </row>
    <row r="19" spans="1:20" x14ac:dyDescent="0.2">
      <c r="B19" s="76"/>
      <c r="C19" s="76"/>
      <c r="D19" s="76"/>
      <c r="E19" s="76"/>
      <c r="F19" s="76"/>
      <c r="G19" s="73"/>
      <c r="L19" s="52">
        <f>+'Mobeus Income &amp; Growth 2'!C40</f>
        <v>0</v>
      </c>
      <c r="M19" s="52">
        <f>+'Mobeus Income &amp; Growth 4'!C40</f>
        <v>0</v>
      </c>
      <c r="N19" s="52">
        <f>+'Mobeus Income &amp; Growth'!C40</f>
        <v>0</v>
      </c>
      <c r="S19" s="52">
        <f t="shared" ref="S19:S20" si="17">SUM(L19:R19)</f>
        <v>0</v>
      </c>
      <c r="T19" s="2"/>
    </row>
    <row r="20" spans="1:20" ht="17" x14ac:dyDescent="0.2">
      <c r="A20" s="56" t="s">
        <v>38</v>
      </c>
      <c r="B20" s="76">
        <f t="shared" ref="B20" si="18">+L20/1000000</f>
        <v>43.567219340099989</v>
      </c>
      <c r="C20" s="76">
        <f t="shared" ref="C20" si="19">+M20/1000000</f>
        <v>50.032547621000006</v>
      </c>
      <c r="D20" s="76">
        <f t="shared" ref="D20:E20" si="20">+N20/1000000</f>
        <v>71.893331514599993</v>
      </c>
      <c r="E20" s="76">
        <f t="shared" si="20"/>
        <v>73.461420000000004</v>
      </c>
      <c r="F20" s="76">
        <f>+S20/1000000</f>
        <v>238.95451847569998</v>
      </c>
      <c r="G20" s="73"/>
      <c r="L20" s="52">
        <f>+'Mobeus Income &amp; Growth 2'!C41</f>
        <v>43567219.34009999</v>
      </c>
      <c r="M20" s="52">
        <f>+'Mobeus Income &amp; Growth 4'!C41</f>
        <v>50032547.621000007</v>
      </c>
      <c r="N20" s="52">
        <f>+'Mobeus Income &amp; Growth'!C41</f>
        <v>71893331.514599994</v>
      </c>
      <c r="O20" s="60">
        <v>73461420</v>
      </c>
      <c r="S20" s="52">
        <f t="shared" si="17"/>
        <v>238954518.47569999</v>
      </c>
      <c r="T20" s="2"/>
    </row>
    <row r="21" spans="1:20" x14ac:dyDescent="0.2">
      <c r="B21" s="77"/>
      <c r="C21" s="77"/>
      <c r="D21" s="77"/>
      <c r="E21" s="77"/>
      <c r="F21" s="77"/>
      <c r="T21" s="2"/>
    </row>
    <row r="22" spans="1:20" x14ac:dyDescent="0.2">
      <c r="T22" s="2"/>
    </row>
    <row r="23" spans="1:20" x14ac:dyDescent="0.2">
      <c r="A23" t="s">
        <v>94</v>
      </c>
      <c r="T23" s="2"/>
    </row>
    <row r="24" spans="1:20" x14ac:dyDescent="0.2">
      <c r="B24" s="52" t="s">
        <v>95</v>
      </c>
      <c r="C24" s="52" t="s">
        <v>96</v>
      </c>
      <c r="D24" s="52" t="s">
        <v>97</v>
      </c>
      <c r="E24" s="52" t="s">
        <v>98</v>
      </c>
      <c r="F24" s="71" t="s">
        <v>99</v>
      </c>
      <c r="G24" s="71" t="s">
        <v>100</v>
      </c>
      <c r="L24" s="52" t="s">
        <v>95</v>
      </c>
      <c r="M24" s="52" t="s">
        <v>96</v>
      </c>
      <c r="N24" s="52" t="s">
        <v>97</v>
      </c>
      <c r="O24" s="52" t="s">
        <v>98</v>
      </c>
      <c r="T24" s="2"/>
    </row>
    <row r="25" spans="1:20" ht="17" x14ac:dyDescent="0.2">
      <c r="A25" s="54" t="s">
        <v>32</v>
      </c>
      <c r="B25" s="72"/>
      <c r="C25" s="72"/>
      <c r="D25" s="72"/>
      <c r="E25" s="72"/>
      <c r="F25" s="72"/>
      <c r="G25" s="72"/>
      <c r="H25" s="72"/>
      <c r="I25" s="72"/>
      <c r="T25" s="2"/>
    </row>
    <row r="26" spans="1:20" ht="17" x14ac:dyDescent="0.2">
      <c r="A26" s="55" t="s">
        <v>35</v>
      </c>
      <c r="B26" s="76">
        <f>+L26/1000000</f>
        <v>26.181999999999999</v>
      </c>
      <c r="C26" s="76">
        <f t="shared" ref="B26:C28" si="21">+M26/1000000</f>
        <v>26.623000000000001</v>
      </c>
      <c r="D26" s="76">
        <f t="shared" ref="D26:D28" si="22">+N26/1000000</f>
        <v>54.188000000000002</v>
      </c>
      <c r="E26" s="76">
        <f t="shared" ref="E26:E28" si="23">+O26/1000000</f>
        <v>28.555</v>
      </c>
      <c r="F26" s="76">
        <f>+S26/1000000</f>
        <v>135.548</v>
      </c>
      <c r="G26" s="75">
        <f>+T26</f>
        <v>0.66535821422125441</v>
      </c>
      <c r="L26" s="52">
        <f>+'Maven Income &amp; Growth'!C34</f>
        <v>26182000</v>
      </c>
      <c r="M26" s="52">
        <f>+'Maven Income &amp; Growth 3'!C34</f>
        <v>26623000</v>
      </c>
      <c r="N26" s="52">
        <f>+'Maven Income &amp; Growth 4'!C37</f>
        <v>54188000</v>
      </c>
      <c r="O26" s="52">
        <f>+'Maven Income &amp; Growth 5'!C37</f>
        <v>28555000</v>
      </c>
      <c r="S26" s="52">
        <f>SUM(L26:R26)</f>
        <v>135548000</v>
      </c>
      <c r="T26" s="2">
        <f>+S26/$S$30</f>
        <v>0.66535821422125441</v>
      </c>
    </row>
    <row r="27" spans="1:20" ht="17" x14ac:dyDescent="0.2">
      <c r="A27" s="55" t="s">
        <v>59</v>
      </c>
      <c r="B27" s="76">
        <f t="shared" si="21"/>
        <v>0.41599999999999998</v>
      </c>
      <c r="C27" s="76">
        <f t="shared" si="21"/>
        <v>0.33399899999999999</v>
      </c>
      <c r="D27" s="76">
        <f t="shared" si="22"/>
        <v>0.70799999999999996</v>
      </c>
      <c r="E27" s="76">
        <f t="shared" si="23"/>
        <v>0.28599999999999998</v>
      </c>
      <c r="F27" s="76">
        <f>+S27/1000000</f>
        <v>1.7439990000000001</v>
      </c>
      <c r="G27" s="75">
        <f>+T27</f>
        <v>8.5606874335560357E-3</v>
      </c>
      <c r="L27" s="52">
        <f>+'Maven Income &amp; Growth'!C35</f>
        <v>416000</v>
      </c>
      <c r="M27" s="52">
        <f>+'Maven Income &amp; Growth 3'!C35</f>
        <v>333999</v>
      </c>
      <c r="N27" s="52">
        <f>+'Maven Income &amp; Growth 4'!C38</f>
        <v>708000</v>
      </c>
      <c r="O27" s="52">
        <f>+'Maven Income &amp; Growth 5'!C38</f>
        <v>286000</v>
      </c>
      <c r="S27" s="52">
        <f>SUM(L27:R27)</f>
        <v>1743999</v>
      </c>
      <c r="T27" s="2">
        <f>+S27/$S$30</f>
        <v>8.5606874335560357E-3</v>
      </c>
    </row>
    <row r="28" spans="1:20" ht="17" x14ac:dyDescent="0.2">
      <c r="A28" s="55" t="s">
        <v>37</v>
      </c>
      <c r="B28" s="76">
        <f t="shared" ref="B28" si="24">+L28/1000000</f>
        <v>16.54</v>
      </c>
      <c r="C28" s="76">
        <f t="shared" si="21"/>
        <v>13.821999999999999</v>
      </c>
      <c r="D28" s="76">
        <f t="shared" si="22"/>
        <v>18.402000000000001</v>
      </c>
      <c r="E28" s="76">
        <f t="shared" si="23"/>
        <v>18.648</v>
      </c>
      <c r="F28" s="76">
        <f>+S28/1000000</f>
        <v>67.412000000000006</v>
      </c>
      <c r="G28" s="75">
        <f>+T28</f>
        <v>0.33090217441115471</v>
      </c>
      <c r="L28" s="52">
        <f>+'Maven Income &amp; Growth'!C36</f>
        <v>16540000</v>
      </c>
      <c r="M28" s="52">
        <f>+'Maven Income &amp; Growth 3'!C36</f>
        <v>13822000</v>
      </c>
      <c r="N28" s="52">
        <f>+'Maven Income &amp; Growth 4'!C39</f>
        <v>18402000</v>
      </c>
      <c r="O28" s="52">
        <f>+'Maven Income &amp; Growth 5'!C39</f>
        <v>18648000</v>
      </c>
      <c r="S28" s="52">
        <f>SUM(L28:R28)</f>
        <v>67412000</v>
      </c>
      <c r="T28" s="2">
        <f>+S28/$S$30</f>
        <v>0.33090217441115471</v>
      </c>
    </row>
    <row r="29" spans="1:20" x14ac:dyDescent="0.2">
      <c r="A29" s="55"/>
      <c r="B29" s="76"/>
      <c r="C29" s="76"/>
      <c r="D29" s="76"/>
      <c r="E29" s="76"/>
      <c r="F29" s="76"/>
      <c r="G29" s="75">
        <f>+T29</f>
        <v>0</v>
      </c>
      <c r="L29" s="52">
        <f>+'Maven Income &amp; Growth'!C37</f>
        <v>0</v>
      </c>
      <c r="M29" s="52">
        <f>+'Maven Income &amp; Growth 3'!C37</f>
        <v>0</v>
      </c>
      <c r="N29" s="52">
        <f>+'Maven Income &amp; Growth 4'!C40</f>
        <v>0</v>
      </c>
      <c r="O29" s="52">
        <f>+'Maven Income &amp; Growth 5'!C40</f>
        <v>0</v>
      </c>
      <c r="S29" s="52">
        <f>SUM(L29:R29)</f>
        <v>0</v>
      </c>
      <c r="T29" s="2"/>
    </row>
    <row r="30" spans="1:20" ht="17" x14ac:dyDescent="0.2">
      <c r="A30" s="56" t="s">
        <v>38</v>
      </c>
      <c r="B30" s="76">
        <f t="shared" ref="B30" si="25">+L30/1000000</f>
        <v>42.749589473999997</v>
      </c>
      <c r="C30" s="76">
        <f t="shared" ref="C30" si="26">+M30/1000000</f>
        <v>40.735773119999998</v>
      </c>
      <c r="D30" s="76">
        <f t="shared" ref="D30" si="27">+N30/1000000</f>
        <v>73.118080671999991</v>
      </c>
      <c r="E30" s="76">
        <f t="shared" ref="E30" si="28">+O30/1000000</f>
        <v>47.118397244599997</v>
      </c>
      <c r="F30" s="76">
        <f>+S30/1000000</f>
        <v>203.72184051059998</v>
      </c>
      <c r="G30" s="73"/>
      <c r="L30" s="52">
        <f>+'Maven Income &amp; Growth'!C38</f>
        <v>42749589.473999999</v>
      </c>
      <c r="M30" s="52">
        <f>+'Maven Income &amp; Growth 3'!C38</f>
        <v>40735773.119999997</v>
      </c>
      <c r="N30" s="52">
        <f>+'Maven Income &amp; Growth 4'!C41</f>
        <v>73118080.671999991</v>
      </c>
      <c r="O30" s="52">
        <f>+'Maven Income &amp; Growth 5'!C41</f>
        <v>47118397.244599998</v>
      </c>
      <c r="S30" s="52">
        <f>SUM(L30:R30)</f>
        <v>203721840.51059997</v>
      </c>
      <c r="T30" s="2"/>
    </row>
    <row r="31" spans="1:20" x14ac:dyDescent="0.2">
      <c r="B31" s="77"/>
      <c r="C31" s="77"/>
      <c r="D31" s="77"/>
      <c r="E31" s="77"/>
      <c r="F31" s="76"/>
      <c r="H31" s="74">
        <f t="shared" ref="H31" si="29">+S31/1000000</f>
        <v>0</v>
      </c>
    </row>
    <row r="33" spans="1:9" x14ac:dyDescent="0.2">
      <c r="B33" t="s">
        <v>249</v>
      </c>
      <c r="C33" t="s">
        <v>250</v>
      </c>
      <c r="D33" t="s">
        <v>253</v>
      </c>
      <c r="E33" t="s">
        <v>251</v>
      </c>
      <c r="F33" t="s">
        <v>242</v>
      </c>
      <c r="G33" t="s">
        <v>252</v>
      </c>
    </row>
    <row r="34" spans="1:9" x14ac:dyDescent="0.2">
      <c r="A34" t="s">
        <v>233</v>
      </c>
      <c r="B34" t="s">
        <v>237</v>
      </c>
      <c r="C34" t="s">
        <v>238</v>
      </c>
      <c r="D34" t="s">
        <v>239</v>
      </c>
      <c r="E34" t="s">
        <v>41</v>
      </c>
      <c r="F34" t="s">
        <v>240</v>
      </c>
      <c r="G34" t="s">
        <v>241</v>
      </c>
    </row>
    <row r="35" spans="1:9" x14ac:dyDescent="0.2">
      <c r="A35" t="s">
        <v>234</v>
      </c>
      <c r="B35" s="90" cm="1">
        <f t="array" aca="1" ref="B35" ca="1">INDIRECT("'"&amp;B$33&amp;"'!"&amp;$I35)</f>
        <v>2.5000000000000001E-2</v>
      </c>
      <c r="C35" s="90" cm="1">
        <f t="array" aca="1" ref="C35" ca="1">INDIRECT(C$33&amp;"!"&amp;$I35)</f>
        <v>2.5000000000000001E-2</v>
      </c>
      <c r="D35" s="90" cm="1">
        <f t="array" aca="1" ref="D35" ca="1">INDIRECT(D$33&amp;"!"&amp;$I35)</f>
        <v>2.75E-2</v>
      </c>
      <c r="E35" s="90" cm="1">
        <f t="array" aca="1" ref="E35" ca="1">INDIRECT(E$33&amp;"!"&amp;$I35)</f>
        <v>0</v>
      </c>
      <c r="F35" s="90" cm="1">
        <f t="array" aca="1" ref="F35" ca="1">INDIRECT(F$33&amp;"!"&amp;$I35)</f>
        <v>2.1999999999999999E-2</v>
      </c>
      <c r="G35" s="90" cm="1">
        <f t="array" aca="1" ref="G35" ca="1">INDIRECT(G$33&amp;"!"&amp;$I35)</f>
        <v>2.4E-2</v>
      </c>
      <c r="I35" t="s">
        <v>243</v>
      </c>
    </row>
    <row r="36" spans="1:9" x14ac:dyDescent="0.2">
      <c r="A36" t="s">
        <v>208</v>
      </c>
      <c r="B36" s="110" cm="1">
        <f t="array" aca="1" ref="B36" ca="1">INDIRECT("'"&amp;B$33&amp;"'!"&amp;$I36)</f>
        <v>0</v>
      </c>
      <c r="C36" s="110" cm="1">
        <f t="array" aca="1" ref="C36" ca="1">INDIRECT(C$33&amp;"!"&amp;$I36)</f>
        <v>0.02</v>
      </c>
      <c r="D36" s="110" cm="1">
        <f t="array" aca="1" ref="D36" ca="1">INDIRECT(D$33&amp;"!"&amp;$I36)</f>
        <v>2021</v>
      </c>
      <c r="E36" s="110" cm="1">
        <f t="array" aca="1" ref="E36" ca="1">INDIRECT(E$33&amp;"!"&amp;$I36)</f>
        <v>1347</v>
      </c>
      <c r="F36" s="110" cm="1">
        <f t="array" aca="1" ref="F36" ca="1">INDIRECT(F$33&amp;"!"&amp;$I36)</f>
        <v>1214</v>
      </c>
      <c r="G36" s="110" cm="1">
        <f t="array" aca="1" ref="G36" ca="1">INDIRECT(G$33&amp;"!"&amp;$I36)</f>
        <v>1509</v>
      </c>
      <c r="I36" t="s">
        <v>244</v>
      </c>
    </row>
    <row r="37" spans="1:9" x14ac:dyDescent="0.2">
      <c r="A37" t="s">
        <v>236</v>
      </c>
      <c r="B37" s="110" cm="1">
        <f t="array" aca="1" ref="B37" ca="1">INDIRECT("'"&amp;B$33&amp;"'!"&amp;$I37)</f>
        <v>42</v>
      </c>
      <c r="C37" s="110" cm="1">
        <f t="array" aca="1" ref="C37" ca="1">INDIRECT(C$33&amp;"!"&amp;$I37)</f>
        <v>0</v>
      </c>
      <c r="D37" s="110" cm="1">
        <f t="array" aca="1" ref="D37" ca="1">INDIRECT(D$33&amp;"!"&amp;$I37)</f>
        <v>0</v>
      </c>
      <c r="E37" s="110" cm="1">
        <f t="array" aca="1" ref="E37" ca="1">INDIRECT(E$33&amp;"!"&amp;$I37)</f>
        <v>0</v>
      </c>
      <c r="F37" s="110" cm="1">
        <f t="array" aca="1" ref="F37" ca="1">INDIRECT(F$33&amp;"!"&amp;$I37)</f>
        <v>823</v>
      </c>
      <c r="G37" s="110" cm="1">
        <f t="array" aca="1" ref="G37" ca="1">INDIRECT(G$33&amp;"!"&amp;$I37)</f>
        <v>0</v>
      </c>
      <c r="I37" t="s">
        <v>247</v>
      </c>
    </row>
    <row r="38" spans="1:9" x14ac:dyDescent="0.2">
      <c r="A38" t="s">
        <v>235</v>
      </c>
      <c r="B38" s="90"/>
      <c r="C38" s="90"/>
      <c r="D38" s="90"/>
      <c r="E38" s="90"/>
      <c r="F38" s="90"/>
      <c r="G38" s="90"/>
    </row>
    <row r="39" spans="1:9" x14ac:dyDescent="0.2">
      <c r="A39" t="s">
        <v>245</v>
      </c>
      <c r="B39" s="110" cm="1">
        <f t="array" aca="1" ref="B39" ca="1">INDIRECT("'"&amp;B$33&amp;"'!"&amp;$I39)</f>
        <v>168</v>
      </c>
      <c r="C39" s="110" cm="1">
        <f t="array" aca="1" ref="C39" ca="1">INDIRECT(C$33&amp;"!"&amp;$I39)</f>
        <v>205</v>
      </c>
      <c r="D39" s="110" cm="1">
        <f t="array" aca="1" ref="D39" ca="1">INDIRECT(D$33&amp;"!"&amp;$I39)</f>
        <v>237</v>
      </c>
      <c r="E39" s="110" cm="1">
        <f t="array" aca="1" ref="E39" ca="1">INDIRECT(E$33&amp;"!"&amp;$I39)</f>
        <v>193</v>
      </c>
      <c r="F39" s="110" cm="1">
        <f t="array" aca="1" ref="F39" ca="1">INDIRECT(F$33&amp;"!"&amp;$I39)</f>
        <v>223</v>
      </c>
      <c r="G39" s="110" cm="1">
        <f t="array" aca="1" ref="G39" ca="1">INDIRECT(G$33&amp;"!"&amp;$I39)</f>
        <v>183</v>
      </c>
      <c r="I39" t="s">
        <v>248</v>
      </c>
    </row>
    <row r="40" spans="1:9" x14ac:dyDescent="0.2">
      <c r="A40" t="s">
        <v>246</v>
      </c>
      <c r="B40" s="90"/>
      <c r="C40" s="90"/>
      <c r="D40" s="109"/>
      <c r="E40" s="90"/>
      <c r="F40" s="90"/>
      <c r="G40" s="109"/>
    </row>
  </sheetData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62D-C228-CD48-A782-1067B236EDFC}">
  <dimension ref="A1:J40"/>
  <sheetViews>
    <sheetView zoomScale="80" zoomScaleNormal="80" workbookViewId="0">
      <selection activeCell="C14" sqref="C14"/>
    </sheetView>
  </sheetViews>
  <sheetFormatPr baseColWidth="10" defaultColWidth="11" defaultRowHeight="16" x14ac:dyDescent="0.2"/>
  <cols>
    <col min="1" max="1" width="44.5" style="5" customWidth="1"/>
    <col min="2" max="6" width="12.83203125" customWidth="1"/>
    <col min="8" max="8" width="11.6640625" style="28" bestFit="1" customWidth="1"/>
    <col min="9" max="9" width="26.6640625" customWidth="1"/>
    <col min="10" max="10" width="25.83203125" customWidth="1"/>
  </cols>
  <sheetData>
    <row r="1" spans="1:10" x14ac:dyDescent="0.2">
      <c r="A1" s="5" t="s">
        <v>0</v>
      </c>
      <c r="B1" s="1">
        <v>43861</v>
      </c>
    </row>
    <row r="2" spans="1:10" x14ac:dyDescent="0.2">
      <c r="A2" s="6" t="s">
        <v>50</v>
      </c>
    </row>
    <row r="3" spans="1:10" x14ac:dyDescent="0.2">
      <c r="B3" s="4">
        <f>C3-1</f>
        <v>2016</v>
      </c>
      <c r="C3" s="4">
        <f>D3-1</f>
        <v>2017</v>
      </c>
      <c r="D3" s="4">
        <f>E3-1</f>
        <v>2018</v>
      </c>
      <c r="E3" s="4">
        <f>F3-1</f>
        <v>2019</v>
      </c>
      <c r="F3" s="4">
        <v>2020</v>
      </c>
      <c r="G3" s="4"/>
      <c r="H3" s="29" t="s">
        <v>2</v>
      </c>
      <c r="I3" t="s">
        <v>3</v>
      </c>
      <c r="J3" t="s">
        <v>51</v>
      </c>
    </row>
    <row r="4" spans="1:10" x14ac:dyDescent="0.2">
      <c r="A4" s="9" t="s">
        <v>5</v>
      </c>
      <c r="B4" s="45">
        <v>2.0979999999999999</v>
      </c>
      <c r="C4" s="45">
        <v>7.7480000000000002</v>
      </c>
      <c r="D4" s="45">
        <v>19.510999999999999</v>
      </c>
      <c r="E4" s="45">
        <v>-14.939</v>
      </c>
      <c r="F4" s="45">
        <v>17.524999999999999</v>
      </c>
      <c r="G4" s="10"/>
      <c r="H4" s="30">
        <f>SUM(B4:F4)</f>
        <v>31.942999999999998</v>
      </c>
    </row>
    <row r="5" spans="1:10" x14ac:dyDescent="0.2">
      <c r="A5" s="6" t="s">
        <v>6</v>
      </c>
      <c r="B5" s="46">
        <v>1.903</v>
      </c>
      <c r="C5" s="46">
        <v>7.2610000000000001</v>
      </c>
      <c r="D5" s="46">
        <v>18.716999999999999</v>
      </c>
      <c r="E5" s="46">
        <v>-16.670999999999999</v>
      </c>
      <c r="F5" s="47">
        <v>15.516</v>
      </c>
      <c r="G5" s="11"/>
      <c r="H5" s="30">
        <f t="shared" ref="H5:H8" si="0">SUM(B5:F5)</f>
        <v>26.725999999999999</v>
      </c>
      <c r="J5" t="s">
        <v>7</v>
      </c>
    </row>
    <row r="6" spans="1:10" x14ac:dyDescent="0.2">
      <c r="A6" s="6" t="s">
        <v>8</v>
      </c>
      <c r="B6" s="47">
        <v>6.37</v>
      </c>
      <c r="C6" s="47">
        <v>22.85</v>
      </c>
      <c r="D6" s="47">
        <v>54.52</v>
      </c>
      <c r="E6" s="47">
        <v>-23.28</v>
      </c>
      <c r="F6" s="47">
        <v>17.34</v>
      </c>
      <c r="G6" s="11"/>
      <c r="H6" s="30">
        <f t="shared" si="0"/>
        <v>77.800000000000011</v>
      </c>
    </row>
    <row r="7" spans="1:10" x14ac:dyDescent="0.2">
      <c r="A7" s="6" t="s">
        <v>9</v>
      </c>
      <c r="B7" s="47">
        <v>1.879</v>
      </c>
      <c r="C7" s="47">
        <v>1.994</v>
      </c>
      <c r="D7" s="47">
        <v>2.577</v>
      </c>
      <c r="E7" s="47">
        <v>7.218</v>
      </c>
      <c r="F7" s="47">
        <v>6.665</v>
      </c>
      <c r="G7" s="11"/>
      <c r="H7" s="30">
        <f t="shared" si="0"/>
        <v>20.332999999999998</v>
      </c>
    </row>
    <row r="8" spans="1:10" x14ac:dyDescent="0.2">
      <c r="A8" s="6" t="s">
        <v>10</v>
      </c>
      <c r="B8" s="46">
        <v>6.25</v>
      </c>
      <c r="C8" s="46">
        <v>7</v>
      </c>
      <c r="D8" s="46">
        <v>8.5</v>
      </c>
      <c r="E8" s="46">
        <v>7.5</v>
      </c>
      <c r="F8" s="46">
        <v>7.75</v>
      </c>
      <c r="G8" s="11"/>
      <c r="H8" s="30">
        <f t="shared" si="0"/>
        <v>37</v>
      </c>
    </row>
    <row r="9" spans="1:10" x14ac:dyDescent="0.2">
      <c r="A9" s="6" t="s">
        <v>11</v>
      </c>
      <c r="B9" s="11"/>
      <c r="C9" s="11"/>
      <c r="D9" s="11"/>
      <c r="E9" s="11"/>
      <c r="F9" s="11"/>
      <c r="G9" s="11"/>
    </row>
    <row r="10" spans="1:10" x14ac:dyDescent="0.2">
      <c r="A10" s="6" t="s">
        <v>12</v>
      </c>
      <c r="B10" s="2">
        <f t="shared" ref="B10:F10" si="1">B4/B7</f>
        <v>1.1165513571048429</v>
      </c>
      <c r="C10" s="2">
        <f t="shared" si="1"/>
        <v>3.8856569709127382</v>
      </c>
      <c r="D10" s="2">
        <f t="shared" si="1"/>
        <v>7.5712068296468757</v>
      </c>
      <c r="E10" s="2">
        <f t="shared" si="1"/>
        <v>-2.0696868938764199</v>
      </c>
      <c r="F10" s="2">
        <f t="shared" si="1"/>
        <v>2.6294073518379593</v>
      </c>
      <c r="G10" s="11"/>
    </row>
    <row r="11" spans="1:10" x14ac:dyDescent="0.2">
      <c r="A11" s="12" t="s">
        <v>13</v>
      </c>
      <c r="B11" s="23">
        <f t="shared" ref="B11:F11" si="2">B5/B7</f>
        <v>1.0127727514635445</v>
      </c>
      <c r="C11" s="24">
        <f t="shared" si="2"/>
        <v>3.6414242728184556</v>
      </c>
      <c r="D11" s="24">
        <f t="shared" si="2"/>
        <v>7.2630966239813732</v>
      </c>
      <c r="E11" s="24">
        <f t="shared" si="2"/>
        <v>-2.3096425602660018</v>
      </c>
      <c r="F11" s="24">
        <f t="shared" si="2"/>
        <v>2.3279819954988747</v>
      </c>
      <c r="G11" s="13"/>
      <c r="H11" s="31"/>
    </row>
    <row r="12" spans="1:10" x14ac:dyDescent="0.2">
      <c r="A12" s="6"/>
    </row>
    <row r="13" spans="1:10" x14ac:dyDescent="0.2">
      <c r="A13" s="9" t="s">
        <v>14</v>
      </c>
      <c r="B13" s="19">
        <v>5580</v>
      </c>
      <c r="C13" s="63" t="s">
        <v>52</v>
      </c>
      <c r="D13" s="19">
        <v>1804</v>
      </c>
      <c r="E13" s="19">
        <v>4278</v>
      </c>
      <c r="F13" s="19">
        <v>4703</v>
      </c>
      <c r="G13" s="10"/>
      <c r="H13" s="40"/>
      <c r="I13" t="s">
        <v>53</v>
      </c>
    </row>
    <row r="14" spans="1:10" x14ac:dyDescent="0.2">
      <c r="A14" s="6" t="s">
        <v>15</v>
      </c>
      <c r="B14" s="20">
        <v>12884</v>
      </c>
      <c r="C14" s="64">
        <v>13044</v>
      </c>
      <c r="D14" s="20">
        <v>19359</v>
      </c>
      <c r="E14" s="20">
        <v>10571</v>
      </c>
      <c r="F14" s="20">
        <v>26084</v>
      </c>
      <c r="G14" s="11"/>
      <c r="H14" s="41"/>
    </row>
    <row r="15" spans="1:10" x14ac:dyDescent="0.2">
      <c r="A15" s="6" t="s">
        <v>16</v>
      </c>
      <c r="B15" s="20">
        <v>17564</v>
      </c>
      <c r="C15" s="64">
        <v>14477</v>
      </c>
      <c r="D15" s="20">
        <v>10386</v>
      </c>
      <c r="E15" s="20">
        <v>96718</v>
      </c>
      <c r="F15" s="20">
        <v>86479</v>
      </c>
      <c r="G15" s="11"/>
      <c r="H15" s="41"/>
    </row>
    <row r="16" spans="1:10" x14ac:dyDescent="0.2">
      <c r="A16" s="6" t="s">
        <v>17</v>
      </c>
      <c r="B16" s="21">
        <v>816</v>
      </c>
      <c r="C16" s="64">
        <v>364</v>
      </c>
      <c r="D16" s="21">
        <v>418</v>
      </c>
      <c r="E16" s="20">
        <v>509</v>
      </c>
      <c r="F16" s="20">
        <v>629</v>
      </c>
      <c r="G16" s="11"/>
      <c r="H16" s="41"/>
    </row>
    <row r="17" spans="1:10" x14ac:dyDescent="0.2">
      <c r="A17" s="6" t="s">
        <v>18</v>
      </c>
      <c r="B17" s="21">
        <v>-7502</v>
      </c>
      <c r="C17" s="64">
        <v>-6031</v>
      </c>
      <c r="D17" s="21">
        <v>-4073</v>
      </c>
      <c r="E17" s="20">
        <v>-5984</v>
      </c>
      <c r="F17" s="20">
        <v>-7100</v>
      </c>
      <c r="G17" s="11"/>
      <c r="H17" s="41"/>
      <c r="I17" t="s">
        <v>54</v>
      </c>
      <c r="J17" t="s">
        <v>55</v>
      </c>
    </row>
    <row r="18" spans="1:10" x14ac:dyDescent="0.2">
      <c r="A18" s="6" t="s">
        <v>20</v>
      </c>
      <c r="B18" s="21">
        <v>7047</v>
      </c>
      <c r="C18" s="64">
        <v>16487</v>
      </c>
      <c r="D18" s="21">
        <v>33359</v>
      </c>
      <c r="E18" s="20">
        <v>18867</v>
      </c>
      <c r="F18" s="20">
        <v>35762</v>
      </c>
      <c r="G18" s="11"/>
      <c r="H18" s="41"/>
      <c r="J18" t="s">
        <v>56</v>
      </c>
    </row>
    <row r="19" spans="1:10" x14ac:dyDescent="0.2">
      <c r="A19" s="6" t="s">
        <v>22</v>
      </c>
      <c r="B19" s="20">
        <v>405</v>
      </c>
      <c r="C19" s="64">
        <f>-14</f>
        <v>-14</v>
      </c>
      <c r="D19" s="20">
        <f>-127</f>
        <v>-127</v>
      </c>
      <c r="E19" s="20">
        <f>-395</f>
        <v>-395</v>
      </c>
      <c r="F19" s="20">
        <f>-658</f>
        <v>-658</v>
      </c>
      <c r="G19" s="11"/>
      <c r="H19" s="41"/>
    </row>
    <row r="20" spans="1:10" x14ac:dyDescent="0.2">
      <c r="A20" s="6" t="s">
        <v>57</v>
      </c>
      <c r="B20" s="20"/>
      <c r="C20" s="64">
        <v>425</v>
      </c>
      <c r="D20" s="20">
        <v>425</v>
      </c>
      <c r="E20" s="20">
        <v>425</v>
      </c>
      <c r="F20" s="20">
        <v>425</v>
      </c>
      <c r="G20" s="11"/>
      <c r="H20" s="41"/>
    </row>
    <row r="21" spans="1:10" x14ac:dyDescent="0.2">
      <c r="A21" s="6" t="s">
        <v>24</v>
      </c>
      <c r="B21" s="21">
        <f>SUM(B13:B20)</f>
        <v>36794</v>
      </c>
      <c r="C21" s="64">
        <f>SUM(C13:C20)+1633</f>
        <v>40385</v>
      </c>
      <c r="D21" s="21">
        <f t="shared" ref="D21:E21" si="3">SUM(D13:D20)</f>
        <v>61551</v>
      </c>
      <c r="E21" s="21">
        <f t="shared" si="3"/>
        <v>124989</v>
      </c>
      <c r="F21" s="21">
        <f>SUM(F13:F20)</f>
        <v>146324</v>
      </c>
      <c r="G21" s="11"/>
    </row>
    <row r="22" spans="1:10" x14ac:dyDescent="0.2">
      <c r="A22" s="12" t="s">
        <v>25</v>
      </c>
      <c r="B22" s="13">
        <v>65.94</v>
      </c>
      <c r="C22" s="65">
        <v>123.72</v>
      </c>
      <c r="D22" s="18">
        <v>170.7</v>
      </c>
      <c r="E22" s="18">
        <v>146.1</v>
      </c>
      <c r="F22" s="18">
        <v>155.6</v>
      </c>
      <c r="G22" s="13"/>
      <c r="H22" s="31"/>
    </row>
    <row r="23" spans="1:10" x14ac:dyDescent="0.2">
      <c r="A23" s="6"/>
      <c r="B23" s="51"/>
      <c r="C23" s="51"/>
      <c r="D23" s="51"/>
      <c r="E23" s="51"/>
      <c r="F23" s="51"/>
    </row>
    <row r="24" spans="1:10" x14ac:dyDescent="0.2">
      <c r="A24" s="9" t="s">
        <v>26</v>
      </c>
      <c r="B24" s="10"/>
      <c r="C24" s="10"/>
      <c r="D24" s="10"/>
      <c r="E24" s="10"/>
      <c r="F24" s="10"/>
      <c r="G24" s="10"/>
      <c r="H24" s="34"/>
    </row>
    <row r="25" spans="1:10" x14ac:dyDescent="0.2">
      <c r="A25" s="6" t="s">
        <v>27</v>
      </c>
      <c r="B25" s="20">
        <v>940</v>
      </c>
      <c r="C25" s="20">
        <v>565</v>
      </c>
      <c r="D25" s="20">
        <v>1599</v>
      </c>
      <c r="E25" s="20">
        <v>1301</v>
      </c>
      <c r="F25" s="20">
        <v>1866</v>
      </c>
      <c r="G25" s="11"/>
    </row>
    <row r="26" spans="1:10" x14ac:dyDescent="0.2">
      <c r="A26" s="6" t="s">
        <v>28</v>
      </c>
      <c r="B26" s="21">
        <f>1741-B25</f>
        <v>801</v>
      </c>
      <c r="C26" s="21">
        <v>2888</v>
      </c>
      <c r="D26" s="21">
        <v>6228</v>
      </c>
      <c r="E26" s="20">
        <v>0</v>
      </c>
      <c r="F26" s="21">
        <v>13019</v>
      </c>
      <c r="G26" s="11"/>
    </row>
    <row r="27" spans="1:10" x14ac:dyDescent="0.2">
      <c r="A27" s="12" t="s">
        <v>29</v>
      </c>
      <c r="B27" s="22">
        <v>30259489</v>
      </c>
      <c r="C27" s="22">
        <v>32643069</v>
      </c>
      <c r="D27" s="22">
        <v>36057095</v>
      </c>
      <c r="E27" s="22">
        <v>85549682</v>
      </c>
      <c r="F27" s="22">
        <v>94039012</v>
      </c>
      <c r="G27" s="13"/>
      <c r="H27" s="31"/>
      <c r="I27" t="s">
        <v>58</v>
      </c>
    </row>
    <row r="28" spans="1:10" x14ac:dyDescent="0.2">
      <c r="A28" s="6"/>
    </row>
    <row r="29" spans="1:10" s="3" customFormat="1" x14ac:dyDescent="0.2">
      <c r="A29" s="7" t="s">
        <v>30</v>
      </c>
      <c r="B29" s="35"/>
      <c r="C29" s="36">
        <f t="shared" ref="C29:F29" si="4">(C22+C8+C9)/B22-1</f>
        <v>0.98240824992417353</v>
      </c>
      <c r="D29" s="36">
        <f t="shared" si="4"/>
        <v>0.44843194309731649</v>
      </c>
      <c r="E29" s="36">
        <f t="shared" si="4"/>
        <v>-0.10017574692442877</v>
      </c>
      <c r="F29" s="36">
        <f t="shared" si="4"/>
        <v>0.11806981519507187</v>
      </c>
      <c r="G29" s="37"/>
      <c r="H29" s="35"/>
    </row>
    <row r="30" spans="1:10" x14ac:dyDescent="0.2">
      <c r="A30" s="7" t="s">
        <v>31</v>
      </c>
      <c r="B30" s="35"/>
      <c r="C30" s="36"/>
      <c r="D30" s="36"/>
      <c r="E30" s="36"/>
      <c r="F30" s="36"/>
      <c r="G30" s="37"/>
      <c r="H30" s="35">
        <f>((C29+1)*(D29+1)*(E29+1)*(F29+1))^(1/4)-1</f>
        <v>0.30370536266667325</v>
      </c>
    </row>
    <row r="32" spans="1:10" x14ac:dyDescent="0.2">
      <c r="A32" s="10"/>
      <c r="B32" s="34">
        <v>2020</v>
      </c>
      <c r="C32" s="10"/>
      <c r="D32" s="10"/>
      <c r="E32" s="10"/>
      <c r="F32" s="10"/>
      <c r="G32" s="10"/>
      <c r="H32" s="34"/>
    </row>
    <row r="33" spans="1:8" x14ac:dyDescent="0.2">
      <c r="A33" s="11"/>
      <c r="B33" s="28"/>
    </row>
    <row r="34" spans="1:8" ht="34" x14ac:dyDescent="0.2">
      <c r="A34" s="11"/>
      <c r="B34" s="54" t="s">
        <v>32</v>
      </c>
      <c r="C34" s="53" t="s">
        <v>33</v>
      </c>
      <c r="D34" s="53" t="s">
        <v>34</v>
      </c>
    </row>
    <row r="35" spans="1:8" ht="34" x14ac:dyDescent="0.2">
      <c r="A35" s="11"/>
      <c r="B35" s="55" t="s">
        <v>35</v>
      </c>
      <c r="C35" s="52">
        <v>131954000</v>
      </c>
      <c r="D35" s="2">
        <f>C35/$C$40</f>
        <v>0.90178895012543969</v>
      </c>
      <c r="F35" s="51"/>
      <c r="G35" s="51"/>
    </row>
    <row r="36" spans="1:8" ht="17" x14ac:dyDescent="0.2">
      <c r="A36" s="11"/>
      <c r="B36" s="55" t="s">
        <v>59</v>
      </c>
      <c r="C36" s="52">
        <v>273000</v>
      </c>
      <c r="D36" s="2">
        <f>C36/$C$40</f>
        <v>1.8657136834369936E-3</v>
      </c>
    </row>
    <row r="37" spans="1:8" ht="34" x14ac:dyDescent="0.2">
      <c r="A37" s="11"/>
      <c r="B37" s="55" t="s">
        <v>37</v>
      </c>
      <c r="C37" s="52">
        <v>15091000</v>
      </c>
      <c r="D37" s="2">
        <f>C37/$C$40</f>
        <v>0.10313364540933212</v>
      </c>
    </row>
    <row r="38" spans="1:8" x14ac:dyDescent="0.2">
      <c r="A38" s="11"/>
      <c r="B38" s="55"/>
      <c r="C38" s="52"/>
    </row>
    <row r="39" spans="1:8" x14ac:dyDescent="0.2">
      <c r="A39" s="11"/>
      <c r="B39" s="55"/>
      <c r="C39" s="52"/>
    </row>
    <row r="40" spans="1:8" ht="17" x14ac:dyDescent="0.2">
      <c r="A40" s="13"/>
      <c r="B40" s="56" t="s">
        <v>38</v>
      </c>
      <c r="C40" s="22">
        <f>F22*F27/100</f>
        <v>146324702.67199999</v>
      </c>
      <c r="D40" s="13"/>
      <c r="E40" s="13"/>
      <c r="F40" s="13"/>
      <c r="G40" s="13"/>
      <c r="H40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E32A-5DAC-DB46-B215-980302A78B15}">
  <dimension ref="A1:J41"/>
  <sheetViews>
    <sheetView topLeftCell="A11" zoomScale="80" zoomScaleNormal="80" workbookViewId="0">
      <selection activeCell="B35" sqref="B35:B38"/>
    </sheetView>
  </sheetViews>
  <sheetFormatPr baseColWidth="10" defaultColWidth="11" defaultRowHeight="16" x14ac:dyDescent="0.2"/>
  <cols>
    <col min="1" max="1" width="44.5" style="5" customWidth="1"/>
    <col min="2" max="6" width="12.83203125" customWidth="1"/>
    <col min="8" max="8" width="11.6640625" style="28" bestFit="1" customWidth="1"/>
  </cols>
  <sheetData>
    <row r="1" spans="1:10" x14ac:dyDescent="0.2">
      <c r="A1" s="5" t="s">
        <v>0</v>
      </c>
      <c r="B1" s="1">
        <v>43921</v>
      </c>
    </row>
    <row r="2" spans="1:10" x14ac:dyDescent="0.2">
      <c r="A2" s="6" t="s">
        <v>60</v>
      </c>
    </row>
    <row r="3" spans="1:10" x14ac:dyDescent="0.2">
      <c r="B3" s="4">
        <f>C3-1</f>
        <v>2016</v>
      </c>
      <c r="C3" s="4">
        <f>D3-1</f>
        <v>2017</v>
      </c>
      <c r="D3" s="4">
        <f>E3-1</f>
        <v>2018</v>
      </c>
      <c r="E3" s="4">
        <f>F3-1</f>
        <v>2019</v>
      </c>
      <c r="F3" s="4">
        <v>2020</v>
      </c>
      <c r="G3" s="4"/>
      <c r="H3" s="29" t="s">
        <v>2</v>
      </c>
      <c r="I3" t="s">
        <v>3</v>
      </c>
      <c r="J3" t="s">
        <v>51</v>
      </c>
    </row>
    <row r="4" spans="1:10" x14ac:dyDescent="0.2">
      <c r="A4" s="9" t="s">
        <v>5</v>
      </c>
      <c r="B4" s="45">
        <v>1.732</v>
      </c>
      <c r="C4" s="45">
        <v>7.6069999999999999E-2</v>
      </c>
      <c r="D4" s="45">
        <v>2.7667000000000002</v>
      </c>
      <c r="E4" s="45">
        <v>3.137</v>
      </c>
      <c r="F4" s="45">
        <v>-1.86</v>
      </c>
      <c r="G4" s="10"/>
      <c r="H4" s="30">
        <f>SUM(B4:F4)</f>
        <v>5.8517699999999992</v>
      </c>
    </row>
    <row r="5" spans="1:10" x14ac:dyDescent="0.2">
      <c r="A5" s="6" t="s">
        <v>6</v>
      </c>
      <c r="B5" s="46">
        <v>3.2694999999999999</v>
      </c>
      <c r="C5" s="46">
        <v>0.69779999999999998</v>
      </c>
      <c r="D5" s="46">
        <v>2.3389799999999998</v>
      </c>
      <c r="E5" s="46">
        <v>3.9079999999999999</v>
      </c>
      <c r="F5" s="47">
        <v>-1.208</v>
      </c>
      <c r="G5" s="11"/>
      <c r="H5" s="30">
        <f t="shared" ref="H5:H8" si="0">SUM(B5:F5)</f>
        <v>9.0062799999999985</v>
      </c>
      <c r="J5" t="s">
        <v>7</v>
      </c>
    </row>
    <row r="6" spans="1:10" x14ac:dyDescent="0.2">
      <c r="A6" s="6" t="s">
        <v>8</v>
      </c>
      <c r="B6" s="47">
        <v>9</v>
      </c>
      <c r="C6" s="47">
        <v>1.94</v>
      </c>
      <c r="D6" s="47">
        <v>5.68</v>
      </c>
      <c r="E6" s="47">
        <v>7.93</v>
      </c>
      <c r="F6" s="47">
        <v>-2.0099999999999998</v>
      </c>
      <c r="G6" s="11"/>
      <c r="H6" s="30">
        <f t="shared" si="0"/>
        <v>22.54</v>
      </c>
    </row>
    <row r="7" spans="1:10" x14ac:dyDescent="0.2">
      <c r="A7" s="6" t="s">
        <v>9</v>
      </c>
      <c r="B7" s="47">
        <v>1.8109</v>
      </c>
      <c r="C7" s="47">
        <v>5.3665659999999997</v>
      </c>
      <c r="D7" s="47">
        <v>6.8216599999999996</v>
      </c>
      <c r="E7" s="47">
        <v>2.4590000000000001</v>
      </c>
      <c r="F7" s="47">
        <v>13.878</v>
      </c>
      <c r="G7" s="11"/>
      <c r="H7" s="30">
        <f t="shared" si="0"/>
        <v>30.336126</v>
      </c>
    </row>
    <row r="8" spans="1:10" x14ac:dyDescent="0.2">
      <c r="A8" s="6" t="s">
        <v>10</v>
      </c>
      <c r="B8" s="46">
        <v>5</v>
      </c>
      <c r="C8" s="46">
        <v>15</v>
      </c>
      <c r="D8" s="46">
        <v>16</v>
      </c>
      <c r="E8" s="46">
        <v>5</v>
      </c>
      <c r="F8" s="46">
        <v>26</v>
      </c>
      <c r="G8" s="11"/>
      <c r="H8" s="30">
        <f t="shared" si="0"/>
        <v>67</v>
      </c>
    </row>
    <row r="9" spans="1:10" x14ac:dyDescent="0.2">
      <c r="A9" s="6" t="s">
        <v>11</v>
      </c>
      <c r="B9" s="11"/>
      <c r="C9" s="11"/>
      <c r="D9" s="11"/>
      <c r="E9" s="11"/>
      <c r="F9" s="11"/>
      <c r="G9" s="11"/>
    </row>
    <row r="10" spans="1:10" x14ac:dyDescent="0.2">
      <c r="A10" s="6" t="s">
        <v>12</v>
      </c>
      <c r="B10" s="2">
        <f t="shared" ref="B10:F10" si="1">B4/B7</f>
        <v>0.95643050416919762</v>
      </c>
      <c r="C10" s="2">
        <f t="shared" si="1"/>
        <v>1.4174800049044398E-2</v>
      </c>
      <c r="D10" s="2">
        <f t="shared" si="1"/>
        <v>0.40557576894773417</v>
      </c>
      <c r="E10" s="2">
        <f t="shared" si="1"/>
        <v>1.2757218381455877</v>
      </c>
      <c r="F10" s="2">
        <f t="shared" si="1"/>
        <v>-0.1340250756593169</v>
      </c>
      <c r="G10" s="11"/>
    </row>
    <row r="11" spans="1:10" x14ac:dyDescent="0.2">
      <c r="A11" s="12" t="s">
        <v>13</v>
      </c>
      <c r="B11" s="23">
        <f t="shared" ref="B11:F11" si="2">B5/B7</f>
        <v>1.8054558506819813</v>
      </c>
      <c r="C11" s="24">
        <f t="shared" si="2"/>
        <v>0.13002728374159564</v>
      </c>
      <c r="D11" s="24">
        <f t="shared" si="2"/>
        <v>0.34287548778449822</v>
      </c>
      <c r="E11" s="24">
        <f t="shared" si="2"/>
        <v>1.5892639284261894</v>
      </c>
      <c r="F11" s="24">
        <f t="shared" si="2"/>
        <v>-8.7044242686266024E-2</v>
      </c>
      <c r="G11" s="13"/>
      <c r="H11" s="31"/>
    </row>
    <row r="12" spans="1:10" x14ac:dyDescent="0.2">
      <c r="A12" s="6"/>
    </row>
    <row r="13" spans="1:10" x14ac:dyDescent="0.2">
      <c r="A13" s="9" t="s">
        <v>14</v>
      </c>
      <c r="B13" s="19">
        <v>360.7</v>
      </c>
      <c r="C13" s="19">
        <v>356.7</v>
      </c>
      <c r="D13" s="19">
        <v>493</v>
      </c>
      <c r="E13" s="19">
        <v>489</v>
      </c>
      <c r="F13" s="19">
        <v>597</v>
      </c>
      <c r="G13" s="10"/>
      <c r="H13" s="40"/>
    </row>
    <row r="14" spans="1:10" x14ac:dyDescent="0.2">
      <c r="A14" s="6" t="s">
        <v>15</v>
      </c>
      <c r="B14" s="20">
        <v>15901.5</v>
      </c>
      <c r="C14" s="20">
        <v>15901.5</v>
      </c>
      <c r="D14" s="20">
        <v>30498.3</v>
      </c>
      <c r="E14" s="20">
        <v>30498</v>
      </c>
      <c r="F14" s="20">
        <v>10673</v>
      </c>
      <c r="G14" s="11"/>
      <c r="H14" s="41"/>
    </row>
    <row r="15" spans="1:10" x14ac:dyDescent="0.2">
      <c r="A15" s="6" t="s">
        <v>16</v>
      </c>
      <c r="B15" s="20">
        <v>8524.7000000000007</v>
      </c>
      <c r="C15" s="20">
        <v>7540.6</v>
      </c>
      <c r="D15" s="20">
        <v>6052.5</v>
      </c>
      <c r="E15" s="20">
        <v>4391.6000000000004</v>
      </c>
      <c r="F15" s="20">
        <v>24090.7</v>
      </c>
      <c r="G15" s="11"/>
      <c r="H15" s="41"/>
    </row>
    <row r="16" spans="1:10" x14ac:dyDescent="0.2">
      <c r="A16" s="6" t="s">
        <v>17</v>
      </c>
      <c r="B16" s="21">
        <v>83.622</v>
      </c>
      <c r="C16" s="21">
        <v>87.6</v>
      </c>
      <c r="D16" s="21">
        <v>94.3</v>
      </c>
      <c r="E16" s="20">
        <v>98</v>
      </c>
      <c r="F16" s="20">
        <v>5.2</v>
      </c>
      <c r="G16" s="11"/>
      <c r="H16" s="41"/>
    </row>
    <row r="17" spans="1:10" x14ac:dyDescent="0.2">
      <c r="A17" s="6" t="s">
        <v>18</v>
      </c>
      <c r="B17" s="21">
        <v>15529</v>
      </c>
      <c r="C17" s="21">
        <v>11142.5</v>
      </c>
      <c r="D17" s="21">
        <v>7943.5</v>
      </c>
      <c r="E17" s="20">
        <v>7600.99</v>
      </c>
      <c r="F17" s="20">
        <v>9809.7999999999993</v>
      </c>
      <c r="G17" s="11"/>
      <c r="H17" s="41"/>
      <c r="J17" t="s">
        <v>19</v>
      </c>
    </row>
    <row r="18" spans="1:10" x14ac:dyDescent="0.2">
      <c r="A18" s="6" t="s">
        <v>20</v>
      </c>
      <c r="B18" s="21"/>
      <c r="C18" s="21"/>
      <c r="D18" s="21"/>
      <c r="E18" s="20"/>
      <c r="F18" s="20"/>
      <c r="G18" s="11"/>
      <c r="H18" s="41"/>
      <c r="I18" t="s">
        <v>61</v>
      </c>
      <c r="J18" t="s">
        <v>21</v>
      </c>
    </row>
    <row r="19" spans="1:10" x14ac:dyDescent="0.2">
      <c r="A19" s="6" t="s">
        <v>22</v>
      </c>
      <c r="B19" s="20">
        <v>957.3</v>
      </c>
      <c r="C19" s="17">
        <v>1030</v>
      </c>
      <c r="D19" s="17">
        <v>1118</v>
      </c>
      <c r="E19" s="17">
        <v>1294.3</v>
      </c>
      <c r="F19" s="17">
        <v>1596.1</v>
      </c>
      <c r="G19" s="11"/>
      <c r="H19" s="41"/>
    </row>
    <row r="20" spans="1:10" x14ac:dyDescent="0.2">
      <c r="A20" s="6" t="s">
        <v>62</v>
      </c>
      <c r="B20" s="20">
        <v>1783.7239999999999</v>
      </c>
      <c r="C20" s="17">
        <v>2001.7639999999999</v>
      </c>
      <c r="D20" s="17">
        <v>1398.6559999999999</v>
      </c>
      <c r="E20" s="17">
        <v>4357.3069999999998</v>
      </c>
      <c r="F20" s="17">
        <v>-3206.72</v>
      </c>
      <c r="G20" s="11"/>
      <c r="H20" s="41"/>
    </row>
    <row r="21" spans="1:10" x14ac:dyDescent="0.2">
      <c r="A21" s="6" t="s">
        <v>24</v>
      </c>
      <c r="B21" s="21">
        <f>SUM(B13:B20)</f>
        <v>43140.546000000002</v>
      </c>
      <c r="C21" s="21">
        <f>SUM(C13:C20)</f>
        <v>38060.664000000004</v>
      </c>
      <c r="D21" s="21">
        <f>SUM(D13:D20)</f>
        <v>47598.256000000008</v>
      </c>
      <c r="E21" s="21">
        <f>SUM(E13:E20)</f>
        <v>48729.197</v>
      </c>
      <c r="F21" s="21">
        <f>SUM(F13:F20)</f>
        <v>43565.079999999994</v>
      </c>
      <c r="G21" s="11"/>
    </row>
    <row r="22" spans="1:10" x14ac:dyDescent="0.2">
      <c r="A22" s="12" t="s">
        <v>25</v>
      </c>
      <c r="B22" s="13">
        <v>119.61</v>
      </c>
      <c r="C22" s="18">
        <v>106.7</v>
      </c>
      <c r="D22" s="18">
        <v>96.54</v>
      </c>
      <c r="E22" s="18">
        <v>99.6</v>
      </c>
      <c r="F22" s="18">
        <v>72.989999999999995</v>
      </c>
      <c r="G22" s="13"/>
      <c r="H22" s="31"/>
    </row>
    <row r="23" spans="1:10" x14ac:dyDescent="0.2">
      <c r="A23" s="6"/>
      <c r="F23" s="21"/>
    </row>
    <row r="24" spans="1:10" x14ac:dyDescent="0.2">
      <c r="A24" s="9" t="s">
        <v>26</v>
      </c>
      <c r="B24" s="10"/>
      <c r="C24" s="10"/>
      <c r="D24" s="10"/>
      <c r="E24" s="10"/>
      <c r="F24" s="10"/>
      <c r="G24" s="10"/>
      <c r="H24" s="34"/>
    </row>
    <row r="25" spans="1:10" x14ac:dyDescent="0.2">
      <c r="A25" s="6" t="s">
        <v>27</v>
      </c>
      <c r="B25" s="20">
        <v>376.8</v>
      </c>
      <c r="C25" s="20">
        <v>412</v>
      </c>
      <c r="D25" s="20">
        <v>616</v>
      </c>
      <c r="E25" s="20">
        <v>327.7</v>
      </c>
      <c r="F25" s="20">
        <v>883.59</v>
      </c>
      <c r="G25" s="11"/>
    </row>
    <row r="26" spans="1:10" x14ac:dyDescent="0.2">
      <c r="A26" s="6" t="s">
        <v>28</v>
      </c>
      <c r="B26" s="21">
        <v>0</v>
      </c>
      <c r="C26" s="21">
        <v>0</v>
      </c>
      <c r="D26" s="21">
        <v>14636</v>
      </c>
      <c r="E26" s="20">
        <v>0</v>
      </c>
      <c r="F26" s="21">
        <v>10957.2</v>
      </c>
      <c r="G26" s="11"/>
    </row>
    <row r="27" spans="1:10" x14ac:dyDescent="0.2">
      <c r="A27" s="12" t="s">
        <v>29</v>
      </c>
      <c r="B27" s="22">
        <v>36068463</v>
      </c>
      <c r="C27" s="22">
        <v>35672387</v>
      </c>
      <c r="D27" s="22">
        <v>49304159</v>
      </c>
      <c r="E27" s="22">
        <v>48925130</v>
      </c>
      <c r="F27" s="22">
        <v>59689299</v>
      </c>
      <c r="G27" s="13"/>
      <c r="H27" s="31"/>
    </row>
    <row r="28" spans="1:10" x14ac:dyDescent="0.2">
      <c r="A28" s="6"/>
    </row>
    <row r="29" spans="1:10" s="3" customFormat="1" x14ac:dyDescent="0.2">
      <c r="A29" s="7" t="s">
        <v>30</v>
      </c>
      <c r="B29" s="35"/>
      <c r="C29" s="36">
        <f t="shared" ref="C29:F29" si="3">(C22+C8+C9)/B22-1</f>
        <v>1.7473455396705972E-2</v>
      </c>
      <c r="D29" s="36">
        <f t="shared" si="3"/>
        <v>5.4732895970009299E-2</v>
      </c>
      <c r="E29" s="36">
        <f t="shared" si="3"/>
        <v>8.3488709343277234E-2</v>
      </c>
      <c r="F29" s="36">
        <f t="shared" si="3"/>
        <v>-6.1244979919679032E-3</v>
      </c>
      <c r="G29" s="37"/>
      <c r="H29" s="35"/>
    </row>
    <row r="30" spans="1:10" x14ac:dyDescent="0.2">
      <c r="A30" s="7" t="s">
        <v>31</v>
      </c>
      <c r="B30" s="35"/>
      <c r="C30" s="36"/>
      <c r="D30" s="36"/>
      <c r="E30" s="36"/>
      <c r="F30" s="36"/>
      <c r="G30" s="37"/>
      <c r="H30" s="35">
        <f>((C29+1)*(D29+1)*(E29+1)*(F29+1))^(1/4)-1</f>
        <v>3.6825067769791886E-2</v>
      </c>
    </row>
    <row r="32" spans="1:10" x14ac:dyDescent="0.2">
      <c r="A32" s="10"/>
      <c r="B32" s="34">
        <v>2020</v>
      </c>
      <c r="C32" s="10"/>
      <c r="D32" s="10"/>
      <c r="E32" s="10"/>
      <c r="F32" s="10"/>
      <c r="G32" s="10"/>
      <c r="H32" s="34"/>
    </row>
    <row r="33" spans="1:8" x14ac:dyDescent="0.2">
      <c r="A33" s="11"/>
      <c r="B33" s="28"/>
    </row>
    <row r="34" spans="1:8" ht="34" x14ac:dyDescent="0.2">
      <c r="A34" s="11"/>
      <c r="B34" s="54" t="s">
        <v>32</v>
      </c>
      <c r="C34" s="53" t="s">
        <v>33</v>
      </c>
      <c r="D34" s="53" t="s">
        <v>34</v>
      </c>
    </row>
    <row r="35" spans="1:8" ht="34" x14ac:dyDescent="0.2">
      <c r="A35" s="11"/>
      <c r="B35" s="55" t="s">
        <v>35</v>
      </c>
      <c r="C35" s="52">
        <v>21993709</v>
      </c>
      <c r="D35" s="2">
        <f>C35/$C$41</f>
        <v>0.50482241770607161</v>
      </c>
      <c r="F35" s="51"/>
      <c r="G35" s="51"/>
    </row>
    <row r="36" spans="1:8" ht="17" x14ac:dyDescent="0.2">
      <c r="A36" s="11"/>
      <c r="B36" s="55" t="s">
        <v>59</v>
      </c>
      <c r="C36" s="52">
        <v>150699</v>
      </c>
      <c r="D36" s="2">
        <f>C36/$C$41</f>
        <v>3.4589997315090095E-3</v>
      </c>
    </row>
    <row r="37" spans="1:8" ht="34" x14ac:dyDescent="0.2">
      <c r="A37" s="11"/>
      <c r="B37" s="55" t="s">
        <v>36</v>
      </c>
      <c r="C37" s="52">
        <v>19419301</v>
      </c>
      <c r="D37" s="2">
        <f>C37/$C$41</f>
        <v>0.44573193548127488</v>
      </c>
    </row>
    <row r="38" spans="1:8" ht="34" x14ac:dyDescent="0.2">
      <c r="A38" s="11"/>
      <c r="B38" s="55" t="s">
        <v>37</v>
      </c>
      <c r="C38" s="52">
        <v>2386750</v>
      </c>
      <c r="D38" s="2">
        <f>C38/$C$41</f>
        <v>5.4783161196684312E-2</v>
      </c>
    </row>
    <row r="39" spans="1:8" x14ac:dyDescent="0.2">
      <c r="A39" s="11"/>
      <c r="B39" s="55"/>
      <c r="C39" s="52"/>
    </row>
    <row r="40" spans="1:8" x14ac:dyDescent="0.2">
      <c r="A40" s="11"/>
      <c r="B40" s="55"/>
      <c r="C40" s="52"/>
    </row>
    <row r="41" spans="1:8" ht="17" x14ac:dyDescent="0.2">
      <c r="A41" s="13"/>
      <c r="B41" s="56" t="s">
        <v>38</v>
      </c>
      <c r="C41" s="22">
        <f>F22*F27/100</f>
        <v>43567219.34009999</v>
      </c>
      <c r="D41" s="13"/>
      <c r="E41" s="13"/>
      <c r="F41" s="13"/>
      <c r="G41" s="13"/>
      <c r="H41" s="3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F92F-FB83-7144-9C91-3EE845C0B163}">
  <dimension ref="A1:J41"/>
  <sheetViews>
    <sheetView topLeftCell="A22" zoomScale="80" zoomScaleNormal="80" workbookViewId="0">
      <selection activeCell="F23" sqref="C23:F23"/>
    </sheetView>
  </sheetViews>
  <sheetFormatPr baseColWidth="10" defaultColWidth="11" defaultRowHeight="16" x14ac:dyDescent="0.2"/>
  <cols>
    <col min="1" max="1" width="44.5" style="5" customWidth="1"/>
    <col min="2" max="6" width="12.83203125" customWidth="1"/>
    <col min="8" max="8" width="11.6640625" style="28" bestFit="1" customWidth="1"/>
  </cols>
  <sheetData>
    <row r="1" spans="1:10" x14ac:dyDescent="0.2">
      <c r="A1" s="5" t="s">
        <v>0</v>
      </c>
      <c r="B1" s="1">
        <v>43830</v>
      </c>
    </row>
    <row r="2" spans="1:10" x14ac:dyDescent="0.2">
      <c r="A2" s="6" t="s">
        <v>63</v>
      </c>
    </row>
    <row r="3" spans="1:10" x14ac:dyDescent="0.2">
      <c r="B3" s="4">
        <f>C3-1</f>
        <v>2015</v>
      </c>
      <c r="C3" s="4">
        <f>D3-1</f>
        <v>2016</v>
      </c>
      <c r="D3" s="4">
        <f>E3-1</f>
        <v>2017</v>
      </c>
      <c r="E3" s="4">
        <f>F3-1</f>
        <v>2018</v>
      </c>
      <c r="F3" s="4">
        <v>2019</v>
      </c>
      <c r="G3" s="4"/>
      <c r="H3" s="29" t="s">
        <v>2</v>
      </c>
      <c r="I3" t="s">
        <v>3</v>
      </c>
      <c r="J3" t="s">
        <v>51</v>
      </c>
    </row>
    <row r="4" spans="1:10" x14ac:dyDescent="0.2">
      <c r="A4" s="9" t="s">
        <v>5</v>
      </c>
      <c r="B4" s="38">
        <v>3.302</v>
      </c>
      <c r="C4" s="38">
        <v>0.38108999999999998</v>
      </c>
      <c r="D4" s="38">
        <v>4.1424000000000003</v>
      </c>
      <c r="E4" s="38">
        <v>0.93059999999999998</v>
      </c>
      <c r="F4" s="38">
        <v>5.6749999999999998</v>
      </c>
      <c r="G4" s="10"/>
      <c r="H4" s="30">
        <f>SUM(B4:F4)</f>
        <v>14.431090000000001</v>
      </c>
    </row>
    <row r="5" spans="1:10" x14ac:dyDescent="0.2">
      <c r="A5" s="6" t="s">
        <v>6</v>
      </c>
      <c r="B5" s="14">
        <v>4.9816000000000003</v>
      </c>
      <c r="C5" s="14">
        <v>0.40349000000000002</v>
      </c>
      <c r="D5" s="14">
        <v>4.0179999999999998</v>
      </c>
      <c r="E5" s="14">
        <v>1.5049999999999999</v>
      </c>
      <c r="F5" s="39">
        <v>6.0570000000000004</v>
      </c>
      <c r="G5" s="11"/>
      <c r="H5" s="30">
        <f t="shared" ref="H5:H8" si="0">SUM(B5:F5)</f>
        <v>16.965089999999996</v>
      </c>
      <c r="J5" t="s">
        <v>7</v>
      </c>
    </row>
    <row r="6" spans="1:10" x14ac:dyDescent="0.2">
      <c r="A6" s="6" t="s">
        <v>8</v>
      </c>
      <c r="B6" s="39">
        <v>10.41</v>
      </c>
      <c r="C6" s="39">
        <v>0.83</v>
      </c>
      <c r="D6" s="39">
        <v>7.59</v>
      </c>
      <c r="E6" s="39">
        <v>2.2000000000000002</v>
      </c>
      <c r="F6" s="39">
        <v>8.9499999999999993</v>
      </c>
      <c r="G6" s="11"/>
      <c r="H6" s="30">
        <f t="shared" si="0"/>
        <v>29.979999999999997</v>
      </c>
    </row>
    <row r="7" spans="1:10" x14ac:dyDescent="0.2">
      <c r="A7" s="6" t="s">
        <v>9</v>
      </c>
      <c r="B7" s="39">
        <v>3.9636</v>
      </c>
      <c r="C7" s="39">
        <v>4.4115000000000002</v>
      </c>
      <c r="D7" s="39">
        <v>11.584</v>
      </c>
      <c r="E7" s="39">
        <v>2.1509999999999998</v>
      </c>
      <c r="F7" s="39">
        <v>12.846</v>
      </c>
      <c r="G7" s="11"/>
      <c r="H7" s="30">
        <f t="shared" si="0"/>
        <v>34.956099999999999</v>
      </c>
    </row>
    <row r="8" spans="1:10" x14ac:dyDescent="0.2">
      <c r="A8" s="6" t="s">
        <v>10</v>
      </c>
      <c r="B8" s="14">
        <v>11</v>
      </c>
      <c r="C8" s="14">
        <v>9</v>
      </c>
      <c r="D8" s="14">
        <v>21</v>
      </c>
      <c r="E8" s="14">
        <v>8</v>
      </c>
      <c r="F8" s="14">
        <v>19</v>
      </c>
      <c r="G8" s="11"/>
      <c r="H8" s="30">
        <f t="shared" si="0"/>
        <v>68</v>
      </c>
    </row>
    <row r="9" spans="1:10" x14ac:dyDescent="0.2">
      <c r="A9" s="6" t="s">
        <v>11</v>
      </c>
      <c r="B9" s="11"/>
      <c r="C9" s="11"/>
      <c r="D9" s="11"/>
      <c r="E9" s="11"/>
      <c r="F9" s="11"/>
      <c r="G9" s="11"/>
    </row>
    <row r="10" spans="1:10" x14ac:dyDescent="0.2">
      <c r="A10" s="6" t="s">
        <v>12</v>
      </c>
      <c r="B10" s="2">
        <f t="shared" ref="B10:F10" si="1">B4/B7</f>
        <v>0.83308103744071049</v>
      </c>
      <c r="C10" s="2">
        <f t="shared" si="1"/>
        <v>8.6385583134988092E-2</v>
      </c>
      <c r="D10" s="2">
        <f t="shared" si="1"/>
        <v>0.35759668508287296</v>
      </c>
      <c r="E10" s="2">
        <f t="shared" si="1"/>
        <v>0.43263598326359837</v>
      </c>
      <c r="F10" s="2">
        <f t="shared" si="1"/>
        <v>0.44177175774560173</v>
      </c>
      <c r="G10" s="11"/>
    </row>
    <row r="11" spans="1:10" x14ac:dyDescent="0.2">
      <c r="A11" s="12" t="s">
        <v>13</v>
      </c>
      <c r="B11" s="23">
        <f t="shared" ref="B11:F11" si="2">B5/B7</f>
        <v>1.2568372186900798</v>
      </c>
      <c r="C11" s="24">
        <f t="shared" si="2"/>
        <v>9.1463221126600935E-2</v>
      </c>
      <c r="D11" s="24">
        <f t="shared" si="2"/>
        <v>0.34685773480662985</v>
      </c>
      <c r="E11" s="24">
        <f t="shared" si="2"/>
        <v>0.69967456996745703</v>
      </c>
      <c r="F11" s="24">
        <f t="shared" si="2"/>
        <v>0.4715086408220458</v>
      </c>
      <c r="G11" s="13"/>
      <c r="H11" s="31"/>
    </row>
    <row r="12" spans="1:10" x14ac:dyDescent="0.2">
      <c r="A12" s="6"/>
    </row>
    <row r="13" spans="1:10" x14ac:dyDescent="0.2">
      <c r="A13" s="9" t="s">
        <v>14</v>
      </c>
      <c r="B13" s="19">
        <v>483.56</v>
      </c>
      <c r="C13" s="19">
        <v>490.4</v>
      </c>
      <c r="D13" s="19">
        <v>674.75</v>
      </c>
      <c r="E13" s="19">
        <v>682.8</v>
      </c>
      <c r="F13" s="19">
        <v>667.99</v>
      </c>
      <c r="G13" s="10"/>
      <c r="H13" s="40"/>
    </row>
    <row r="14" spans="1:10" x14ac:dyDescent="0.2">
      <c r="A14" s="6" t="s">
        <v>15</v>
      </c>
      <c r="B14" s="20">
        <v>12629.9</v>
      </c>
      <c r="C14" s="20">
        <v>13540.9</v>
      </c>
      <c r="D14" s="20">
        <v>29895.87</v>
      </c>
      <c r="E14" s="20">
        <v>31474.98</v>
      </c>
      <c r="F14" s="20">
        <v>0</v>
      </c>
      <c r="G14" s="11"/>
      <c r="H14" s="41"/>
    </row>
    <row r="15" spans="1:10" x14ac:dyDescent="0.2">
      <c r="A15" s="6" t="s">
        <v>16</v>
      </c>
      <c r="B15" s="20">
        <v>32622</v>
      </c>
      <c r="C15" s="20">
        <v>31646.3</v>
      </c>
      <c r="D15" s="20">
        <v>20029.79</v>
      </c>
      <c r="E15" s="20">
        <v>14784.5</v>
      </c>
      <c r="F15" s="20">
        <v>35514.89</v>
      </c>
      <c r="G15" s="11"/>
      <c r="H15" s="41"/>
    </row>
    <row r="16" spans="1:10" x14ac:dyDescent="0.2">
      <c r="A16" s="6" t="s">
        <v>17</v>
      </c>
      <c r="B16" s="21">
        <v>6.827</v>
      </c>
      <c r="C16" s="21">
        <v>9.34</v>
      </c>
      <c r="D16" s="21">
        <v>14.59</v>
      </c>
      <c r="E16" s="20">
        <v>26.257000000000001</v>
      </c>
      <c r="F16" s="20">
        <v>8.0559999999999992</v>
      </c>
      <c r="G16" s="11"/>
      <c r="H16" s="41"/>
    </row>
    <row r="17" spans="1:10" x14ac:dyDescent="0.2">
      <c r="A17" s="6" t="s">
        <v>18</v>
      </c>
      <c r="B17" s="21">
        <v>8422.4</v>
      </c>
      <c r="C17" s="21">
        <v>4702.5600000000004</v>
      </c>
      <c r="D17" s="21">
        <v>6346.24</v>
      </c>
      <c r="E17" s="20">
        <v>6815.7</v>
      </c>
      <c r="F17" s="20">
        <v>8935.6</v>
      </c>
      <c r="G17" s="11"/>
      <c r="H17" s="41"/>
      <c r="J17" t="s">
        <v>19</v>
      </c>
    </row>
    <row r="18" spans="1:10" x14ac:dyDescent="0.2">
      <c r="A18" s="6" t="s">
        <v>20</v>
      </c>
      <c r="B18" s="21"/>
      <c r="C18" s="21"/>
      <c r="D18" s="21"/>
      <c r="E18" s="20"/>
      <c r="F18" s="20"/>
      <c r="G18" s="11"/>
      <c r="H18" s="41"/>
      <c r="I18" t="s">
        <v>61</v>
      </c>
      <c r="J18" t="s">
        <v>21</v>
      </c>
    </row>
    <row r="19" spans="1:10" x14ac:dyDescent="0.2">
      <c r="A19" s="6" t="s">
        <v>62</v>
      </c>
      <c r="B19" s="21">
        <v>1545.36</v>
      </c>
      <c r="C19" s="21">
        <v>1152</v>
      </c>
      <c r="D19" s="21">
        <v>517.95000000000005</v>
      </c>
      <c r="E19" s="20">
        <v>1848.47</v>
      </c>
      <c r="F19" s="20">
        <v>3713.59</v>
      </c>
      <c r="G19" s="11"/>
      <c r="H19" s="41"/>
    </row>
    <row r="20" spans="1:10" x14ac:dyDescent="0.2">
      <c r="A20" s="6" t="s">
        <v>22</v>
      </c>
      <c r="B20" s="20">
        <v>1297.6400000000001</v>
      </c>
      <c r="C20" s="17">
        <v>1213.5999999999999</v>
      </c>
      <c r="D20" s="17">
        <v>932.46</v>
      </c>
      <c r="E20" s="17">
        <v>2263</v>
      </c>
      <c r="F20" s="17">
        <v>1195</v>
      </c>
      <c r="G20" s="11"/>
      <c r="H20" s="41"/>
    </row>
    <row r="21" spans="1:10" x14ac:dyDescent="0.2">
      <c r="A21" s="6" t="s">
        <v>24</v>
      </c>
      <c r="B21" s="21">
        <v>57007.78</v>
      </c>
      <c r="C21" s="21">
        <v>52775.16</v>
      </c>
      <c r="D21" s="21">
        <v>58411.64</v>
      </c>
      <c r="E21" s="21">
        <v>57895.8</v>
      </c>
      <c r="F21" s="21">
        <v>50035.3</v>
      </c>
      <c r="G21" s="11"/>
    </row>
    <row r="22" spans="1:10" x14ac:dyDescent="0.2">
      <c r="A22" s="12" t="s">
        <v>25</v>
      </c>
      <c r="B22" s="13">
        <v>117.89</v>
      </c>
      <c r="C22" s="18">
        <v>107.57</v>
      </c>
      <c r="D22" s="18">
        <v>86.57</v>
      </c>
      <c r="E22" s="18">
        <v>84.79</v>
      </c>
      <c r="F22" s="18">
        <v>74.900000000000006</v>
      </c>
      <c r="G22" s="13"/>
      <c r="H22" s="31"/>
    </row>
    <row r="23" spans="1:10" x14ac:dyDescent="0.2">
      <c r="A23" s="6"/>
      <c r="C23" s="21"/>
      <c r="D23" s="21"/>
      <c r="E23" s="21"/>
      <c r="F23" s="21"/>
    </row>
    <row r="24" spans="1:10" x14ac:dyDescent="0.2">
      <c r="A24" s="9" t="s">
        <v>26</v>
      </c>
      <c r="B24" s="10"/>
      <c r="C24" s="10"/>
      <c r="D24" s="10"/>
      <c r="E24" s="10"/>
      <c r="F24" s="10"/>
      <c r="G24" s="10"/>
      <c r="H24" s="34"/>
    </row>
    <row r="25" spans="1:10" x14ac:dyDescent="0.2">
      <c r="A25" s="6" t="s">
        <v>27</v>
      </c>
      <c r="B25" s="20">
        <v>168.7</v>
      </c>
      <c r="C25" s="20">
        <v>243.995</v>
      </c>
      <c r="D25" s="20">
        <v>408.125</v>
      </c>
      <c r="E25" s="20">
        <v>1066.7</v>
      </c>
      <c r="F25" s="20">
        <v>1134.8</v>
      </c>
      <c r="G25" s="11"/>
    </row>
    <row r="26" spans="1:10" x14ac:dyDescent="0.2">
      <c r="A26" s="6" t="s">
        <v>28</v>
      </c>
      <c r="B26" s="21">
        <v>5867.45</v>
      </c>
      <c r="C26" s="21">
        <v>0</v>
      </c>
      <c r="D26" s="21">
        <v>13630.6</v>
      </c>
      <c r="E26" s="20">
        <v>1042.5</v>
      </c>
      <c r="F26" s="21"/>
      <c r="G26" s="11"/>
    </row>
    <row r="27" spans="1:10" x14ac:dyDescent="0.2">
      <c r="A27" s="12" t="s">
        <v>29</v>
      </c>
      <c r="B27" s="22">
        <v>48356210</v>
      </c>
      <c r="C27" s="22">
        <v>49043033</v>
      </c>
      <c r="D27" s="22">
        <v>67475086</v>
      </c>
      <c r="E27" s="22">
        <v>68282994</v>
      </c>
      <c r="F27" s="22">
        <v>66799129</v>
      </c>
      <c r="G27" s="13"/>
      <c r="H27" s="31"/>
    </row>
    <row r="28" spans="1:10" x14ac:dyDescent="0.2">
      <c r="A28" s="6"/>
    </row>
    <row r="29" spans="1:10" s="3" customFormat="1" x14ac:dyDescent="0.2">
      <c r="A29" s="7" t="s">
        <v>30</v>
      </c>
      <c r="B29" s="35"/>
      <c r="C29" s="36">
        <f t="shared" ref="C29:F29" si="3">(C22+C8+C9)/B22-1</f>
        <v>-1.1196878446009029E-2</v>
      </c>
      <c r="D29" s="36">
        <f t="shared" si="3"/>
        <v>0</v>
      </c>
      <c r="E29" s="36">
        <f t="shared" si="3"/>
        <v>7.1849370451657846E-2</v>
      </c>
      <c r="F29" s="36">
        <f t="shared" si="3"/>
        <v>0.10744191532020286</v>
      </c>
      <c r="G29" s="37"/>
      <c r="H29" s="35"/>
    </row>
    <row r="30" spans="1:10" x14ac:dyDescent="0.2">
      <c r="A30" s="7" t="s">
        <v>31</v>
      </c>
      <c r="B30" s="35"/>
      <c r="C30" s="36"/>
      <c r="D30" s="36"/>
      <c r="E30" s="36"/>
      <c r="F30" s="36"/>
      <c r="G30" s="37"/>
      <c r="H30" s="35">
        <f>((C29+1)*(D29+1)*(E29+1)*(F29+1))^(1/4)-1</f>
        <v>4.0857164074802776E-2</v>
      </c>
    </row>
    <row r="32" spans="1:10" x14ac:dyDescent="0.2">
      <c r="A32" s="10"/>
      <c r="B32" s="34">
        <v>2019</v>
      </c>
      <c r="C32" s="10"/>
      <c r="D32" s="10"/>
      <c r="E32" s="10"/>
      <c r="F32" s="10"/>
      <c r="G32" s="10"/>
      <c r="H32" s="34"/>
    </row>
    <row r="33" spans="1:8" x14ac:dyDescent="0.2">
      <c r="A33" s="11"/>
      <c r="B33" s="28"/>
    </row>
    <row r="34" spans="1:8" ht="34" x14ac:dyDescent="0.2">
      <c r="A34" s="11"/>
      <c r="B34" s="54" t="s">
        <v>32</v>
      </c>
      <c r="C34" s="53" t="s">
        <v>33</v>
      </c>
      <c r="D34" s="53" t="s">
        <v>34</v>
      </c>
    </row>
    <row r="35" spans="1:8" ht="34" x14ac:dyDescent="0.2">
      <c r="A35" s="11"/>
      <c r="B35" s="55" t="s">
        <v>35</v>
      </c>
      <c r="C35" s="52">
        <v>38538281</v>
      </c>
      <c r="D35" s="2">
        <f>C35/$C$41</f>
        <v>0.77026421464543704</v>
      </c>
      <c r="F35" s="51"/>
      <c r="G35" s="51"/>
    </row>
    <row r="36" spans="1:8" ht="17" x14ac:dyDescent="0.2">
      <c r="A36" s="11"/>
      <c r="B36" s="55" t="s">
        <v>59</v>
      </c>
      <c r="C36" s="52">
        <v>183175</v>
      </c>
      <c r="D36" s="2">
        <f>C36/$C$41</f>
        <v>3.6611167871674903E-3</v>
      </c>
    </row>
    <row r="37" spans="1:8" ht="34" x14ac:dyDescent="0.2">
      <c r="A37" s="11"/>
      <c r="B37" s="55" t="s">
        <v>36</v>
      </c>
      <c r="C37" s="52">
        <v>8928456</v>
      </c>
      <c r="D37" s="2">
        <f>C37/$C$41</f>
        <v>0.17845295561668514</v>
      </c>
    </row>
    <row r="38" spans="1:8" ht="34" x14ac:dyDescent="0.2">
      <c r="A38" s="11"/>
      <c r="B38" s="55" t="s">
        <v>37</v>
      </c>
      <c r="C38" s="52">
        <v>2627511</v>
      </c>
      <c r="D38" s="2">
        <f>C38/$C$41</f>
        <v>5.2516034560214218E-2</v>
      </c>
    </row>
    <row r="39" spans="1:8" x14ac:dyDescent="0.2">
      <c r="A39" s="11"/>
      <c r="B39" s="55"/>
      <c r="C39" s="52"/>
    </row>
    <row r="40" spans="1:8" x14ac:dyDescent="0.2">
      <c r="A40" s="11"/>
      <c r="B40" s="55"/>
      <c r="C40" s="52"/>
    </row>
    <row r="41" spans="1:8" ht="17" x14ac:dyDescent="0.2">
      <c r="A41" s="13"/>
      <c r="B41" s="56" t="s">
        <v>38</v>
      </c>
      <c r="C41" s="22">
        <f>F22*F27/100</f>
        <v>50032547.621000007</v>
      </c>
      <c r="D41" s="13"/>
      <c r="E41" s="13"/>
      <c r="F41" s="13"/>
      <c r="G41" s="13"/>
      <c r="H41" s="3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E219-14B5-334A-B0E0-740428239AFA}">
  <dimension ref="A1:J41"/>
  <sheetViews>
    <sheetView topLeftCell="A22" zoomScale="80" zoomScaleNormal="80" workbookViewId="0">
      <selection activeCell="B23" sqref="B23:F23"/>
    </sheetView>
  </sheetViews>
  <sheetFormatPr baseColWidth="10" defaultColWidth="11" defaultRowHeight="16" x14ac:dyDescent="0.2"/>
  <cols>
    <col min="1" max="1" width="44.5" style="5" customWidth="1"/>
    <col min="2" max="6" width="12.83203125" customWidth="1"/>
    <col min="8" max="8" width="11.6640625" style="28" bestFit="1" customWidth="1"/>
  </cols>
  <sheetData>
    <row r="1" spans="1:10" x14ac:dyDescent="0.2">
      <c r="A1" s="5" t="s">
        <v>0</v>
      </c>
      <c r="B1" s="1">
        <v>43830</v>
      </c>
    </row>
    <row r="2" spans="1:10" x14ac:dyDescent="0.2">
      <c r="A2" s="6" t="s">
        <v>64</v>
      </c>
    </row>
    <row r="3" spans="1:10" x14ac:dyDescent="0.2">
      <c r="B3" s="4">
        <f>C3-1</f>
        <v>2015</v>
      </c>
      <c r="C3" s="4">
        <f>D3-1</f>
        <v>2016</v>
      </c>
      <c r="D3" s="4">
        <f>E3-1</f>
        <v>2017</v>
      </c>
      <c r="E3" s="4">
        <f>F3-1</f>
        <v>2018</v>
      </c>
      <c r="F3" s="4">
        <v>2019</v>
      </c>
      <c r="G3" s="4"/>
      <c r="H3" s="29" t="s">
        <v>2</v>
      </c>
      <c r="I3" t="s">
        <v>3</v>
      </c>
      <c r="J3" t="s">
        <v>51</v>
      </c>
    </row>
    <row r="4" spans="1:10" x14ac:dyDescent="0.2">
      <c r="A4" s="9" t="s">
        <v>5</v>
      </c>
      <c r="B4" s="38">
        <v>4.5380000000000003</v>
      </c>
      <c r="C4" s="38">
        <v>0.628</v>
      </c>
      <c r="D4" s="38">
        <v>5.2480000000000002</v>
      </c>
      <c r="E4" s="38">
        <v>2.6669999999999998</v>
      </c>
      <c r="F4" s="38">
        <v>9.1440000000000001</v>
      </c>
      <c r="G4" s="10"/>
      <c r="H4" s="30">
        <f>SUM(B4:F4)</f>
        <v>22.225000000000001</v>
      </c>
    </row>
    <row r="5" spans="1:10" x14ac:dyDescent="0.2">
      <c r="A5" s="6" t="s">
        <v>6</v>
      </c>
      <c r="B5" s="14">
        <v>6.7679999999999998</v>
      </c>
      <c r="C5" s="14">
        <v>1.089</v>
      </c>
      <c r="D5" s="14">
        <v>5.8310000000000004</v>
      </c>
      <c r="E5" s="14">
        <v>3.8279999999999998</v>
      </c>
      <c r="F5" s="39">
        <v>0.9</v>
      </c>
      <c r="G5" s="11"/>
      <c r="H5" s="30">
        <f t="shared" ref="H5:H8" si="0">SUM(B5:F5)</f>
        <v>18.415999999999997</v>
      </c>
      <c r="J5" t="s">
        <v>7</v>
      </c>
    </row>
    <row r="6" spans="1:10" x14ac:dyDescent="0.2">
      <c r="A6" s="6" t="s">
        <v>8</v>
      </c>
      <c r="B6" s="39">
        <v>9.14</v>
      </c>
      <c r="C6" s="39">
        <v>1.44</v>
      </c>
      <c r="D6" s="39">
        <v>7.34</v>
      </c>
      <c r="E6" s="39">
        <v>3.6</v>
      </c>
      <c r="F6" s="39">
        <v>9.36</v>
      </c>
      <c r="G6" s="11"/>
      <c r="H6" s="30">
        <f t="shared" si="0"/>
        <v>30.880000000000003</v>
      </c>
    </row>
    <row r="7" spans="1:10" x14ac:dyDescent="0.2">
      <c r="A7" s="6" t="s">
        <v>9</v>
      </c>
      <c r="B7" s="39">
        <v>7.5990000000000002</v>
      </c>
      <c r="C7" s="39">
        <v>11.727</v>
      </c>
      <c r="D7" s="39">
        <v>15.231</v>
      </c>
      <c r="E7" s="39">
        <v>11.622</v>
      </c>
      <c r="F7" s="39">
        <v>5.4089999999999998</v>
      </c>
      <c r="G7" s="11"/>
      <c r="H7" s="30">
        <f t="shared" si="0"/>
        <v>51.588000000000001</v>
      </c>
    </row>
    <row r="8" spans="1:10" x14ac:dyDescent="0.2">
      <c r="A8" s="6" t="s">
        <v>10</v>
      </c>
      <c r="B8" s="14">
        <v>10</v>
      </c>
      <c r="C8" s="14">
        <v>14.5</v>
      </c>
      <c r="D8" s="14">
        <v>16</v>
      </c>
      <c r="E8" s="14">
        <v>7</v>
      </c>
      <c r="F8" s="14">
        <v>10</v>
      </c>
      <c r="G8" s="11"/>
      <c r="H8" s="30">
        <f t="shared" si="0"/>
        <v>57.5</v>
      </c>
    </row>
    <row r="9" spans="1:10" x14ac:dyDescent="0.2">
      <c r="A9" s="6" t="s">
        <v>11</v>
      </c>
      <c r="B9" s="11"/>
      <c r="C9" s="11"/>
      <c r="D9" s="11"/>
      <c r="E9" s="11"/>
      <c r="F9" s="11"/>
      <c r="G9" s="11"/>
    </row>
    <row r="10" spans="1:10" x14ac:dyDescent="0.2">
      <c r="A10" s="6" t="s">
        <v>12</v>
      </c>
      <c r="B10" s="2">
        <f t="shared" ref="B10:F10" si="1">B4/B7</f>
        <v>0.59718383997894464</v>
      </c>
      <c r="C10" s="2">
        <f t="shared" si="1"/>
        <v>5.3551632983712801E-2</v>
      </c>
      <c r="D10" s="2">
        <f t="shared" si="1"/>
        <v>0.34456043595299063</v>
      </c>
      <c r="E10" s="2">
        <f t="shared" si="1"/>
        <v>0.22947857511615899</v>
      </c>
      <c r="F10" s="2">
        <f t="shared" si="1"/>
        <v>1.6905158069883528</v>
      </c>
      <c r="G10" s="11"/>
    </row>
    <row r="11" spans="1:10" x14ac:dyDescent="0.2">
      <c r="A11" s="12" t="s">
        <v>13</v>
      </c>
      <c r="B11" s="23">
        <f t="shared" ref="B11:F11" si="2">B5/B7</f>
        <v>0.8906435057244374</v>
      </c>
      <c r="C11" s="24">
        <f t="shared" si="2"/>
        <v>9.2862624712202607E-2</v>
      </c>
      <c r="D11" s="24">
        <f t="shared" si="2"/>
        <v>0.38283763377322566</v>
      </c>
      <c r="E11" s="24">
        <f t="shared" si="2"/>
        <v>0.32937532266391328</v>
      </c>
      <c r="F11" s="24">
        <f t="shared" si="2"/>
        <v>0.1663893510815308</v>
      </c>
      <c r="G11" s="13"/>
      <c r="H11" s="31"/>
    </row>
    <row r="12" spans="1:10" x14ac:dyDescent="0.2">
      <c r="A12" s="6"/>
    </row>
    <row r="13" spans="1:10" x14ac:dyDescent="0.2">
      <c r="A13" s="9" t="s">
        <v>14</v>
      </c>
      <c r="B13" s="19">
        <v>759.7</v>
      </c>
      <c r="C13" s="19">
        <v>755.9</v>
      </c>
      <c r="D13" s="19">
        <v>974.3</v>
      </c>
      <c r="E13" s="19">
        <v>1068.7</v>
      </c>
      <c r="F13" s="19">
        <v>1045.3</v>
      </c>
      <c r="G13" s="10"/>
      <c r="H13" s="40"/>
    </row>
    <row r="14" spans="1:10" x14ac:dyDescent="0.2">
      <c r="A14" s="6" t="s">
        <v>15</v>
      </c>
      <c r="B14" s="20">
        <v>19463.8</v>
      </c>
      <c r="C14" s="20">
        <v>19463.8</v>
      </c>
      <c r="D14" s="20">
        <v>35856.400000000001</v>
      </c>
      <c r="E14" s="20">
        <v>43644.7</v>
      </c>
      <c r="F14" s="20">
        <v>0</v>
      </c>
      <c r="G14" s="11"/>
      <c r="H14" s="41"/>
    </row>
    <row r="15" spans="1:10" x14ac:dyDescent="0.2">
      <c r="A15" s="6" t="s">
        <v>16</v>
      </c>
      <c r="B15" s="20">
        <v>40625.800000000003</v>
      </c>
      <c r="C15" s="20">
        <v>35605.300000000003</v>
      </c>
      <c r="D15" s="20">
        <v>19058.099999999999</v>
      </c>
      <c r="E15" s="20">
        <v>12681.6</v>
      </c>
      <c r="F15" s="20">
        <v>45731.9</v>
      </c>
      <c r="G15" s="11"/>
      <c r="H15" s="41"/>
    </row>
    <row r="16" spans="1:10" x14ac:dyDescent="0.2">
      <c r="A16" s="6" t="s">
        <v>17</v>
      </c>
      <c r="B16" s="21">
        <v>5.7</v>
      </c>
      <c r="C16" s="21">
        <v>9.44</v>
      </c>
      <c r="D16" s="21">
        <v>15</v>
      </c>
      <c r="E16" s="20">
        <v>32.191000000000003</v>
      </c>
      <c r="F16" s="20">
        <v>11.3</v>
      </c>
      <c r="G16" s="11"/>
      <c r="H16" s="41"/>
    </row>
    <row r="17" spans="1:10" x14ac:dyDescent="0.2">
      <c r="A17" s="6" t="s">
        <v>18</v>
      </c>
      <c r="B17" s="21">
        <v>7716</v>
      </c>
      <c r="C17" s="21">
        <v>2733.8</v>
      </c>
      <c r="D17" s="21">
        <v>8147.4</v>
      </c>
      <c r="E17" s="20">
        <v>8818.5</v>
      </c>
      <c r="F17" s="20">
        <v>14528.7</v>
      </c>
      <c r="G17" s="11"/>
      <c r="H17" s="41"/>
      <c r="J17" t="s">
        <v>19</v>
      </c>
    </row>
    <row r="18" spans="1:10" x14ac:dyDescent="0.2">
      <c r="A18" s="6" t="s">
        <v>20</v>
      </c>
      <c r="B18" s="21"/>
      <c r="C18" s="21"/>
      <c r="D18" s="21"/>
      <c r="E18" s="20"/>
      <c r="F18" s="20"/>
      <c r="G18" s="11"/>
      <c r="H18" s="41"/>
      <c r="I18" t="s">
        <v>61</v>
      </c>
      <c r="J18" t="s">
        <v>21</v>
      </c>
    </row>
    <row r="19" spans="1:10" x14ac:dyDescent="0.2">
      <c r="A19" s="6" t="s">
        <v>62</v>
      </c>
      <c r="B19" s="21">
        <v>3785</v>
      </c>
      <c r="C19" s="21">
        <v>3523.2</v>
      </c>
      <c r="D19" s="21">
        <v>2786.8</v>
      </c>
      <c r="E19" s="20">
        <v>5285.6</v>
      </c>
      <c r="F19" s="20">
        <v>8719.6</v>
      </c>
      <c r="G19" s="11"/>
      <c r="H19" s="41"/>
    </row>
    <row r="20" spans="1:10" x14ac:dyDescent="0.2">
      <c r="A20" s="6" t="s">
        <v>22</v>
      </c>
      <c r="B20" s="20">
        <v>1749.7</v>
      </c>
      <c r="C20" s="17">
        <v>1057.98</v>
      </c>
      <c r="D20" s="17">
        <v>3061.8</v>
      </c>
      <c r="E20" s="17">
        <v>3546.7</v>
      </c>
      <c r="F20" s="17">
        <v>1851.5</v>
      </c>
      <c r="G20" s="11"/>
      <c r="H20" s="41"/>
    </row>
    <row r="21" spans="1:10" x14ac:dyDescent="0.2">
      <c r="A21" s="6" t="s">
        <v>24</v>
      </c>
      <c r="B21" s="21">
        <v>74105.899999999994</v>
      </c>
      <c r="C21" s="21">
        <v>63149.599999999999</v>
      </c>
      <c r="D21" s="21">
        <v>69899.8</v>
      </c>
      <c r="E21" s="21">
        <v>75077.98</v>
      </c>
      <c r="F21" s="21">
        <v>71888.399999999994</v>
      </c>
      <c r="G21" s="11"/>
    </row>
    <row r="22" spans="1:10" x14ac:dyDescent="0.2">
      <c r="A22" s="12" t="s">
        <v>25</v>
      </c>
      <c r="B22" s="13">
        <v>97.54</v>
      </c>
      <c r="C22" s="18">
        <v>83.53</v>
      </c>
      <c r="D22" s="18">
        <v>71.75</v>
      </c>
      <c r="E22" s="18">
        <v>70.25</v>
      </c>
      <c r="F22" s="18">
        <v>68.78</v>
      </c>
      <c r="G22" s="13"/>
      <c r="H22" s="31"/>
    </row>
    <row r="23" spans="1:10" x14ac:dyDescent="0.2">
      <c r="A23" s="6"/>
      <c r="B23" s="51"/>
      <c r="C23" s="51"/>
      <c r="D23" s="51"/>
      <c r="E23" s="51"/>
      <c r="F23" s="51"/>
    </row>
    <row r="24" spans="1:10" x14ac:dyDescent="0.2">
      <c r="A24" s="9" t="s">
        <v>26</v>
      </c>
      <c r="B24" s="10"/>
      <c r="C24" s="10"/>
      <c r="D24" s="10"/>
      <c r="E24" s="10"/>
      <c r="F24" s="10"/>
      <c r="G24" s="10"/>
      <c r="H24" s="34"/>
    </row>
    <row r="25" spans="1:10" x14ac:dyDescent="0.2">
      <c r="A25" s="6" t="s">
        <v>27</v>
      </c>
      <c r="B25" s="20">
        <v>47.7</v>
      </c>
      <c r="C25" s="20">
        <v>318.3</v>
      </c>
      <c r="D25" s="20">
        <v>327.8</v>
      </c>
      <c r="E25" s="20">
        <v>982.45</v>
      </c>
      <c r="F25" s="20">
        <v>1615.37</v>
      </c>
      <c r="G25" s="11"/>
    </row>
    <row r="26" spans="1:10" x14ac:dyDescent="0.2">
      <c r="A26" s="6" t="s">
        <v>28</v>
      </c>
      <c r="B26" s="21">
        <v>14553.4</v>
      </c>
      <c r="C26" s="21">
        <v>0</v>
      </c>
      <c r="D26" s="21">
        <v>16524.900000000001</v>
      </c>
      <c r="E26" s="20">
        <v>8104.5</v>
      </c>
      <c r="F26" s="21">
        <v>25</v>
      </c>
      <c r="G26" s="11"/>
    </row>
    <row r="27" spans="1:10" x14ac:dyDescent="0.2">
      <c r="A27" s="12" t="s">
        <v>29</v>
      </c>
      <c r="B27" s="22">
        <v>75972951</v>
      </c>
      <c r="C27" s="22">
        <v>75597471</v>
      </c>
      <c r="D27" s="22">
        <v>97425719</v>
      </c>
      <c r="E27" s="22">
        <v>106865868</v>
      </c>
      <c r="F27" s="22">
        <v>104526507</v>
      </c>
      <c r="G27" s="13"/>
      <c r="H27" s="31"/>
    </row>
    <row r="28" spans="1:10" x14ac:dyDescent="0.2">
      <c r="A28" s="6"/>
    </row>
    <row r="29" spans="1:10" s="3" customFormat="1" x14ac:dyDescent="0.2">
      <c r="A29" s="7" t="s">
        <v>30</v>
      </c>
      <c r="B29" s="35"/>
      <c r="C29" s="36">
        <f t="shared" ref="C29:F29" si="3">(C22+C8+C9)/B22-1</f>
        <v>5.023580069714928E-3</v>
      </c>
      <c r="D29" s="36">
        <f t="shared" si="3"/>
        <v>5.0520770980486018E-2</v>
      </c>
      <c r="E29" s="36">
        <f t="shared" si="3"/>
        <v>7.6655052264808399E-2</v>
      </c>
      <c r="F29" s="36">
        <f t="shared" si="3"/>
        <v>0.12142348754448395</v>
      </c>
      <c r="G29" s="37"/>
      <c r="H29" s="35"/>
    </row>
    <row r="30" spans="1:10" x14ac:dyDescent="0.2">
      <c r="A30" s="7" t="s">
        <v>31</v>
      </c>
      <c r="B30" s="35"/>
      <c r="C30" s="36"/>
      <c r="D30" s="36"/>
      <c r="E30" s="36"/>
      <c r="F30" s="36"/>
      <c r="G30" s="37"/>
      <c r="H30" s="35">
        <f>((C29+1)*(D29+1)*(E29+1)*(F29+1))^(1/4)-1</f>
        <v>6.2568119263390454E-2</v>
      </c>
    </row>
    <row r="32" spans="1:10" x14ac:dyDescent="0.2">
      <c r="A32" s="10"/>
      <c r="B32" s="34">
        <v>2019</v>
      </c>
      <c r="C32" s="10"/>
      <c r="D32" s="10"/>
      <c r="E32" s="10"/>
      <c r="F32" s="10"/>
      <c r="G32" s="10"/>
      <c r="H32" s="34"/>
    </row>
    <row r="33" spans="1:8" x14ac:dyDescent="0.2">
      <c r="A33" s="11"/>
      <c r="B33" s="28"/>
    </row>
    <row r="34" spans="1:8" ht="34" x14ac:dyDescent="0.2">
      <c r="A34" s="11"/>
      <c r="B34" s="54" t="s">
        <v>32</v>
      </c>
      <c r="C34" s="53" t="s">
        <v>33</v>
      </c>
      <c r="D34" s="53" t="s">
        <v>34</v>
      </c>
    </row>
    <row r="35" spans="1:8" ht="34" x14ac:dyDescent="0.2">
      <c r="A35" s="11"/>
      <c r="B35" s="55" t="s">
        <v>35</v>
      </c>
      <c r="C35" s="52">
        <v>51703161</v>
      </c>
      <c r="D35" s="2">
        <f>C35/$C$41</f>
        <v>0.71916490598992755</v>
      </c>
      <c r="F35" s="51"/>
      <c r="G35" s="51"/>
    </row>
    <row r="36" spans="1:8" ht="17" x14ac:dyDescent="0.2">
      <c r="A36" s="11"/>
      <c r="B36" s="55" t="s">
        <v>59</v>
      </c>
      <c r="C36" s="52">
        <v>225562</v>
      </c>
      <c r="D36" s="2">
        <f>C36/$C$41</f>
        <v>3.1374537143850846E-3</v>
      </c>
    </row>
    <row r="37" spans="1:8" ht="34" x14ac:dyDescent="0.2">
      <c r="A37" s="11"/>
      <c r="B37" s="55" t="s">
        <v>36</v>
      </c>
      <c r="C37" s="52">
        <v>12914124</v>
      </c>
      <c r="D37" s="2">
        <f>C37/$C$41</f>
        <v>0.17962895484092872</v>
      </c>
    </row>
    <row r="38" spans="1:8" ht="34" x14ac:dyDescent="0.2">
      <c r="A38" s="11"/>
      <c r="B38" s="55" t="s">
        <v>37</v>
      </c>
      <c r="C38" s="52">
        <v>7261618</v>
      </c>
      <c r="D38" s="2">
        <f>C38/$C$41</f>
        <v>0.10100544580445991</v>
      </c>
    </row>
    <row r="39" spans="1:8" x14ac:dyDescent="0.2">
      <c r="A39" s="11"/>
      <c r="B39" s="55"/>
      <c r="C39" s="52"/>
    </row>
    <row r="40" spans="1:8" x14ac:dyDescent="0.2">
      <c r="A40" s="11"/>
      <c r="B40" s="55"/>
      <c r="C40" s="52"/>
    </row>
    <row r="41" spans="1:8" ht="17" x14ac:dyDescent="0.2">
      <c r="A41" s="13"/>
      <c r="B41" s="56" t="s">
        <v>38</v>
      </c>
      <c r="C41" s="22">
        <f>F22*F27/100</f>
        <v>71893331.514599994</v>
      </c>
      <c r="D41" s="13"/>
      <c r="E41" s="13"/>
      <c r="F41" s="13"/>
      <c r="G41" s="13"/>
      <c r="H41" s="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B380-AFBD-F748-BE16-0660DB232C85}">
  <dimension ref="A1:J42"/>
  <sheetViews>
    <sheetView zoomScale="80" zoomScaleNormal="80" workbookViewId="0">
      <selection activeCell="E26" sqref="E26"/>
    </sheetView>
  </sheetViews>
  <sheetFormatPr baseColWidth="10" defaultColWidth="11" defaultRowHeight="16" x14ac:dyDescent="0.2"/>
  <cols>
    <col min="1" max="1" width="44.5" style="5" customWidth="1"/>
    <col min="2" max="7" width="14.33203125" customWidth="1"/>
    <col min="8" max="8" width="11.6640625" style="28" bestFit="1" customWidth="1"/>
  </cols>
  <sheetData>
    <row r="1" spans="1:10" x14ac:dyDescent="0.2">
      <c r="A1" s="5" t="s">
        <v>0</v>
      </c>
      <c r="B1" s="1">
        <v>43921</v>
      </c>
    </row>
    <row r="2" spans="1:10" x14ac:dyDescent="0.2">
      <c r="A2" s="6" t="s">
        <v>65</v>
      </c>
    </row>
    <row r="3" spans="1:10" x14ac:dyDescent="0.2">
      <c r="B3" s="4">
        <f>C3-1</f>
        <v>2016</v>
      </c>
      <c r="C3" s="4">
        <f>D3-1</f>
        <v>2017</v>
      </c>
      <c r="D3" s="4">
        <f>E3-1</f>
        <v>2018</v>
      </c>
      <c r="E3" s="4">
        <f>F3-1</f>
        <v>2019</v>
      </c>
      <c r="F3" s="4">
        <v>2020</v>
      </c>
      <c r="G3" s="4"/>
      <c r="H3" s="29" t="s">
        <v>2</v>
      </c>
      <c r="I3" t="s">
        <v>3</v>
      </c>
      <c r="J3" t="s">
        <v>51</v>
      </c>
    </row>
    <row r="4" spans="1:10" x14ac:dyDescent="0.2">
      <c r="A4" s="9" t="s">
        <v>5</v>
      </c>
      <c r="B4" s="45"/>
      <c r="C4" s="45"/>
      <c r="D4" s="45"/>
      <c r="E4" s="45"/>
      <c r="F4" s="45"/>
      <c r="G4" s="10"/>
      <c r="H4" s="30">
        <f>SUM(B4:F4)</f>
        <v>0</v>
      </c>
      <c r="I4" t="s">
        <v>66</v>
      </c>
    </row>
    <row r="5" spans="1:10" x14ac:dyDescent="0.2">
      <c r="A5" s="6" t="s">
        <v>6</v>
      </c>
      <c r="B5" s="46">
        <v>2.0550000000000002</v>
      </c>
      <c r="C5" s="46">
        <v>0.83799999999999997</v>
      </c>
      <c r="D5" s="46">
        <v>4.0579999999999998</v>
      </c>
      <c r="E5" s="46">
        <v>5.8259999999999996</v>
      </c>
      <c r="F5" s="47">
        <v>-3.8679999999999999</v>
      </c>
      <c r="G5" s="11"/>
      <c r="H5" s="30">
        <f t="shared" ref="H5:H8" si="0">SUM(B5:F5)</f>
        <v>8.9090000000000007</v>
      </c>
      <c r="J5" t="s">
        <v>7</v>
      </c>
    </row>
    <row r="6" spans="1:10" x14ac:dyDescent="0.2">
      <c r="A6" s="6" t="s">
        <v>8</v>
      </c>
      <c r="B6" s="47">
        <v>7.89</v>
      </c>
      <c r="C6" s="47">
        <v>5.21</v>
      </c>
      <c r="D6" s="47">
        <v>12.58</v>
      </c>
      <c r="E6" s="47">
        <v>17.239999999999998</v>
      </c>
      <c r="F6" s="47">
        <v>-20.6</v>
      </c>
      <c r="G6" s="11"/>
      <c r="H6" s="30">
        <f t="shared" si="0"/>
        <v>22.32</v>
      </c>
    </row>
    <row r="7" spans="1:10" x14ac:dyDescent="0.2">
      <c r="A7" s="6" t="s">
        <v>9</v>
      </c>
      <c r="B7" s="47">
        <v>0.10879999999999999</v>
      </c>
      <c r="C7" s="47">
        <v>0.61099999999999999</v>
      </c>
      <c r="D7" s="47">
        <v>0.54200000000000004</v>
      </c>
      <c r="E7" s="47">
        <v>0.54200000000000004</v>
      </c>
      <c r="F7" s="47">
        <v>0.54200000000000004</v>
      </c>
      <c r="G7" s="11"/>
      <c r="H7" s="30">
        <f t="shared" si="0"/>
        <v>2.3458000000000001</v>
      </c>
    </row>
    <row r="8" spans="1:10" x14ac:dyDescent="0.2">
      <c r="A8" s="6" t="s">
        <v>10</v>
      </c>
      <c r="B8" s="46">
        <v>0.6</v>
      </c>
      <c r="C8" s="46">
        <v>2</v>
      </c>
      <c r="D8" s="46">
        <v>3</v>
      </c>
      <c r="E8" s="46">
        <v>3</v>
      </c>
      <c r="F8" s="46">
        <v>3</v>
      </c>
      <c r="G8" s="11"/>
      <c r="H8" s="30">
        <f t="shared" si="0"/>
        <v>11.6</v>
      </c>
    </row>
    <row r="9" spans="1:10" x14ac:dyDescent="0.2">
      <c r="A9" s="6" t="s">
        <v>11</v>
      </c>
      <c r="B9" s="11"/>
      <c r="C9" s="11"/>
      <c r="D9" s="11"/>
      <c r="E9" s="11"/>
      <c r="F9" s="11"/>
      <c r="G9" s="11"/>
    </row>
    <row r="10" spans="1:10" x14ac:dyDescent="0.2">
      <c r="A10" s="6" t="s">
        <v>12</v>
      </c>
      <c r="B10" s="2">
        <f t="shared" ref="B10:F10" si="1">B4/B7</f>
        <v>0</v>
      </c>
      <c r="C10" s="2">
        <f t="shared" si="1"/>
        <v>0</v>
      </c>
      <c r="D10" s="2">
        <f t="shared" si="1"/>
        <v>0</v>
      </c>
      <c r="E10" s="2">
        <f t="shared" si="1"/>
        <v>0</v>
      </c>
      <c r="F10" s="2">
        <f t="shared" si="1"/>
        <v>0</v>
      </c>
      <c r="G10" s="11"/>
    </row>
    <row r="11" spans="1:10" x14ac:dyDescent="0.2">
      <c r="A11" s="12" t="s">
        <v>13</v>
      </c>
      <c r="B11" s="23">
        <f t="shared" ref="B11:F11" si="2">B5/B7</f>
        <v>18.887867647058826</v>
      </c>
      <c r="C11" s="24">
        <f t="shared" si="2"/>
        <v>1.3715220949263502</v>
      </c>
      <c r="D11" s="24">
        <f t="shared" si="2"/>
        <v>7.4870848708487072</v>
      </c>
      <c r="E11" s="24">
        <f t="shared" si="2"/>
        <v>10.749077490774907</v>
      </c>
      <c r="F11" s="24">
        <f t="shared" si="2"/>
        <v>-7.1365313653136528</v>
      </c>
      <c r="G11" s="13"/>
      <c r="H11" s="31"/>
    </row>
    <row r="12" spans="1:10" x14ac:dyDescent="0.2">
      <c r="A12" s="6"/>
    </row>
    <row r="13" spans="1:10" x14ac:dyDescent="0.2">
      <c r="A13" s="9" t="s">
        <v>14</v>
      </c>
      <c r="B13" s="19">
        <v>262.10000000000002</v>
      </c>
      <c r="C13" s="19">
        <v>181</v>
      </c>
      <c r="D13" s="19">
        <v>180.95</v>
      </c>
      <c r="E13" s="19">
        <v>180.9</v>
      </c>
      <c r="F13" s="19">
        <v>181</v>
      </c>
      <c r="G13" s="10"/>
      <c r="H13" s="40"/>
    </row>
    <row r="14" spans="1:10" x14ac:dyDescent="0.2">
      <c r="A14" s="6" t="s">
        <v>15</v>
      </c>
      <c r="B14" s="20">
        <v>9452.4</v>
      </c>
      <c r="C14" s="20">
        <v>1600.9</v>
      </c>
      <c r="D14" s="20">
        <v>1603.9</v>
      </c>
      <c r="E14" s="20">
        <v>1607</v>
      </c>
      <c r="F14" s="20">
        <v>1610.2</v>
      </c>
      <c r="G14" s="11"/>
      <c r="H14" s="41"/>
    </row>
    <row r="15" spans="1:10" x14ac:dyDescent="0.2">
      <c r="A15" s="6" t="s">
        <v>16</v>
      </c>
      <c r="B15" s="20">
        <v>15281.1</v>
      </c>
      <c r="C15" s="20">
        <v>14919.2</v>
      </c>
      <c r="D15" s="20">
        <v>14376.4</v>
      </c>
      <c r="E15" s="20">
        <v>13833.6</v>
      </c>
      <c r="F15" s="20">
        <v>13290.7</v>
      </c>
      <c r="G15" s="11"/>
      <c r="H15" s="41"/>
    </row>
    <row r="16" spans="1:10" x14ac:dyDescent="0.2">
      <c r="A16" s="6" t="s">
        <v>17</v>
      </c>
      <c r="B16" s="21">
        <v>0.5</v>
      </c>
      <c r="C16" s="21">
        <v>0.5</v>
      </c>
      <c r="D16" s="21">
        <v>0.5</v>
      </c>
      <c r="E16" s="20">
        <v>0.5</v>
      </c>
      <c r="F16" s="20">
        <v>0.5</v>
      </c>
      <c r="G16" s="11"/>
      <c r="H16" s="41"/>
    </row>
    <row r="17" spans="1:10" x14ac:dyDescent="0.2">
      <c r="A17" s="6" t="s">
        <v>18</v>
      </c>
      <c r="B17" s="21">
        <v>0</v>
      </c>
      <c r="C17" s="21">
        <v>-1197.5</v>
      </c>
      <c r="D17" s="21">
        <v>-1654.9</v>
      </c>
      <c r="E17" s="20">
        <v>-2856.4</v>
      </c>
      <c r="F17" s="20">
        <v>-4825.6000000000004</v>
      </c>
      <c r="G17" s="11"/>
      <c r="H17" s="41"/>
      <c r="J17" t="s">
        <v>19</v>
      </c>
    </row>
    <row r="18" spans="1:10" x14ac:dyDescent="0.2">
      <c r="A18" s="6" t="s">
        <v>20</v>
      </c>
      <c r="B18" s="21">
        <v>3156.3510999999999</v>
      </c>
      <c r="C18" s="21"/>
      <c r="D18" s="21"/>
      <c r="E18" s="20">
        <v>16205.5</v>
      </c>
      <c r="F18" s="20">
        <v>14628.2</v>
      </c>
      <c r="G18" s="11"/>
      <c r="H18" s="41"/>
      <c r="I18" t="s">
        <v>61</v>
      </c>
      <c r="J18" t="s">
        <v>21</v>
      </c>
    </row>
    <row r="19" spans="1:10" x14ac:dyDescent="0.2">
      <c r="A19" s="6" t="s">
        <v>22</v>
      </c>
      <c r="B19" s="20">
        <v>530.5</v>
      </c>
      <c r="C19" s="17">
        <v>60.5</v>
      </c>
      <c r="D19" s="17">
        <v>297.7</v>
      </c>
      <c r="E19" s="17">
        <v>390.5</v>
      </c>
      <c r="F19" s="17">
        <v>303.39999999999998</v>
      </c>
      <c r="G19" s="11"/>
      <c r="H19" s="41"/>
    </row>
    <row r="20" spans="1:10" x14ac:dyDescent="0.2">
      <c r="A20" s="6" t="s">
        <v>24</v>
      </c>
      <c r="B20" s="21">
        <f>SUM(B13:B19)</f>
        <v>28682.951099999998</v>
      </c>
      <c r="C20" s="21">
        <f>SUM(C13:C19)</f>
        <v>15564.600000000002</v>
      </c>
      <c r="D20" s="21">
        <f>SUM(D13:D19)</f>
        <v>14804.550000000001</v>
      </c>
      <c r="E20" s="21">
        <f>SUM(E13:E19)</f>
        <v>29361.599999999999</v>
      </c>
      <c r="F20" s="21">
        <f>SUM(F13:F19)</f>
        <v>25188.400000000001</v>
      </c>
      <c r="G20" s="11"/>
    </row>
    <row r="21" spans="1:10" x14ac:dyDescent="0.2">
      <c r="A21" s="12" t="s">
        <v>25</v>
      </c>
      <c r="B21" s="13">
        <v>111.24</v>
      </c>
      <c r="C21" s="18">
        <v>114.45</v>
      </c>
      <c r="D21" s="18">
        <v>126.31</v>
      </c>
      <c r="E21" s="18">
        <v>138.27000000000001</v>
      </c>
      <c r="F21" s="18">
        <v>114.67</v>
      </c>
      <c r="G21" s="13"/>
      <c r="H21" s="31"/>
    </row>
    <row r="22" spans="1:10" x14ac:dyDescent="0.2">
      <c r="A22" s="6"/>
      <c r="F22" s="51">
        <f>SUM(F13:F19)</f>
        <v>25188.400000000001</v>
      </c>
    </row>
    <row r="23" spans="1:10" x14ac:dyDescent="0.2">
      <c r="A23" s="9" t="s">
        <v>26</v>
      </c>
      <c r="B23" s="10"/>
      <c r="C23" s="10"/>
      <c r="D23" s="10"/>
      <c r="E23" s="10"/>
      <c r="F23" s="10"/>
      <c r="G23" s="10"/>
      <c r="H23" s="34"/>
    </row>
    <row r="24" spans="1:10" x14ac:dyDescent="0.2">
      <c r="A24" s="6" t="s">
        <v>27</v>
      </c>
      <c r="B24" s="20">
        <v>53.8</v>
      </c>
      <c r="C24" s="20">
        <v>0</v>
      </c>
      <c r="D24" s="20">
        <v>89.676000000000002</v>
      </c>
      <c r="E24" s="20">
        <v>101.96</v>
      </c>
      <c r="F24" s="20">
        <v>0.50800000000000001</v>
      </c>
      <c r="G24" s="11"/>
    </row>
    <row r="25" spans="1:10" x14ac:dyDescent="0.2">
      <c r="A25" s="6" t="s">
        <v>28</v>
      </c>
      <c r="B25" s="21">
        <v>6144.7</v>
      </c>
      <c r="C25" s="21">
        <v>7540.1</v>
      </c>
      <c r="D25" s="21">
        <v>12424.4</v>
      </c>
      <c r="E25" s="20">
        <v>12685.1</v>
      </c>
      <c r="F25" s="21">
        <v>46508.9</v>
      </c>
      <c r="G25" s="11"/>
    </row>
    <row r="26" spans="1:10" x14ac:dyDescent="0.2">
      <c r="A26" s="12" t="s">
        <v>29</v>
      </c>
      <c r="B26" s="22">
        <v>18091202</v>
      </c>
      <c r="C26" s="22">
        <v>18092297</v>
      </c>
      <c r="D26" s="22">
        <v>18095005</v>
      </c>
      <c r="E26" s="22">
        <v>18097588</v>
      </c>
      <c r="F26" s="22">
        <v>18099948</v>
      </c>
      <c r="G26" s="13"/>
      <c r="H26" s="31"/>
    </row>
    <row r="27" spans="1:10" x14ac:dyDescent="0.2">
      <c r="A27" s="6"/>
    </row>
    <row r="28" spans="1:10" s="3" customFormat="1" x14ac:dyDescent="0.2">
      <c r="A28" s="7" t="s">
        <v>30</v>
      </c>
      <c r="B28" s="35"/>
      <c r="C28" s="36">
        <f>(C21+C8+C9)/B21-1</f>
        <v>4.6835670622078496E-2</v>
      </c>
      <c r="D28" s="36">
        <f>(D21+D8+D9)/C21-1</f>
        <v>0.12983835736129312</v>
      </c>
      <c r="E28" s="36">
        <f>(E21+E8+E9)/D21-1</f>
        <v>0.11843876177658141</v>
      </c>
      <c r="F28" s="36">
        <f>(F21+F8+F9)/E21-1</f>
        <v>-0.14898387213423014</v>
      </c>
      <c r="G28" s="37"/>
      <c r="H28" s="35"/>
    </row>
    <row r="29" spans="1:10" x14ac:dyDescent="0.2">
      <c r="A29" s="7" t="s">
        <v>31</v>
      </c>
      <c r="B29" s="35"/>
      <c r="C29" s="36"/>
      <c r="D29" s="36"/>
      <c r="E29" s="36"/>
      <c r="F29" s="36"/>
      <c r="G29" s="37"/>
      <c r="H29" s="35">
        <f>((C28+1)*(D28+1)*(E28+1)*(F28+1))^(1/4)-1</f>
        <v>3.0056879489017252E-2</v>
      </c>
    </row>
    <row r="31" spans="1:10" x14ac:dyDescent="0.2">
      <c r="A31" s="10"/>
      <c r="B31" s="34">
        <v>2020</v>
      </c>
      <c r="C31" s="10"/>
      <c r="D31" s="10"/>
      <c r="E31" s="10"/>
      <c r="F31" s="10"/>
      <c r="G31" s="10"/>
      <c r="H31" s="34"/>
    </row>
    <row r="32" spans="1:10" x14ac:dyDescent="0.2">
      <c r="A32" s="11"/>
      <c r="B32" s="28"/>
    </row>
    <row r="33" spans="1:8" ht="34" x14ac:dyDescent="0.2">
      <c r="A33" s="11"/>
      <c r="B33" s="54" t="s">
        <v>32</v>
      </c>
      <c r="C33" s="53" t="s">
        <v>33</v>
      </c>
      <c r="D33" s="53" t="s">
        <v>34</v>
      </c>
    </row>
    <row r="34" spans="1:8" ht="34" x14ac:dyDescent="0.2">
      <c r="A34" s="11"/>
      <c r="B34" s="55" t="s">
        <v>35</v>
      </c>
      <c r="C34" s="52">
        <v>88097127</v>
      </c>
      <c r="D34" s="2">
        <f>C34/$C$42</f>
        <v>0.82751729476288871</v>
      </c>
      <c r="F34" s="51"/>
      <c r="G34" s="51"/>
    </row>
    <row r="35" spans="1:8" ht="17" x14ac:dyDescent="0.2">
      <c r="A35" s="11"/>
      <c r="B35" s="55" t="s">
        <v>59</v>
      </c>
      <c r="C35" s="52">
        <v>2262293</v>
      </c>
      <c r="D35" s="2">
        <f>C35/$C$42</f>
        <v>2.1250256927459389E-2</v>
      </c>
    </row>
    <row r="36" spans="1:8" ht="34" x14ac:dyDescent="0.2">
      <c r="A36" s="11"/>
      <c r="B36" s="55" t="s">
        <v>36</v>
      </c>
      <c r="C36" s="52"/>
      <c r="D36" s="2">
        <f>C36/$C$42</f>
        <v>0</v>
      </c>
    </row>
    <row r="37" spans="1:8" ht="34" x14ac:dyDescent="0.2">
      <c r="A37" s="11"/>
      <c r="B37" s="55" t="s">
        <v>37</v>
      </c>
      <c r="C37" s="52">
        <v>16422692</v>
      </c>
      <c r="D37" s="2">
        <f>C37/$C$42</f>
        <v>0.15426225711723987</v>
      </c>
    </row>
    <row r="38" spans="1:8" x14ac:dyDescent="0.2">
      <c r="A38" s="11"/>
      <c r="B38" s="55"/>
      <c r="C38" s="52"/>
    </row>
    <row r="39" spans="1:8" x14ac:dyDescent="0.2">
      <c r="A39" s="11"/>
      <c r="B39" s="55"/>
      <c r="C39" s="52"/>
    </row>
    <row r="40" spans="1:8" ht="34" x14ac:dyDescent="0.2">
      <c r="A40" s="11"/>
      <c r="B40" s="55" t="s">
        <v>67</v>
      </c>
      <c r="C40" s="20">
        <f>F21*F26/100</f>
        <v>20755210.371600002</v>
      </c>
      <c r="D40" s="11"/>
      <c r="E40" s="11"/>
      <c r="F40" s="11"/>
      <c r="G40" s="5"/>
      <c r="H40" s="11"/>
    </row>
    <row r="41" spans="1:8" ht="17" x14ac:dyDescent="0.2">
      <c r="B41" s="58" t="s">
        <v>68</v>
      </c>
      <c r="C41" s="51">
        <f>'Pembroke B'!F23*'Pembroke B'!F28/100</f>
        <v>85704349.516200006</v>
      </c>
    </row>
    <row r="42" spans="1:8" ht="17" x14ac:dyDescent="0.2">
      <c r="B42" s="58" t="s">
        <v>69</v>
      </c>
      <c r="C42" s="51">
        <f>SUM(C40,C41)</f>
        <v>106459559.88780001</v>
      </c>
    </row>
  </sheetData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2646-4281-4F41-ABDB-FEC28F606993}">
  <dimension ref="A1:L69"/>
  <sheetViews>
    <sheetView zoomScaleNormal="100" workbookViewId="0">
      <selection activeCell="H13" sqref="H13"/>
    </sheetView>
  </sheetViews>
  <sheetFormatPr baseColWidth="10" defaultColWidth="11" defaultRowHeight="16" x14ac:dyDescent="0.2"/>
  <cols>
    <col min="1" max="1" width="44.5" style="5" customWidth="1"/>
    <col min="2" max="6" width="12.83203125" customWidth="1"/>
    <col min="7" max="7" width="11.5" bestFit="1" customWidth="1"/>
    <col min="8" max="8" width="11.6640625" style="28" bestFit="1" customWidth="1"/>
  </cols>
  <sheetData>
    <row r="1" spans="1:12" x14ac:dyDescent="0.2">
      <c r="A1" s="5" t="s">
        <v>0</v>
      </c>
      <c r="B1" s="1">
        <v>43921</v>
      </c>
    </row>
    <row r="2" spans="1:12" x14ac:dyDescent="0.2">
      <c r="A2" s="6" t="s">
        <v>70</v>
      </c>
    </row>
    <row r="3" spans="1:12" x14ac:dyDescent="0.2">
      <c r="B3" s="4">
        <f>C3-1</f>
        <v>2016</v>
      </c>
      <c r="C3" s="4">
        <f>D3-1</f>
        <v>2017</v>
      </c>
      <c r="D3" s="4">
        <f>E3-1</f>
        <v>2018</v>
      </c>
      <c r="E3" s="4">
        <f>F3-1</f>
        <v>2019</v>
      </c>
      <c r="F3" s="4">
        <v>2020</v>
      </c>
      <c r="G3" s="4">
        <v>2021</v>
      </c>
      <c r="H3" s="29" t="s">
        <v>2</v>
      </c>
      <c r="I3" t="s">
        <v>3</v>
      </c>
      <c r="J3" t="s">
        <v>51</v>
      </c>
      <c r="L3" t="s">
        <v>264</v>
      </c>
    </row>
    <row r="4" spans="1:12" x14ac:dyDescent="0.2">
      <c r="A4" s="9" t="s">
        <v>5</v>
      </c>
      <c r="B4" s="45"/>
      <c r="C4" s="45"/>
      <c r="D4" s="45"/>
      <c r="E4" s="45"/>
      <c r="F4" s="45"/>
      <c r="G4" s="10">
        <v>-4998</v>
      </c>
      <c r="H4" s="30">
        <f>SUM(B4:F4)</f>
        <v>0</v>
      </c>
    </row>
    <row r="5" spans="1:12" x14ac:dyDescent="0.2">
      <c r="A5" s="6" t="s">
        <v>262</v>
      </c>
      <c r="B5" s="46"/>
      <c r="C5" s="46"/>
      <c r="D5" s="46"/>
      <c r="E5" s="46"/>
      <c r="F5" s="46"/>
      <c r="G5" s="11">
        <v>21739</v>
      </c>
      <c r="H5" s="30"/>
    </row>
    <row r="6" spans="1:12" s="120" customFormat="1" x14ac:dyDescent="0.2">
      <c r="A6" s="6" t="s">
        <v>263</v>
      </c>
      <c r="B6" s="117"/>
      <c r="C6" s="117"/>
      <c r="D6" s="117"/>
      <c r="E6" s="117"/>
      <c r="F6" s="122">
        <f>1398-664</f>
        <v>734</v>
      </c>
      <c r="G6" s="118">
        <f>983-545</f>
        <v>438</v>
      </c>
      <c r="H6" s="119"/>
    </row>
    <row r="7" spans="1:12" x14ac:dyDescent="0.2">
      <c r="A7" s="6" t="s">
        <v>6</v>
      </c>
      <c r="B7" s="46">
        <v>0.625</v>
      </c>
      <c r="C7" s="46">
        <v>-0.10299999999999999</v>
      </c>
      <c r="D7" s="46">
        <v>1.7829999999999999</v>
      </c>
      <c r="E7" s="46">
        <v>2.706</v>
      </c>
      <c r="F7" s="123">
        <v>-3868</v>
      </c>
      <c r="G7" s="100">
        <v>14009</v>
      </c>
      <c r="H7" s="30">
        <f>SUM(C7:G7)</f>
        <v>10145.386</v>
      </c>
      <c r="J7" t="s">
        <v>7</v>
      </c>
    </row>
    <row r="8" spans="1:12" x14ac:dyDescent="0.2">
      <c r="A8" s="6" t="s">
        <v>8</v>
      </c>
      <c r="B8" s="47">
        <v>10.79</v>
      </c>
      <c r="C8" s="46">
        <v>-0.84</v>
      </c>
      <c r="D8" s="46">
        <v>7.1</v>
      </c>
      <c r="E8" s="47">
        <v>8.14</v>
      </c>
      <c r="F8" s="47">
        <v>-0.24</v>
      </c>
      <c r="G8" s="121">
        <v>13.7</v>
      </c>
      <c r="H8" s="30">
        <f>SUM(C8:G8)</f>
        <v>27.86</v>
      </c>
    </row>
    <row r="9" spans="1:12" x14ac:dyDescent="0.2">
      <c r="A9" s="6" t="s">
        <v>9</v>
      </c>
      <c r="B9" s="47">
        <v>0</v>
      </c>
      <c r="C9" s="47">
        <v>0.24959999999999999</v>
      </c>
      <c r="D9" s="47">
        <v>0.754</v>
      </c>
      <c r="E9" s="47">
        <v>0.98599999999999999</v>
      </c>
      <c r="F9" s="47">
        <v>2.1789999999999998</v>
      </c>
      <c r="G9" s="123">
        <v>7225</v>
      </c>
      <c r="H9" s="30">
        <f>SUM(C9:G9)</f>
        <v>7229.1686</v>
      </c>
    </row>
    <row r="10" spans="1:12" x14ac:dyDescent="0.2">
      <c r="A10" s="6" t="s">
        <v>10</v>
      </c>
      <c r="B10" s="46">
        <v>0</v>
      </c>
      <c r="C10" s="46">
        <v>2</v>
      </c>
      <c r="D10" s="46">
        <v>3</v>
      </c>
      <c r="E10" s="46">
        <v>3</v>
      </c>
      <c r="F10" s="46">
        <v>3</v>
      </c>
      <c r="G10" s="47">
        <v>3</v>
      </c>
      <c r="H10" s="30">
        <f>SUM(C10:G10)</f>
        <v>14</v>
      </c>
    </row>
    <row r="11" spans="1:12" x14ac:dyDescent="0.2">
      <c r="A11" s="6" t="s">
        <v>11</v>
      </c>
      <c r="B11" s="11"/>
      <c r="C11" s="11"/>
      <c r="D11" s="11"/>
      <c r="E11" s="11"/>
      <c r="F11" s="11"/>
      <c r="G11" s="11">
        <v>4</v>
      </c>
      <c r="L11">
        <v>4</v>
      </c>
    </row>
    <row r="12" spans="1:12" x14ac:dyDescent="0.2">
      <c r="A12" s="6" t="s">
        <v>12</v>
      </c>
      <c r="B12" s="2" t="e">
        <f t="shared" ref="B12:F12" si="0">B4/B9</f>
        <v>#DIV/0!</v>
      </c>
      <c r="C12" s="2">
        <f t="shared" si="0"/>
        <v>0</v>
      </c>
      <c r="D12" s="2">
        <f t="shared" si="0"/>
        <v>0</v>
      </c>
      <c r="E12" s="2">
        <f t="shared" si="0"/>
        <v>0</v>
      </c>
      <c r="F12" s="2">
        <f t="shared" si="0"/>
        <v>0</v>
      </c>
      <c r="G12" s="2">
        <f t="shared" ref="G12:H12" si="1">G4/G9</f>
        <v>-0.69176470588235295</v>
      </c>
      <c r="H12" s="2">
        <f t="shared" si="1"/>
        <v>0</v>
      </c>
    </row>
    <row r="13" spans="1:12" x14ac:dyDescent="0.2">
      <c r="A13" s="12" t="s">
        <v>13</v>
      </c>
      <c r="B13" s="23" t="e">
        <f t="shared" ref="B13:F13" si="2">B7/B9</f>
        <v>#DIV/0!</v>
      </c>
      <c r="C13" s="24">
        <f t="shared" si="2"/>
        <v>-0.41266025641025639</v>
      </c>
      <c r="D13" s="24">
        <f t="shared" si="2"/>
        <v>2.3647214854111405</v>
      </c>
      <c r="E13" s="24">
        <f t="shared" si="2"/>
        <v>2.7444219066937121</v>
      </c>
      <c r="F13" s="24">
        <f t="shared" si="2"/>
        <v>-1775.1262046810466</v>
      </c>
      <c r="G13" s="24">
        <f t="shared" ref="G13:H13" si="3">G7/G9</f>
        <v>1.938961937716263</v>
      </c>
      <c r="H13" s="24">
        <f t="shared" si="3"/>
        <v>1.4033959589765275</v>
      </c>
    </row>
    <row r="14" spans="1:12" x14ac:dyDescent="0.2">
      <c r="A14" s="6"/>
    </row>
    <row r="15" spans="1:12" x14ac:dyDescent="0.2">
      <c r="A15" s="9" t="s">
        <v>14</v>
      </c>
      <c r="B15" s="19">
        <v>81.17</v>
      </c>
      <c r="C15" s="19">
        <v>152.80000000000001</v>
      </c>
      <c r="D15" s="19">
        <v>266.10000000000002</v>
      </c>
      <c r="E15" s="19">
        <v>381.98</v>
      </c>
      <c r="F15" s="19">
        <v>958</v>
      </c>
      <c r="G15" s="10"/>
      <c r="H15" s="40"/>
    </row>
    <row r="16" spans="1:12" x14ac:dyDescent="0.2">
      <c r="A16" s="6" t="s">
        <v>15</v>
      </c>
      <c r="B16" s="20">
        <v>7852.7</v>
      </c>
      <c r="C16" s="20">
        <v>15255.2</v>
      </c>
      <c r="D16" s="20">
        <v>27299.5</v>
      </c>
      <c r="E16" s="20">
        <v>39532.400000000001</v>
      </c>
      <c r="F16" s="20">
        <v>85486</v>
      </c>
      <c r="G16" s="11"/>
      <c r="H16" s="41"/>
    </row>
    <row r="17" spans="1:10" x14ac:dyDescent="0.2">
      <c r="A17" s="6" t="s">
        <v>16</v>
      </c>
      <c r="B17" s="20">
        <v>0</v>
      </c>
      <c r="C17" s="20">
        <v>-249.6</v>
      </c>
      <c r="D17" s="20">
        <v>-1093.2</v>
      </c>
      <c r="E17" s="20">
        <v>-2181.8000000000002</v>
      </c>
      <c r="F17" s="20">
        <v>9472</v>
      </c>
      <c r="G17" s="11"/>
      <c r="H17" s="41"/>
    </row>
    <row r="18" spans="1:10" x14ac:dyDescent="0.2">
      <c r="A18" s="6" t="s">
        <v>17</v>
      </c>
      <c r="B18" s="21">
        <v>0</v>
      </c>
      <c r="C18" s="21">
        <v>0</v>
      </c>
      <c r="D18" s="21">
        <v>0.9</v>
      </c>
      <c r="E18" s="20">
        <v>1.9</v>
      </c>
      <c r="F18" s="20">
        <v>1.9</v>
      </c>
      <c r="G18" s="11"/>
      <c r="H18" s="41"/>
    </row>
    <row r="19" spans="1:10" x14ac:dyDescent="0.2">
      <c r="A19" s="6" t="s">
        <v>257</v>
      </c>
      <c r="B19" s="21"/>
      <c r="C19" s="21"/>
      <c r="D19" s="21"/>
      <c r="E19" s="20"/>
      <c r="F19" s="20">
        <v>9803</v>
      </c>
      <c r="G19" s="11"/>
      <c r="H19" s="41"/>
      <c r="J19" t="s">
        <v>19</v>
      </c>
    </row>
    <row r="20" spans="1:10" x14ac:dyDescent="0.2">
      <c r="A20" s="6" t="s">
        <v>20</v>
      </c>
      <c r="B20" s="21"/>
      <c r="C20" s="21"/>
      <c r="D20" s="21"/>
      <c r="E20" s="20"/>
      <c r="F20" s="20"/>
      <c r="G20" s="11"/>
      <c r="H20" s="41"/>
      <c r="I20" t="s">
        <v>61</v>
      </c>
      <c r="J20" t="s">
        <v>21</v>
      </c>
    </row>
    <row r="21" spans="1:10" x14ac:dyDescent="0.2">
      <c r="A21" s="6" t="s">
        <v>22</v>
      </c>
      <c r="B21" s="20">
        <v>84.3</v>
      </c>
      <c r="C21" s="17">
        <v>288.89999999999998</v>
      </c>
      <c r="D21" s="17">
        <v>474.3</v>
      </c>
      <c r="E21" s="17">
        <v>671.8</v>
      </c>
      <c r="F21" s="17">
        <v>740</v>
      </c>
      <c r="G21" s="11"/>
      <c r="H21" s="41"/>
    </row>
    <row r="22" spans="1:10" x14ac:dyDescent="0.2">
      <c r="A22" s="6" t="s">
        <v>24</v>
      </c>
      <c r="B22" s="21">
        <v>8558</v>
      </c>
      <c r="C22" s="21">
        <v>15679.5</v>
      </c>
      <c r="D22" s="21">
        <v>28777.5</v>
      </c>
      <c r="E22" s="21">
        <v>42744.7</v>
      </c>
      <c r="F22" s="21">
        <v>106461</v>
      </c>
      <c r="G22" s="21">
        <v>132666</v>
      </c>
    </row>
    <row r="23" spans="1:10" x14ac:dyDescent="0.2">
      <c r="A23" s="12" t="s">
        <v>25</v>
      </c>
      <c r="B23" s="13">
        <v>105.44</v>
      </c>
      <c r="C23" s="18">
        <v>102.58</v>
      </c>
      <c r="D23" s="18">
        <v>108.12</v>
      </c>
      <c r="E23" s="18">
        <v>111.9</v>
      </c>
      <c r="F23" s="18">
        <v>110.29</v>
      </c>
      <c r="G23" s="13">
        <v>116.1</v>
      </c>
      <c r="H23" s="31"/>
    </row>
    <row r="24" spans="1:10" x14ac:dyDescent="0.2">
      <c r="A24" s="6"/>
    </row>
    <row r="25" spans="1:10" x14ac:dyDescent="0.2">
      <c r="A25" s="9" t="s">
        <v>26</v>
      </c>
      <c r="B25" s="10"/>
      <c r="C25" s="10"/>
      <c r="D25" s="10"/>
      <c r="E25" s="10"/>
      <c r="F25" s="10"/>
      <c r="G25" s="10"/>
      <c r="H25" s="34"/>
    </row>
    <row r="26" spans="1:10" x14ac:dyDescent="0.2">
      <c r="A26" s="6" t="s">
        <v>27</v>
      </c>
      <c r="B26" s="20">
        <v>0</v>
      </c>
      <c r="C26" s="20">
        <v>0</v>
      </c>
      <c r="D26" s="20">
        <v>89.676000000000002</v>
      </c>
      <c r="E26" s="20">
        <v>101.9</v>
      </c>
      <c r="F26" s="20">
        <v>102</v>
      </c>
      <c r="G26" s="11"/>
    </row>
    <row r="27" spans="1:10" x14ac:dyDescent="0.2">
      <c r="A27" s="6" t="s">
        <v>28</v>
      </c>
      <c r="B27" s="21">
        <v>6144.7</v>
      </c>
      <c r="C27" s="21">
        <v>7538.9</v>
      </c>
      <c r="D27" s="21">
        <v>12421.3</v>
      </c>
      <c r="E27" s="20">
        <v>12682</v>
      </c>
      <c r="F27" s="21">
        <v>44696</v>
      </c>
      <c r="G27" s="21">
        <v>20040</v>
      </c>
    </row>
    <row r="28" spans="1:10" x14ac:dyDescent="0.2">
      <c r="A28" s="12" t="s">
        <v>29</v>
      </c>
      <c r="B28" s="22">
        <v>8116777</v>
      </c>
      <c r="C28" s="22">
        <v>15285811</v>
      </c>
      <c r="D28" s="22">
        <v>26615404</v>
      </c>
      <c r="E28" s="22">
        <v>38198001</v>
      </c>
      <c r="F28" s="22">
        <v>77708178</v>
      </c>
      <c r="G28" s="16">
        <v>114237168</v>
      </c>
      <c r="H28" s="31"/>
    </row>
    <row r="29" spans="1:10" x14ac:dyDescent="0.2">
      <c r="A29" s="6"/>
    </row>
    <row r="30" spans="1:10" s="3" customFormat="1" x14ac:dyDescent="0.2">
      <c r="A30" s="7" t="s">
        <v>30</v>
      </c>
      <c r="B30" s="35"/>
      <c r="C30" s="36">
        <f>(C23+C10+C11)/B23-1</f>
        <v>-8.1562974203338579E-3</v>
      </c>
      <c r="D30" s="36">
        <f>(D23+D10+D11)/C23-1</f>
        <v>8.3252095925131719E-2</v>
      </c>
      <c r="E30" s="36">
        <f>(E23+E10+E11)/D23-1</f>
        <v>6.2708102108768093E-2</v>
      </c>
      <c r="F30" s="36">
        <f>(F23+F10+F11)/E23-1</f>
        <v>1.2421805183199242E-2</v>
      </c>
      <c r="G30" s="36">
        <f>(G23+G10+G11)/F23-1</f>
        <v>0.11614833620455145</v>
      </c>
      <c r="H30" s="35"/>
    </row>
    <row r="31" spans="1:10" x14ac:dyDescent="0.2">
      <c r="A31" s="7" t="s">
        <v>31</v>
      </c>
      <c r="B31" s="35"/>
      <c r="C31" s="36"/>
      <c r="D31" s="36"/>
      <c r="E31" s="36"/>
      <c r="F31" s="36"/>
      <c r="G31" s="37"/>
      <c r="H31" s="35">
        <f>((C30+1)*(D30+1)*(E30+1)*(F30+1))^(1/4)-1</f>
        <v>3.6900454985689723E-2</v>
      </c>
    </row>
    <row r="33" spans="1:12" x14ac:dyDescent="0.2">
      <c r="C33" s="10"/>
      <c r="D33" s="10"/>
      <c r="E33" s="10"/>
      <c r="F33" s="10"/>
      <c r="G33" s="10"/>
    </row>
    <row r="34" spans="1:12" x14ac:dyDescent="0.2">
      <c r="B34" s="28"/>
      <c r="F34" s="34">
        <v>2020</v>
      </c>
    </row>
    <row r="35" spans="1:12" ht="17" x14ac:dyDescent="0.2">
      <c r="A35" s="54" t="s">
        <v>32</v>
      </c>
      <c r="F35" s="53" t="s">
        <v>33</v>
      </c>
      <c r="G35" s="53" t="s">
        <v>34</v>
      </c>
    </row>
    <row r="36" spans="1:12" ht="17" x14ac:dyDescent="0.2">
      <c r="A36" s="55" t="s">
        <v>35</v>
      </c>
      <c r="B36" s="52">
        <f>+B48+B49</f>
        <v>24505271</v>
      </c>
      <c r="C36" s="52">
        <f>+C48+C49</f>
        <v>32873974</v>
      </c>
      <c r="D36" s="52">
        <f>+D48+D49</f>
        <v>46549669</v>
      </c>
      <c r="E36" s="52">
        <f>+E48+E49</f>
        <v>64713367</v>
      </c>
      <c r="F36" s="52">
        <v>88097127</v>
      </c>
      <c r="G36" s="2">
        <f>F36/$F$44</f>
        <v>0.82751729476288871</v>
      </c>
    </row>
    <row r="37" spans="1:12" ht="17" x14ac:dyDescent="0.2">
      <c r="A37" s="55" t="s">
        <v>59</v>
      </c>
      <c r="B37" s="60">
        <v>2105465</v>
      </c>
      <c r="C37" s="60">
        <v>2087936</v>
      </c>
      <c r="D37" s="60">
        <v>1792460</v>
      </c>
      <c r="E37" s="60">
        <v>2214681</v>
      </c>
      <c r="F37" s="52">
        <v>2262293</v>
      </c>
      <c r="G37" s="2">
        <f>F37/$F$44</f>
        <v>2.1250256927459389E-2</v>
      </c>
      <c r="L37" s="60"/>
    </row>
    <row r="38" spans="1:12" ht="17" x14ac:dyDescent="0.2">
      <c r="A38" s="55" t="s">
        <v>36</v>
      </c>
      <c r="E38" s="52"/>
      <c r="F38" s="52"/>
      <c r="G38" s="2">
        <f>F38/$F$44</f>
        <v>0</v>
      </c>
      <c r="L38" s="60"/>
    </row>
    <row r="39" spans="1:12" ht="17" x14ac:dyDescent="0.2">
      <c r="A39" s="55" t="s">
        <v>37</v>
      </c>
      <c r="B39" s="52">
        <f>+B52+B53</f>
        <v>2306940</v>
      </c>
      <c r="C39" s="52">
        <f>+C52+C53</f>
        <v>2154677</v>
      </c>
      <c r="D39" s="52">
        <f>+D52+D53</f>
        <v>3249641</v>
      </c>
      <c r="E39" s="52">
        <f>+E52+E53</f>
        <v>1079815</v>
      </c>
      <c r="F39" s="52">
        <v>16422692</v>
      </c>
      <c r="G39" s="2">
        <f>F39/$F$44</f>
        <v>0.15426225711723987</v>
      </c>
    </row>
    <row r="40" spans="1:12" x14ac:dyDescent="0.2">
      <c r="A40" s="55"/>
      <c r="B40" s="2">
        <f t="shared" ref="B40:E40" si="4">B39/B44</f>
        <v>8.0428864693515525E-2</v>
      </c>
      <c r="C40" s="2">
        <f t="shared" si="4"/>
        <v>5.9217423514660722E-2</v>
      </c>
      <c r="D40" s="2">
        <f t="shared" si="4"/>
        <v>6.344487667218171E-2</v>
      </c>
      <c r="E40" s="2">
        <f t="shared" si="4"/>
        <v>1.5934018673531E-2</v>
      </c>
      <c r="F40" s="2">
        <f>F39/F44</f>
        <v>0.15426225711723987</v>
      </c>
      <c r="L40" s="60"/>
    </row>
    <row r="41" spans="1:12" x14ac:dyDescent="0.2">
      <c r="A41" s="55"/>
      <c r="E41" s="52"/>
      <c r="F41" s="52"/>
    </row>
    <row r="42" spans="1:12" ht="17" x14ac:dyDescent="0.2">
      <c r="A42" s="55" t="s">
        <v>67</v>
      </c>
      <c r="B42" s="60">
        <v>20124959</v>
      </c>
      <c r="C42" s="60">
        <v>20706329</v>
      </c>
      <c r="D42" s="60">
        <v>22442372</v>
      </c>
      <c r="E42" s="20">
        <v>25023232</v>
      </c>
      <c r="F42" s="20">
        <f>'Pembroke '!C40</f>
        <v>20755210.371600002</v>
      </c>
      <c r="G42" s="11"/>
    </row>
    <row r="43" spans="1:12" ht="17" x14ac:dyDescent="0.2">
      <c r="A43" s="58" t="s">
        <v>68</v>
      </c>
      <c r="B43" s="60">
        <v>8558027</v>
      </c>
      <c r="C43" s="60">
        <v>15679533</v>
      </c>
      <c r="D43" s="60">
        <v>28777540</v>
      </c>
      <c r="E43" s="52">
        <v>42744669</v>
      </c>
      <c r="F43" s="52">
        <f>'Pembroke B'!F23*'Pembroke B'!F28/100</f>
        <v>85704349.516200006</v>
      </c>
    </row>
    <row r="44" spans="1:12" ht="17" x14ac:dyDescent="0.2">
      <c r="A44" s="58" t="s">
        <v>69</v>
      </c>
      <c r="B44" s="60">
        <v>28682986</v>
      </c>
      <c r="C44" s="60">
        <v>36385862</v>
      </c>
      <c r="D44" s="60">
        <v>51219912</v>
      </c>
      <c r="E44" s="52">
        <v>67767901</v>
      </c>
      <c r="F44" s="52">
        <f>SUM(F42,F43)</f>
        <v>106459559.88780001</v>
      </c>
      <c r="K44" s="60"/>
    </row>
    <row r="45" spans="1:12" x14ac:dyDescent="0.2">
      <c r="E45" s="52"/>
      <c r="F45" s="52"/>
      <c r="K45" s="60"/>
    </row>
    <row r="46" spans="1:12" x14ac:dyDescent="0.2">
      <c r="E46" s="52"/>
      <c r="F46" s="52"/>
    </row>
    <row r="47" spans="1:12" x14ac:dyDescent="0.2">
      <c r="E47" s="52"/>
      <c r="F47" s="52"/>
    </row>
    <row r="48" spans="1:12" ht="17" x14ac:dyDescent="0.2">
      <c r="A48" s="55" t="s">
        <v>118</v>
      </c>
      <c r="B48" s="60">
        <v>19736049</v>
      </c>
      <c r="C48" s="60">
        <v>20277199</v>
      </c>
      <c r="D48" s="60">
        <v>22855370</v>
      </c>
      <c r="E48" s="52">
        <v>26545181</v>
      </c>
      <c r="F48" s="52">
        <v>23870995</v>
      </c>
    </row>
    <row r="49" spans="1:7" ht="17" x14ac:dyDescent="0.2">
      <c r="A49" s="55" t="s">
        <v>119</v>
      </c>
      <c r="B49" s="60">
        <v>4769222</v>
      </c>
      <c r="C49" s="60">
        <v>12596775</v>
      </c>
      <c r="D49" s="60">
        <v>23694299</v>
      </c>
      <c r="E49" s="52">
        <v>38168186</v>
      </c>
      <c r="F49" s="52">
        <v>64226132</v>
      </c>
    </row>
    <row r="50" spans="1:7" ht="17" x14ac:dyDescent="0.2">
      <c r="A50" s="55" t="s">
        <v>120</v>
      </c>
      <c r="E50" s="52"/>
      <c r="F50" s="52"/>
    </row>
    <row r="51" spans="1:7" x14ac:dyDescent="0.2">
      <c r="E51" s="52"/>
      <c r="F51" s="52"/>
    </row>
    <row r="52" spans="1:7" x14ac:dyDescent="0.2">
      <c r="A52" s="5" t="s">
        <v>121</v>
      </c>
      <c r="B52" s="60">
        <v>488973</v>
      </c>
      <c r="C52" s="60">
        <v>653658</v>
      </c>
      <c r="D52" s="60">
        <v>-327817</v>
      </c>
      <c r="E52" s="52">
        <v>-1473466</v>
      </c>
      <c r="F52" s="52">
        <v>-3062533</v>
      </c>
    </row>
    <row r="53" spans="1:7" x14ac:dyDescent="0.2">
      <c r="A53" s="5" t="s">
        <v>122</v>
      </c>
      <c r="B53" s="60">
        <v>1817967</v>
      </c>
      <c r="C53" s="60">
        <v>1501019</v>
      </c>
      <c r="D53" s="60">
        <v>3577458</v>
      </c>
      <c r="E53" s="52">
        <v>2553281</v>
      </c>
      <c r="F53" s="52">
        <v>19485225</v>
      </c>
    </row>
    <row r="54" spans="1:7" x14ac:dyDescent="0.2">
      <c r="E54" s="52"/>
      <c r="F54" s="52"/>
    </row>
    <row r="55" spans="1:7" x14ac:dyDescent="0.2">
      <c r="E55" s="52"/>
      <c r="F55" s="52"/>
    </row>
    <row r="57" spans="1:7" x14ac:dyDescent="0.2">
      <c r="A57" s="5" t="s">
        <v>123</v>
      </c>
      <c r="B57" s="79">
        <f>+B49/1000000</f>
        <v>4.7692220000000001</v>
      </c>
      <c r="C57" s="79">
        <f t="shared" ref="C57:F57" si="5">+C49/1000000</f>
        <v>12.596774999999999</v>
      </c>
      <c r="D57" s="79">
        <f t="shared" si="5"/>
        <v>23.694299000000001</v>
      </c>
      <c r="E57" s="79">
        <f t="shared" si="5"/>
        <v>38.168185999999999</v>
      </c>
      <c r="F57" s="79">
        <f t="shared" si="5"/>
        <v>64.226132000000007</v>
      </c>
    </row>
    <row r="58" spans="1:7" x14ac:dyDescent="0.2">
      <c r="A58" s="5" t="s">
        <v>124</v>
      </c>
      <c r="B58" s="79">
        <f>+B53/1000000</f>
        <v>1.8179670000000001</v>
      </c>
      <c r="C58" s="79">
        <f t="shared" ref="C58:F58" si="6">+C53/1000000</f>
        <v>1.5010190000000001</v>
      </c>
      <c r="D58" s="79">
        <f t="shared" si="6"/>
        <v>3.577458</v>
      </c>
      <c r="E58" s="79">
        <f t="shared" si="6"/>
        <v>2.5532810000000001</v>
      </c>
      <c r="F58" s="79">
        <f t="shared" si="6"/>
        <v>19.485225</v>
      </c>
    </row>
    <row r="60" spans="1:7" x14ac:dyDescent="0.2">
      <c r="A60" s="5" t="s">
        <v>260</v>
      </c>
    </row>
    <row r="61" spans="1:7" x14ac:dyDescent="0.2">
      <c r="A61" s="5" t="s">
        <v>265</v>
      </c>
      <c r="F61">
        <v>70316</v>
      </c>
      <c r="G61">
        <v>101582</v>
      </c>
    </row>
    <row r="62" spans="1:7" x14ac:dyDescent="0.2">
      <c r="A62" s="5" t="s">
        <v>215</v>
      </c>
      <c r="F62">
        <v>17781</v>
      </c>
      <c r="G62">
        <v>17497</v>
      </c>
    </row>
    <row r="63" spans="1:7" x14ac:dyDescent="0.2">
      <c r="A63" s="5" t="s">
        <v>110</v>
      </c>
      <c r="F63">
        <v>16423</v>
      </c>
      <c r="G63">
        <v>12420</v>
      </c>
    </row>
    <row r="65" spans="1:7" x14ac:dyDescent="0.2">
      <c r="A65" s="5" t="s">
        <v>266</v>
      </c>
    </row>
    <row r="66" spans="1:7" x14ac:dyDescent="0.2">
      <c r="A66" s="5" t="str">
        <f>A61</f>
        <v>Equities</v>
      </c>
      <c r="F66" s="2">
        <f>F61/F$22</f>
        <v>0.66048599956791687</v>
      </c>
      <c r="G66" s="2">
        <f>G61/G$22</f>
        <v>0.76569731506188476</v>
      </c>
    </row>
    <row r="67" spans="1:7" x14ac:dyDescent="0.2">
      <c r="A67" s="5" t="str">
        <f t="shared" ref="A67:A68" si="7">A62</f>
        <v>Loan stock</v>
      </c>
      <c r="F67" s="2">
        <f t="shared" ref="F67:G68" si="8">F62/F$22</f>
        <v>0.16701890833262886</v>
      </c>
      <c r="G67" s="2">
        <f t="shared" si="8"/>
        <v>0.13188759742511269</v>
      </c>
    </row>
    <row r="68" spans="1:7" x14ac:dyDescent="0.2">
      <c r="A68" s="5" t="str">
        <f t="shared" si="7"/>
        <v>Cash</v>
      </c>
      <c r="F68" s="2">
        <f t="shared" si="8"/>
        <v>0.15426306346925164</v>
      </c>
      <c r="G68" s="2">
        <f t="shared" si="8"/>
        <v>9.3618560897290939E-2</v>
      </c>
    </row>
    <row r="69" spans="1:7" x14ac:dyDescent="0.2">
      <c r="A69" s="5" t="s">
        <v>2</v>
      </c>
      <c r="F69" s="75">
        <f>SUM(F66:F68)</f>
        <v>0.98176797136979743</v>
      </c>
      <c r="G69" s="75">
        <f>SUM(G66:G68)</f>
        <v>0.99120347338428838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41CD-942F-FB47-8E14-58019022175A}">
  <dimension ref="A1:J67"/>
  <sheetViews>
    <sheetView zoomScale="80" zoomScaleNormal="80" workbookViewId="0">
      <selection activeCell="B24" sqref="B24:G24"/>
    </sheetView>
  </sheetViews>
  <sheetFormatPr baseColWidth="10" defaultColWidth="11" defaultRowHeight="16" x14ac:dyDescent="0.2"/>
  <cols>
    <col min="1" max="1" width="44.5" style="5" customWidth="1"/>
    <col min="2" max="6" width="12.83203125" customWidth="1"/>
    <col min="8" max="8" width="11.6640625" style="28" bestFit="1" customWidth="1"/>
  </cols>
  <sheetData>
    <row r="1" spans="1:10" x14ac:dyDescent="0.2">
      <c r="A1" s="5" t="s">
        <v>0</v>
      </c>
      <c r="B1" s="1">
        <v>43890</v>
      </c>
    </row>
    <row r="2" spans="1:10" x14ac:dyDescent="0.2">
      <c r="A2" s="6" t="s">
        <v>71</v>
      </c>
    </row>
    <row r="3" spans="1:10" x14ac:dyDescent="0.2">
      <c r="B3" s="4">
        <f>C3-1</f>
        <v>2016</v>
      </c>
      <c r="C3" s="4">
        <f>D3-1</f>
        <v>2017</v>
      </c>
      <c r="D3" s="4">
        <f>E3-1</f>
        <v>2018</v>
      </c>
      <c r="E3" s="4">
        <f>F3-1</f>
        <v>2019</v>
      </c>
      <c r="F3" s="4">
        <v>2020</v>
      </c>
      <c r="G3" s="4" t="s">
        <v>161</v>
      </c>
      <c r="H3" s="29" t="s">
        <v>2</v>
      </c>
      <c r="I3" t="s">
        <v>3</v>
      </c>
      <c r="J3" t="s">
        <v>51</v>
      </c>
    </row>
    <row r="4" spans="1:10" x14ac:dyDescent="0.2">
      <c r="A4" s="9" t="s">
        <v>5</v>
      </c>
      <c r="B4" s="38">
        <v>2.7919999999999998</v>
      </c>
      <c r="C4" s="38">
        <v>1.9379999999999999</v>
      </c>
      <c r="D4" s="38">
        <v>0.504</v>
      </c>
      <c r="E4" s="38">
        <v>1.292</v>
      </c>
      <c r="F4" s="38">
        <v>0.57899999999999996</v>
      </c>
      <c r="G4" s="10"/>
      <c r="H4" s="30">
        <f>SUM(B4:F4)</f>
        <v>7.1049999999999995</v>
      </c>
    </row>
    <row r="5" spans="1:10" x14ac:dyDescent="0.2">
      <c r="A5" s="6" t="s">
        <v>6</v>
      </c>
      <c r="B5" s="14">
        <v>3.694</v>
      </c>
      <c r="C5" s="14">
        <v>2.0419999999999998</v>
      </c>
      <c r="D5" s="14">
        <v>0.84099999999999997</v>
      </c>
      <c r="E5" s="14">
        <v>1.099</v>
      </c>
      <c r="F5" s="39">
        <v>0.54800000000000004</v>
      </c>
      <c r="G5" s="11"/>
      <c r="H5" s="30">
        <f t="shared" ref="H5:H8" si="0">SUM(B5:F5)</f>
        <v>8.2240000000000002</v>
      </c>
      <c r="J5" t="s">
        <v>7</v>
      </c>
    </row>
    <row r="6" spans="1:10" x14ac:dyDescent="0.2">
      <c r="A6" s="6" t="s">
        <v>8</v>
      </c>
      <c r="B6" s="39">
        <v>6.8</v>
      </c>
      <c r="C6" s="39">
        <v>3.77</v>
      </c>
      <c r="D6" s="39">
        <v>1.56</v>
      </c>
      <c r="E6" s="39">
        <v>2.06</v>
      </c>
      <c r="F6" s="39">
        <v>0.59</v>
      </c>
      <c r="G6" s="11"/>
      <c r="H6" s="30">
        <f t="shared" si="0"/>
        <v>14.780000000000001</v>
      </c>
    </row>
    <row r="7" spans="1:10" x14ac:dyDescent="0.2">
      <c r="A7" s="6" t="s">
        <v>9</v>
      </c>
      <c r="B7" s="39">
        <v>3.2120000000000002</v>
      </c>
      <c r="C7" s="39">
        <v>3.2509999999999999</v>
      </c>
      <c r="D7" s="39">
        <v>4.9989999999999997</v>
      </c>
      <c r="E7" s="39">
        <v>6.7</v>
      </c>
      <c r="F7" s="39">
        <v>1.8580000000000001</v>
      </c>
      <c r="G7" s="11"/>
      <c r="H7" s="30">
        <f t="shared" si="0"/>
        <v>20.02</v>
      </c>
    </row>
    <row r="8" spans="1:10" x14ac:dyDescent="0.2">
      <c r="A8" s="6" t="s">
        <v>10</v>
      </c>
      <c r="B8" s="14">
        <v>6</v>
      </c>
      <c r="C8" s="14">
        <v>6</v>
      </c>
      <c r="D8" s="14">
        <v>5.66</v>
      </c>
      <c r="E8" s="14">
        <v>12.55</v>
      </c>
      <c r="F8" s="14">
        <v>4</v>
      </c>
      <c r="G8" s="11"/>
      <c r="H8" s="30">
        <f t="shared" si="0"/>
        <v>34.21</v>
      </c>
    </row>
    <row r="9" spans="1:10" x14ac:dyDescent="0.2">
      <c r="A9" s="6" t="s">
        <v>11</v>
      </c>
      <c r="B9" s="11"/>
      <c r="C9" s="11"/>
      <c r="D9" s="11"/>
      <c r="E9" s="11"/>
      <c r="F9" s="11"/>
      <c r="G9" s="11"/>
    </row>
    <row r="10" spans="1:10" x14ac:dyDescent="0.2">
      <c r="A10" s="6" t="s">
        <v>12</v>
      </c>
      <c r="B10" s="2">
        <f t="shared" ref="B10:F10" si="1">B4/B7</f>
        <v>0.86924034869240341</v>
      </c>
      <c r="C10" s="2">
        <f t="shared" si="1"/>
        <v>0.59612426945555219</v>
      </c>
      <c r="D10" s="2">
        <f t="shared" si="1"/>
        <v>0.10082016403280657</v>
      </c>
      <c r="E10" s="2">
        <f t="shared" si="1"/>
        <v>0.1928358208955224</v>
      </c>
      <c r="F10" s="2">
        <f t="shared" si="1"/>
        <v>0.31162540365984925</v>
      </c>
      <c r="G10" s="11"/>
    </row>
    <row r="11" spans="1:10" x14ac:dyDescent="0.2">
      <c r="A11" s="12" t="s">
        <v>13</v>
      </c>
      <c r="B11" s="23">
        <f t="shared" ref="B11:F11" si="2">B5/B7</f>
        <v>1.1500622665006226</v>
      </c>
      <c r="C11" s="24">
        <f t="shared" si="2"/>
        <v>0.62811442633035985</v>
      </c>
      <c r="D11" s="24">
        <f t="shared" si="2"/>
        <v>0.16823364672934588</v>
      </c>
      <c r="E11" s="24">
        <f t="shared" si="2"/>
        <v>0.16402985074626864</v>
      </c>
      <c r="F11" s="24">
        <f t="shared" si="2"/>
        <v>0.29494079655543598</v>
      </c>
      <c r="G11" s="13"/>
      <c r="H11" s="31"/>
    </row>
    <row r="12" spans="1:10" x14ac:dyDescent="0.2">
      <c r="A12" s="6"/>
    </row>
    <row r="13" spans="1:10" x14ac:dyDescent="0.2">
      <c r="A13" s="9" t="s">
        <v>14</v>
      </c>
      <c r="B13" s="19">
        <v>5420</v>
      </c>
      <c r="C13" s="19">
        <v>5405</v>
      </c>
      <c r="D13" s="19">
        <v>5356</v>
      </c>
      <c r="E13" s="19">
        <v>5286</v>
      </c>
      <c r="F13" s="19">
        <v>9299</v>
      </c>
      <c r="G13" s="10"/>
      <c r="H13" s="40"/>
    </row>
    <row r="14" spans="1:10" x14ac:dyDescent="0.2">
      <c r="A14" s="6" t="s">
        <v>15</v>
      </c>
      <c r="B14" s="20">
        <v>10253</v>
      </c>
      <c r="C14" s="20">
        <v>10253</v>
      </c>
      <c r="D14" s="20">
        <v>10253</v>
      </c>
      <c r="E14" s="20">
        <v>10253</v>
      </c>
      <c r="F14" s="20">
        <v>101</v>
      </c>
      <c r="G14" s="11"/>
      <c r="H14" s="41"/>
    </row>
    <row r="15" spans="1:10" x14ac:dyDescent="0.2">
      <c r="A15" s="6" t="s">
        <v>16</v>
      </c>
      <c r="B15" s="20">
        <v>26417</v>
      </c>
      <c r="C15" s="20">
        <v>26326</v>
      </c>
      <c r="D15" s="20">
        <v>26067</v>
      </c>
      <c r="E15" s="20">
        <v>25746</v>
      </c>
      <c r="F15" s="20">
        <v>51381</v>
      </c>
      <c r="G15" s="11"/>
      <c r="H15" s="41"/>
    </row>
    <row r="16" spans="1:10" x14ac:dyDescent="0.2">
      <c r="A16" s="6" t="s">
        <v>17</v>
      </c>
      <c r="B16" s="21">
        <v>227</v>
      </c>
      <c r="C16" s="21">
        <v>242</v>
      </c>
      <c r="D16" s="21">
        <v>291</v>
      </c>
      <c r="E16" s="20">
        <v>361</v>
      </c>
      <c r="F16" s="20">
        <v>25</v>
      </c>
      <c r="G16" s="11"/>
      <c r="H16" s="41"/>
    </row>
    <row r="17" spans="1:10" x14ac:dyDescent="0.2">
      <c r="A17" s="6" t="s">
        <v>18</v>
      </c>
      <c r="B17" s="21">
        <v>-9215</v>
      </c>
      <c r="C17" s="21">
        <v>-10738</v>
      </c>
      <c r="D17" s="21">
        <v>-10770</v>
      </c>
      <c r="E17" s="20">
        <v>-16907</v>
      </c>
      <c r="F17" s="20">
        <v>-18489</v>
      </c>
      <c r="G17" s="11"/>
      <c r="H17" s="41"/>
      <c r="J17" t="s">
        <v>19</v>
      </c>
    </row>
    <row r="18" spans="1:10" x14ac:dyDescent="0.2">
      <c r="A18" s="6" t="s">
        <v>20</v>
      </c>
      <c r="B18" s="21">
        <v>2795</v>
      </c>
      <c r="C18" s="21">
        <v>3408</v>
      </c>
      <c r="D18" s="21">
        <v>-599</v>
      </c>
      <c r="E18" s="20">
        <v>-135</v>
      </c>
      <c r="F18" s="20">
        <v>-327</v>
      </c>
      <c r="G18" s="11"/>
      <c r="H18" s="41"/>
      <c r="I18" t="s">
        <v>61</v>
      </c>
      <c r="J18" t="s">
        <v>21</v>
      </c>
    </row>
    <row r="19" spans="1:10" x14ac:dyDescent="0.2">
      <c r="A19" s="6" t="s">
        <v>22</v>
      </c>
      <c r="B19" s="20">
        <v>992</v>
      </c>
      <c r="C19" s="20">
        <v>693</v>
      </c>
      <c r="D19" s="20">
        <v>574</v>
      </c>
      <c r="E19" s="20">
        <v>646</v>
      </c>
      <c r="F19" s="20">
        <v>1110</v>
      </c>
      <c r="G19" s="11"/>
      <c r="H19" s="41"/>
    </row>
    <row r="20" spans="1:10" x14ac:dyDescent="0.2">
      <c r="A20" s="6" t="s">
        <v>24</v>
      </c>
      <c r="B20" s="21">
        <v>36889</v>
      </c>
      <c r="C20" s="21">
        <v>35589</v>
      </c>
      <c r="D20" s="21">
        <v>31172</v>
      </c>
      <c r="E20" s="21">
        <v>25250</v>
      </c>
      <c r="F20" s="21">
        <v>43100</v>
      </c>
      <c r="G20" s="11"/>
    </row>
    <row r="21" spans="1:10" x14ac:dyDescent="0.2">
      <c r="A21" s="12" t="s">
        <v>25</v>
      </c>
      <c r="B21" s="13">
        <v>68.099999999999994</v>
      </c>
      <c r="C21" s="18">
        <v>65.84</v>
      </c>
      <c r="D21" s="18">
        <v>58.2</v>
      </c>
      <c r="E21" s="18">
        <v>47.76</v>
      </c>
      <c r="F21" s="18">
        <v>46.35</v>
      </c>
      <c r="G21" s="13"/>
      <c r="H21" s="31"/>
    </row>
    <row r="22" spans="1:10" x14ac:dyDescent="0.2">
      <c r="A22" s="6"/>
      <c r="B22" s="51"/>
      <c r="C22" s="51"/>
      <c r="D22" s="51"/>
      <c r="E22" s="51"/>
      <c r="F22" s="51"/>
    </row>
    <row r="23" spans="1:10" x14ac:dyDescent="0.2">
      <c r="A23" s="9" t="s">
        <v>26</v>
      </c>
      <c r="B23" s="10"/>
      <c r="C23" s="10"/>
      <c r="D23" s="10"/>
      <c r="E23" s="10"/>
      <c r="F23" s="10"/>
      <c r="G23" s="10"/>
      <c r="H23" s="34"/>
    </row>
    <row r="24" spans="1:10" x14ac:dyDescent="0.2">
      <c r="A24" s="6" t="s">
        <v>27</v>
      </c>
      <c r="B24" s="20">
        <v>193</v>
      </c>
      <c r="C24" s="20">
        <v>91</v>
      </c>
      <c r="D24" s="20">
        <v>259</v>
      </c>
      <c r="E24" s="20">
        <v>321</v>
      </c>
      <c r="F24" s="20">
        <v>627</v>
      </c>
      <c r="G24" s="21">
        <v>497</v>
      </c>
    </row>
    <row r="25" spans="1:10" x14ac:dyDescent="0.2">
      <c r="A25" s="6" t="s">
        <v>28</v>
      </c>
      <c r="B25" s="21">
        <v>4013</v>
      </c>
      <c r="C25" s="21">
        <v>0</v>
      </c>
      <c r="D25" s="21">
        <v>0</v>
      </c>
      <c r="E25" s="20">
        <v>0</v>
      </c>
      <c r="F25" s="21">
        <v>19799</v>
      </c>
      <c r="G25" s="11"/>
    </row>
    <row r="26" spans="1:10" x14ac:dyDescent="0.2">
      <c r="A26" s="12" t="s">
        <v>29</v>
      </c>
      <c r="B26" s="22">
        <v>54197884</v>
      </c>
      <c r="C26" s="22">
        <v>54141007</v>
      </c>
      <c r="D26" s="22">
        <v>53864742</v>
      </c>
      <c r="E26" s="22">
        <v>53147172</v>
      </c>
      <c r="F26" s="22">
        <v>92232124</v>
      </c>
      <c r="G26" s="13"/>
      <c r="H26" s="31"/>
    </row>
    <row r="27" spans="1:10" x14ac:dyDescent="0.2">
      <c r="A27" s="6"/>
    </row>
    <row r="28" spans="1:10" s="3" customFormat="1" x14ac:dyDescent="0.2">
      <c r="A28" s="7" t="s">
        <v>30</v>
      </c>
      <c r="B28" s="35"/>
      <c r="C28" s="36">
        <f>(C21+C8+C9)/B21-1</f>
        <v>5.491923641703389E-2</v>
      </c>
      <c r="D28" s="36">
        <f>(D21+D8+D9)/C21-1</f>
        <v>-3.0072904009720625E-2</v>
      </c>
      <c r="E28" s="36">
        <f>(E21+E8+E9)/D21-1</f>
        <v>3.6254295532646141E-2</v>
      </c>
      <c r="F28" s="36">
        <f>(F21+F8+F9)/E21-1</f>
        <v>5.4229480737018498E-2</v>
      </c>
      <c r="G28" s="37"/>
      <c r="H28" s="35"/>
    </row>
    <row r="29" spans="1:10" x14ac:dyDescent="0.2">
      <c r="A29" s="7" t="s">
        <v>31</v>
      </c>
      <c r="B29" s="35"/>
      <c r="C29" s="36"/>
      <c r="D29" s="36"/>
      <c r="E29" s="36"/>
      <c r="F29" s="36"/>
      <c r="G29" s="37"/>
      <c r="H29" s="35">
        <f>((C28+1)*(D28+1)*(E28+1)*(F28+1))^(1/4)-1</f>
        <v>2.8229242939214583E-2</v>
      </c>
    </row>
    <row r="31" spans="1:10" x14ac:dyDescent="0.2">
      <c r="A31" s="10"/>
      <c r="B31" s="34">
        <v>2020</v>
      </c>
      <c r="C31" s="10"/>
      <c r="D31" s="10"/>
      <c r="E31" s="10"/>
      <c r="F31" s="10"/>
      <c r="G31" s="10"/>
      <c r="H31" s="34"/>
    </row>
    <row r="32" spans="1:10" x14ac:dyDescent="0.2">
      <c r="A32" s="11"/>
      <c r="B32" s="28"/>
    </row>
    <row r="33" spans="1:8" ht="34" x14ac:dyDescent="0.2">
      <c r="A33" s="11"/>
      <c r="B33" s="54" t="s">
        <v>32</v>
      </c>
      <c r="C33" s="53" t="s">
        <v>33</v>
      </c>
      <c r="D33" s="53" t="s">
        <v>34</v>
      </c>
    </row>
    <row r="34" spans="1:8" ht="34" x14ac:dyDescent="0.2">
      <c r="A34" s="11"/>
      <c r="B34" s="55" t="s">
        <v>35</v>
      </c>
      <c r="C34" s="52">
        <v>26182000</v>
      </c>
      <c r="D34" s="2">
        <f>C34/$C$38</f>
        <v>0.61245032577268865</v>
      </c>
      <c r="F34" s="51"/>
      <c r="G34" s="51"/>
    </row>
    <row r="35" spans="1:8" ht="17" x14ac:dyDescent="0.2">
      <c r="A35" s="11"/>
      <c r="B35" s="55" t="s">
        <v>59</v>
      </c>
      <c r="C35" s="52">
        <v>416000</v>
      </c>
      <c r="D35" s="2">
        <f>C35/$C$38</f>
        <v>9.7310875991688355E-3</v>
      </c>
    </row>
    <row r="36" spans="1:8" ht="34" x14ac:dyDescent="0.2">
      <c r="A36" s="11"/>
      <c r="B36" s="55" t="s">
        <v>37</v>
      </c>
      <c r="C36" s="52">
        <v>16540000</v>
      </c>
      <c r="D36" s="2">
        <f>C36/$C$38</f>
        <v>0.38690430021695327</v>
      </c>
    </row>
    <row r="37" spans="1:8" x14ac:dyDescent="0.2">
      <c r="A37" s="11"/>
      <c r="B37" s="55"/>
      <c r="C37" s="52"/>
    </row>
    <row r="38" spans="1:8" ht="17" x14ac:dyDescent="0.2">
      <c r="A38" s="13"/>
      <c r="B38" s="56" t="s">
        <v>38</v>
      </c>
      <c r="C38" s="22">
        <f>F21*F26/100</f>
        <v>42749589.473999999</v>
      </c>
      <c r="D38" s="13"/>
      <c r="E38" s="13"/>
      <c r="F38" s="13"/>
      <c r="G38" s="13"/>
      <c r="H38" s="31"/>
    </row>
    <row r="41" spans="1:8" x14ac:dyDescent="0.2">
      <c r="A41" s="5" t="s">
        <v>145</v>
      </c>
      <c r="B41">
        <f>B3</f>
        <v>2016</v>
      </c>
      <c r="C41">
        <f>C3</f>
        <v>2017</v>
      </c>
      <c r="D41">
        <f>D3</f>
        <v>2018</v>
      </c>
      <c r="E41">
        <f>E3</f>
        <v>2019</v>
      </c>
      <c r="F41">
        <f>F3</f>
        <v>2020</v>
      </c>
      <c r="G41" t="s">
        <v>161</v>
      </c>
      <c r="H41" s="28" t="s">
        <v>2</v>
      </c>
    </row>
    <row r="42" spans="1:8" x14ac:dyDescent="0.2">
      <c r="A42" s="5" t="s">
        <v>147</v>
      </c>
      <c r="B42" s="79">
        <f>10.989+0.037</f>
        <v>11.026000000000002</v>
      </c>
      <c r="C42" s="79">
        <f>5.359+0.036</f>
        <v>5.3949999999999996</v>
      </c>
      <c r="D42" s="79">
        <v>10.577999999999999</v>
      </c>
      <c r="E42" s="79">
        <v>2.0270000000000001</v>
      </c>
      <c r="F42" s="79">
        <v>5.4249999999999998</v>
      </c>
      <c r="G42" s="79">
        <v>0.997</v>
      </c>
      <c r="H42" s="30">
        <f>SUM(B42:G42)</f>
        <v>35.448</v>
      </c>
    </row>
    <row r="43" spans="1:8" x14ac:dyDescent="0.2">
      <c r="A43" s="5" t="s">
        <v>160</v>
      </c>
      <c r="B43" s="79">
        <f>3.726+0.016-0.69</f>
        <v>3.052</v>
      </c>
      <c r="C43" s="79">
        <f>1.365+0.036</f>
        <v>1.401</v>
      </c>
      <c r="D43" s="79">
        <f>4.782-0.271</f>
        <v>4.5110000000000001</v>
      </c>
      <c r="E43" s="79">
        <v>0.82799999999999996</v>
      </c>
      <c r="F43" s="79">
        <f>2.136-1.365</f>
        <v>0.77100000000000013</v>
      </c>
      <c r="G43" s="14">
        <f>0.545-0.897</f>
        <v>-0.35199999999999998</v>
      </c>
      <c r="H43" s="30">
        <f>SUM(B43:G43)</f>
        <v>10.211</v>
      </c>
    </row>
    <row r="44" spans="1:8" x14ac:dyDescent="0.2">
      <c r="A44" s="5" t="s">
        <v>116</v>
      </c>
      <c r="B44" s="79">
        <f>B5</f>
        <v>3.694</v>
      </c>
      <c r="C44" s="79">
        <f>C5</f>
        <v>2.0419999999999998</v>
      </c>
      <c r="D44" s="79">
        <f>D5</f>
        <v>0.84099999999999997</v>
      </c>
      <c r="E44" s="79">
        <f>E5</f>
        <v>1.099</v>
      </c>
      <c r="F44" s="79">
        <f>F5</f>
        <v>0.54800000000000004</v>
      </c>
      <c r="G44" s="79">
        <v>-5.5E-2</v>
      </c>
      <c r="H44" s="30">
        <f>SUM(B44:G44)</f>
        <v>8.1690000000000005</v>
      </c>
    </row>
    <row r="45" spans="1:8" x14ac:dyDescent="0.2">
      <c r="A45" s="5" t="s">
        <v>146</v>
      </c>
      <c r="B45" s="79">
        <f>B7</f>
        <v>3.2120000000000002</v>
      </c>
      <c r="C45" s="79">
        <f>C7</f>
        <v>3.2509999999999999</v>
      </c>
      <c r="D45" s="79">
        <f>D7</f>
        <v>4.9989999999999997</v>
      </c>
      <c r="E45" s="79">
        <f>E7</f>
        <v>6.7</v>
      </c>
      <c r="F45" s="79">
        <f>F7</f>
        <v>1.8580000000000001</v>
      </c>
      <c r="G45">
        <v>1.84</v>
      </c>
      <c r="H45" s="30">
        <f>SUM(B45:G45)</f>
        <v>21.86</v>
      </c>
    </row>
    <row r="46" spans="1:8" x14ac:dyDescent="0.2">
      <c r="A46" s="5" t="s">
        <v>150</v>
      </c>
      <c r="B46" s="75">
        <f>B42/B$45</f>
        <v>3.432752179327522</v>
      </c>
      <c r="C46" s="75">
        <f>C42/C$45</f>
        <v>1.659489387880652</v>
      </c>
      <c r="D46" s="75">
        <f>D42/D$45</f>
        <v>2.1160232046409284</v>
      </c>
      <c r="E46" s="75">
        <f>E42/E$45</f>
        <v>0.30253731343283585</v>
      </c>
      <c r="F46" s="75">
        <f>F42/F$45</f>
        <v>2.9198062432723355</v>
      </c>
      <c r="H46" s="75">
        <f>H42/H$45</f>
        <v>1.6215919487648673</v>
      </c>
    </row>
    <row r="47" spans="1:8" x14ac:dyDescent="0.2">
      <c r="A47" s="5" t="s">
        <v>151</v>
      </c>
      <c r="B47" s="75">
        <f>B43/B$45</f>
        <v>0.95018679950186791</v>
      </c>
      <c r="C47" s="75">
        <f>C43/C45</f>
        <v>0.43094432482313139</v>
      </c>
      <c r="D47" s="75">
        <f>D43/D45</f>
        <v>0.9023804760952191</v>
      </c>
      <c r="E47" s="75">
        <f>E43/E45</f>
        <v>0.1235820895522388</v>
      </c>
      <c r="F47" s="75">
        <f>F43/F45</f>
        <v>0.414962325080732</v>
      </c>
      <c r="H47" s="75">
        <f>H43/H$45</f>
        <v>0.46710887465690765</v>
      </c>
    </row>
    <row r="48" spans="1:8" x14ac:dyDescent="0.2">
      <c r="A48" s="5" t="s">
        <v>152</v>
      </c>
      <c r="B48" s="75">
        <f>B11</f>
        <v>1.1500622665006226</v>
      </c>
      <c r="C48" s="75">
        <f>C11</f>
        <v>0.62811442633035985</v>
      </c>
      <c r="D48" s="75">
        <f>D11</f>
        <v>0.16823364672934588</v>
      </c>
      <c r="E48" s="75">
        <f>E11</f>
        <v>0.16402985074626864</v>
      </c>
      <c r="F48" s="75">
        <f>F11</f>
        <v>0.29494079655543598</v>
      </c>
      <c r="H48" s="75">
        <f>H44/H$45</f>
        <v>0.37369624885635866</v>
      </c>
    </row>
    <row r="49" spans="1:8" x14ac:dyDescent="0.2">
      <c r="A49" s="5" t="s">
        <v>148</v>
      </c>
    </row>
    <row r="50" spans="1:8" x14ac:dyDescent="0.2">
      <c r="A50" s="5" t="s">
        <v>149</v>
      </c>
      <c r="B50">
        <f>34.827-6.497</f>
        <v>28.33</v>
      </c>
      <c r="C50" s="79">
        <v>27.934999999999999</v>
      </c>
      <c r="D50" s="79">
        <v>20.670999999999999</v>
      </c>
      <c r="E50">
        <v>22.577999999999999</v>
      </c>
      <c r="F50">
        <v>25.18</v>
      </c>
      <c r="G50" s="79">
        <v>28.734999999999999</v>
      </c>
    </row>
    <row r="51" spans="1:8" x14ac:dyDescent="0.2">
      <c r="A51" s="5" t="s">
        <v>153</v>
      </c>
      <c r="B51" s="79">
        <f>6.497+1.58</f>
        <v>8.077</v>
      </c>
      <c r="C51" s="79">
        <f>4.34+7.101</f>
        <v>11.440999999999999</v>
      </c>
      <c r="D51" s="79">
        <v>9.6359999999999992</v>
      </c>
      <c r="E51">
        <v>2.3490000000000002</v>
      </c>
      <c r="F51">
        <f>2+16.54</f>
        <v>18.54</v>
      </c>
      <c r="G51" s="79">
        <f>2+10.268</f>
        <v>12.268000000000001</v>
      </c>
    </row>
    <row r="52" spans="1:8" x14ac:dyDescent="0.2">
      <c r="A52" s="5" t="s">
        <v>117</v>
      </c>
      <c r="B52" s="79">
        <f>B20/1000</f>
        <v>36.889000000000003</v>
      </c>
      <c r="C52" s="79">
        <f>C20/1000</f>
        <v>35.588999999999999</v>
      </c>
      <c r="D52" s="79">
        <f>D20/1000</f>
        <v>31.172000000000001</v>
      </c>
      <c r="E52" s="79">
        <f>E20/1000</f>
        <v>25.25</v>
      </c>
      <c r="F52" s="79">
        <f>F20/1000</f>
        <v>43.1</v>
      </c>
      <c r="G52" s="79">
        <v>40.707999999999998</v>
      </c>
    </row>
    <row r="53" spans="1:8" x14ac:dyDescent="0.2">
      <c r="A53" s="5" t="s">
        <v>25</v>
      </c>
      <c r="B53" s="77">
        <f>B21</f>
        <v>68.099999999999994</v>
      </c>
      <c r="C53" s="77">
        <f>C21</f>
        <v>65.84</v>
      </c>
      <c r="D53" s="77">
        <f>D21</f>
        <v>58.2</v>
      </c>
      <c r="E53" s="77">
        <f>E21</f>
        <v>47.76</v>
      </c>
      <c r="F53" s="77">
        <f>F21</f>
        <v>46.35</v>
      </c>
      <c r="G53" s="91">
        <f>44.35</f>
        <v>44.35</v>
      </c>
    </row>
    <row r="54" spans="1:8" x14ac:dyDescent="0.2">
      <c r="A54" s="5" t="s">
        <v>154</v>
      </c>
      <c r="B54" s="2">
        <f t="shared" ref="B54:G54" si="3">B50/B52</f>
        <v>0.76797961451923324</v>
      </c>
      <c r="C54" s="2">
        <f t="shared" si="3"/>
        <v>0.78493354688246364</v>
      </c>
      <c r="D54" s="2">
        <f t="shared" si="3"/>
        <v>0.6631271654048505</v>
      </c>
      <c r="E54" s="2">
        <f t="shared" si="3"/>
        <v>0.8941782178217822</v>
      </c>
      <c r="F54" s="2">
        <f t="shared" si="3"/>
        <v>0.58422273781902545</v>
      </c>
      <c r="G54" s="2">
        <f t="shared" si="3"/>
        <v>0.70588090792964531</v>
      </c>
      <c r="H54" s="97">
        <f>AVERAGE(B54:G54)</f>
        <v>0.73338703172950004</v>
      </c>
    </row>
    <row r="58" spans="1:8" x14ac:dyDescent="0.2">
      <c r="A58" s="5" t="s">
        <v>155</v>
      </c>
    </row>
    <row r="59" spans="1:8" x14ac:dyDescent="0.2">
      <c r="A59" s="5" t="s">
        <v>156</v>
      </c>
      <c r="B59" s="79">
        <f>B8</f>
        <v>6</v>
      </c>
      <c r="C59" s="79">
        <f>C8</f>
        <v>6</v>
      </c>
      <c r="D59" s="79">
        <f>D8</f>
        <v>5.66</v>
      </c>
      <c r="E59" s="79">
        <f>E8</f>
        <v>12.55</v>
      </c>
      <c r="F59" s="79">
        <f>F8</f>
        <v>4</v>
      </c>
      <c r="G59" s="79">
        <v>1</v>
      </c>
    </row>
    <row r="60" spans="1:8" x14ac:dyDescent="0.2">
      <c r="A60" s="5" t="s">
        <v>25</v>
      </c>
      <c r="B60" s="77">
        <f t="shared" ref="B60:G60" si="4">B53</f>
        <v>68.099999999999994</v>
      </c>
      <c r="C60" s="77">
        <f t="shared" si="4"/>
        <v>65.84</v>
      </c>
      <c r="D60" s="77">
        <f t="shared" si="4"/>
        <v>58.2</v>
      </c>
      <c r="E60" s="77">
        <f t="shared" si="4"/>
        <v>47.76</v>
      </c>
      <c r="F60" s="77">
        <f t="shared" si="4"/>
        <v>46.35</v>
      </c>
      <c r="G60" s="77">
        <f t="shared" si="4"/>
        <v>44.35</v>
      </c>
    </row>
    <row r="61" spans="1:8" x14ac:dyDescent="0.2">
      <c r="A61" s="5" t="s">
        <v>157</v>
      </c>
      <c r="B61">
        <v>65.5</v>
      </c>
      <c r="C61">
        <v>62.5</v>
      </c>
      <c r="D61">
        <v>54</v>
      </c>
      <c r="E61">
        <v>43</v>
      </c>
      <c r="F61">
        <v>43.6</v>
      </c>
      <c r="G61">
        <v>40</v>
      </c>
    </row>
    <row r="62" spans="1:8" x14ac:dyDescent="0.2">
      <c r="A62" s="5" t="s">
        <v>158</v>
      </c>
      <c r="B62" s="90">
        <f t="shared" ref="B62:F63" si="5">B$59/B60</f>
        <v>8.8105726872246701E-2</v>
      </c>
      <c r="C62" s="90">
        <f t="shared" si="5"/>
        <v>9.113001215066828E-2</v>
      </c>
      <c r="D62" s="90">
        <f t="shared" si="5"/>
        <v>9.7250859106529211E-2</v>
      </c>
      <c r="E62" s="90">
        <f t="shared" si="5"/>
        <v>0.26277219430485765</v>
      </c>
      <c r="F62" s="90">
        <f t="shared" si="5"/>
        <v>8.6299892125134836E-2</v>
      </c>
    </row>
    <row r="63" spans="1:8" x14ac:dyDescent="0.2">
      <c r="A63" s="5" t="s">
        <v>159</v>
      </c>
      <c r="B63" s="90">
        <f t="shared" si="5"/>
        <v>9.1603053435114504E-2</v>
      </c>
      <c r="C63" s="90">
        <f t="shared" si="5"/>
        <v>9.6000000000000002E-2</v>
      </c>
      <c r="D63" s="90">
        <f t="shared" si="5"/>
        <v>0.10481481481481482</v>
      </c>
      <c r="E63" s="90">
        <f t="shared" si="5"/>
        <v>0.29186046511627911</v>
      </c>
      <c r="F63" s="90">
        <f t="shared" si="5"/>
        <v>9.1743119266055037E-2</v>
      </c>
    </row>
    <row r="64" spans="1:8" x14ac:dyDescent="0.2">
      <c r="A64" s="5" t="s">
        <v>199</v>
      </c>
      <c r="B64" s="90">
        <f>(B60+B59)/67.5-1</f>
        <v>9.7777777777777741E-2</v>
      </c>
      <c r="C64" s="90">
        <f>(C60+C59)/B60-1</f>
        <v>5.491923641703389E-2</v>
      </c>
      <c r="D64" s="90">
        <f>(D60+D59)/C60-1</f>
        <v>-3.0072904009720625E-2</v>
      </c>
      <c r="E64" s="90">
        <f>(E60+E59)/D60-1</f>
        <v>3.6254295532646141E-2</v>
      </c>
      <c r="F64" s="90">
        <f>(F60+F59)/E60-1</f>
        <v>5.4229480737018498E-2</v>
      </c>
      <c r="G64" s="90">
        <f>(G60+G59)/F60-1</f>
        <v>-2.1574973031283751E-2</v>
      </c>
      <c r="H64" s="96">
        <f>H66-1</f>
        <v>0.20060954684808818</v>
      </c>
    </row>
    <row r="66" spans="1:9" x14ac:dyDescent="0.2">
      <c r="A66" s="5" t="s">
        <v>200</v>
      </c>
      <c r="B66" s="93">
        <f t="shared" ref="B66:G66" si="6">1+B64</f>
        <v>1.0977777777777777</v>
      </c>
      <c r="C66" s="93">
        <f t="shared" si="6"/>
        <v>1.0549192364170339</v>
      </c>
      <c r="D66" s="93">
        <f t="shared" si="6"/>
        <v>0.96992709599027938</v>
      </c>
      <c r="E66" s="93">
        <f t="shared" si="6"/>
        <v>1.0362542955326461</v>
      </c>
      <c r="F66" s="93">
        <f t="shared" si="6"/>
        <v>1.0542294807370185</v>
      </c>
      <c r="G66" s="93">
        <f t="shared" si="6"/>
        <v>0.97842502696871625</v>
      </c>
      <c r="H66" s="94">
        <f>PRODUCT(B66:G66)</f>
        <v>1.2006095468480882</v>
      </c>
      <c r="I66" s="95">
        <f>H66^(1/5.5)-1</f>
        <v>3.380038490184778E-2</v>
      </c>
    </row>
    <row r="67" spans="1:9" x14ac:dyDescent="0.2">
      <c r="A67" s="5" t="s">
        <v>202</v>
      </c>
      <c r="B67">
        <v>0.69</v>
      </c>
      <c r="D67">
        <v>0.27100000000000002</v>
      </c>
      <c r="F67">
        <v>1.365</v>
      </c>
      <c r="G67">
        <v>0.89700000000000002</v>
      </c>
      <c r="H67" s="28">
        <f>SUM(B67:G67)</f>
        <v>3.2229999999999999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AE91-4D44-48FA-86FC-185266517238}">
  <dimension ref="A1:J41"/>
  <sheetViews>
    <sheetView zoomScale="70" zoomScaleNormal="70" workbookViewId="0">
      <selection activeCell="F22" sqref="F22"/>
    </sheetView>
  </sheetViews>
  <sheetFormatPr baseColWidth="10" defaultColWidth="11" defaultRowHeight="16" x14ac:dyDescent="0.2"/>
  <cols>
    <col min="1" max="1" width="44.5" style="5" customWidth="1"/>
    <col min="2" max="6" width="12.83203125" customWidth="1"/>
    <col min="7" max="7" width="13" bestFit="1" customWidth="1"/>
    <col min="8" max="8" width="11.6640625" style="28" bestFit="1" customWidth="1"/>
  </cols>
  <sheetData>
    <row r="1" spans="1:10" x14ac:dyDescent="0.2">
      <c r="A1" s="5" t="s">
        <v>0</v>
      </c>
      <c r="B1" s="1">
        <v>43830</v>
      </c>
    </row>
    <row r="2" spans="1:10" x14ac:dyDescent="0.2">
      <c r="A2" s="6" t="s">
        <v>72</v>
      </c>
    </row>
    <row r="3" spans="1:10" x14ac:dyDescent="0.2">
      <c r="B3" s="4">
        <f>C3-1</f>
        <v>2015</v>
      </c>
      <c r="C3" s="4">
        <f>D3-1</f>
        <v>2016</v>
      </c>
      <c r="D3" s="4">
        <f>E3-1</f>
        <v>2017</v>
      </c>
      <c r="E3" s="4">
        <f>F3-1</f>
        <v>2018</v>
      </c>
      <c r="F3" s="4">
        <v>2019</v>
      </c>
      <c r="G3" s="4"/>
      <c r="H3" s="29" t="s">
        <v>2</v>
      </c>
      <c r="I3" t="s">
        <v>3</v>
      </c>
      <c r="J3" t="s">
        <v>51</v>
      </c>
    </row>
    <row r="4" spans="1:10" x14ac:dyDescent="0.2">
      <c r="A4" s="9" t="s">
        <v>5</v>
      </c>
      <c r="B4" s="38">
        <v>2.8660000000000001</v>
      </c>
      <c r="C4" s="38">
        <v>1.4239999999999999</v>
      </c>
      <c r="D4" s="38">
        <v>0.98399999999999999</v>
      </c>
      <c r="E4" s="38">
        <v>1.0820000000000001</v>
      </c>
      <c r="F4" s="38">
        <v>1.4970000000000001</v>
      </c>
      <c r="G4" s="10"/>
      <c r="H4" s="30">
        <f>SUM(B4:F4)</f>
        <v>7.8529999999999998</v>
      </c>
    </row>
    <row r="5" spans="1:10" x14ac:dyDescent="0.2">
      <c r="A5" s="6" t="s">
        <v>6</v>
      </c>
      <c r="B5" s="14">
        <v>3.004</v>
      </c>
      <c r="C5" s="14">
        <v>1.008</v>
      </c>
      <c r="D5" s="14">
        <v>0.88700000000000001</v>
      </c>
      <c r="E5" s="14">
        <v>0.36099999999999999</v>
      </c>
      <c r="F5" s="39">
        <v>1.175</v>
      </c>
      <c r="G5" s="11"/>
      <c r="H5" s="30">
        <f t="shared" ref="H5:H8" si="0">SUM(B5:F5)</f>
        <v>6.4350000000000005</v>
      </c>
      <c r="J5" t="s">
        <v>7</v>
      </c>
    </row>
    <row r="6" spans="1:10" x14ac:dyDescent="0.2">
      <c r="A6" s="6" t="s">
        <v>8</v>
      </c>
      <c r="B6" s="39">
        <v>8.9</v>
      </c>
      <c r="C6" s="39">
        <v>3.04</v>
      </c>
      <c r="D6" s="39">
        <v>2.67</v>
      </c>
      <c r="E6" s="39">
        <v>0.66</v>
      </c>
      <c r="F6" s="39">
        <v>1.53</v>
      </c>
      <c r="G6" s="11"/>
      <c r="H6" s="30">
        <f t="shared" si="0"/>
        <v>16.8</v>
      </c>
    </row>
    <row r="7" spans="1:10" x14ac:dyDescent="0.2">
      <c r="A7" s="6" t="s">
        <v>9</v>
      </c>
      <c r="B7" s="39">
        <v>1.7230000000000001</v>
      </c>
      <c r="C7" s="39">
        <v>1.748</v>
      </c>
      <c r="D7" s="39">
        <v>5.0679999999999996</v>
      </c>
      <c r="E7" s="39">
        <v>6.5449999999999999</v>
      </c>
      <c r="F7" s="39">
        <v>1.5169999999999999</v>
      </c>
      <c r="G7" s="11"/>
      <c r="H7" s="30">
        <f t="shared" si="0"/>
        <v>16.600999999999999</v>
      </c>
    </row>
    <row r="8" spans="1:10" x14ac:dyDescent="0.2">
      <c r="A8" s="6" t="s">
        <v>10</v>
      </c>
      <c r="B8" s="14">
        <v>5.25</v>
      </c>
      <c r="C8" s="14">
        <v>5.25</v>
      </c>
      <c r="D8" s="14">
        <v>12.45</v>
      </c>
      <c r="E8" s="14">
        <v>13.7</v>
      </c>
      <c r="F8" s="14">
        <v>4</v>
      </c>
      <c r="G8" s="11"/>
      <c r="H8" s="30">
        <f t="shared" si="0"/>
        <v>40.65</v>
      </c>
    </row>
    <row r="9" spans="1:10" x14ac:dyDescent="0.2">
      <c r="A9" s="6" t="s">
        <v>11</v>
      </c>
      <c r="B9" s="11"/>
      <c r="C9" s="11"/>
      <c r="D9" s="11"/>
      <c r="E9" s="11"/>
      <c r="F9" s="11"/>
      <c r="G9" s="11"/>
    </row>
    <row r="10" spans="1:10" x14ac:dyDescent="0.2">
      <c r="A10" s="6" t="s">
        <v>12</v>
      </c>
      <c r="B10" s="2">
        <f t="shared" ref="B10:F10" si="1">B4/B7</f>
        <v>1.6633778293673824</v>
      </c>
      <c r="C10" s="2">
        <f t="shared" si="1"/>
        <v>0.81464530892448506</v>
      </c>
      <c r="D10" s="2">
        <f t="shared" si="1"/>
        <v>0.19415943172849251</v>
      </c>
      <c r="E10" s="2">
        <f t="shared" si="1"/>
        <v>0.16531703590527122</v>
      </c>
      <c r="F10" s="2">
        <f t="shared" si="1"/>
        <v>0.98681608437706014</v>
      </c>
      <c r="G10" s="11"/>
    </row>
    <row r="11" spans="1:10" x14ac:dyDescent="0.2">
      <c r="A11" s="12" t="s">
        <v>13</v>
      </c>
      <c r="B11" s="23">
        <f t="shared" ref="B11:F11" si="2">B5/B7</f>
        <v>1.7434706906558328</v>
      </c>
      <c r="C11" s="24">
        <f t="shared" si="2"/>
        <v>0.57665903890160186</v>
      </c>
      <c r="D11" s="24">
        <f t="shared" si="2"/>
        <v>0.17501973164956591</v>
      </c>
      <c r="E11" s="24">
        <f t="shared" si="2"/>
        <v>5.5156608097784568E-2</v>
      </c>
      <c r="F11" s="24">
        <f t="shared" si="2"/>
        <v>0.77455504284772581</v>
      </c>
      <c r="G11" s="13"/>
      <c r="H11" s="31"/>
    </row>
    <row r="12" spans="1:10" x14ac:dyDescent="0.2">
      <c r="A12" s="6"/>
    </row>
    <row r="13" spans="1:10" x14ac:dyDescent="0.2">
      <c r="A13" s="9" t="s">
        <v>14</v>
      </c>
      <c r="B13" s="19">
        <v>3354</v>
      </c>
      <c r="C13" s="19">
        <v>3290</v>
      </c>
      <c r="D13" s="19">
        <v>3708</v>
      </c>
      <c r="E13" s="19">
        <v>7657</v>
      </c>
      <c r="F13" s="19">
        <v>10311</v>
      </c>
      <c r="G13" s="10"/>
      <c r="H13" s="40"/>
    </row>
    <row r="14" spans="1:10" x14ac:dyDescent="0.2">
      <c r="A14" s="6" t="s">
        <v>15</v>
      </c>
      <c r="B14" s="20">
        <v>19449</v>
      </c>
      <c r="C14" s="20">
        <v>19449</v>
      </c>
      <c r="D14" s="20">
        <v>22745</v>
      </c>
      <c r="E14" s="20">
        <v>48568</v>
      </c>
      <c r="F14" s="20">
        <v>16526</v>
      </c>
      <c r="G14" s="11"/>
      <c r="H14" s="41"/>
    </row>
    <row r="15" spans="1:10" x14ac:dyDescent="0.2">
      <c r="A15" s="6" t="s">
        <v>16</v>
      </c>
      <c r="B15" s="20">
        <v>9096</v>
      </c>
      <c r="C15" s="20">
        <v>8528</v>
      </c>
      <c r="D15" s="20">
        <v>8271</v>
      </c>
      <c r="E15" s="20">
        <v>7675</v>
      </c>
      <c r="F15" s="20">
        <v>55995</v>
      </c>
      <c r="G15" s="11"/>
      <c r="H15" s="41"/>
    </row>
    <row r="16" spans="1:10" x14ac:dyDescent="0.2">
      <c r="A16" s="6" t="s">
        <v>17</v>
      </c>
      <c r="B16" s="21">
        <v>290</v>
      </c>
      <c r="C16" s="21">
        <v>354</v>
      </c>
      <c r="D16" s="21">
        <v>384</v>
      </c>
      <c r="E16" s="20">
        <v>472</v>
      </c>
      <c r="F16" s="20">
        <v>51</v>
      </c>
      <c r="G16" s="11"/>
      <c r="H16" s="41"/>
    </row>
    <row r="17" spans="1:10" x14ac:dyDescent="0.2">
      <c r="A17" s="6" t="s">
        <v>18</v>
      </c>
      <c r="B17" s="21">
        <v>-697</v>
      </c>
      <c r="C17" s="21">
        <v>-1571</v>
      </c>
      <c r="D17" s="21">
        <v>-2111</v>
      </c>
      <c r="E17" s="20">
        <v>-9020</v>
      </c>
      <c r="F17" s="20">
        <v>-11818</v>
      </c>
      <c r="G17" s="11"/>
      <c r="H17" s="41"/>
      <c r="J17" t="s">
        <v>19</v>
      </c>
    </row>
    <row r="18" spans="1:10" x14ac:dyDescent="0.2">
      <c r="A18" s="6" t="s">
        <v>20</v>
      </c>
      <c r="B18" s="21">
        <v>1401</v>
      </c>
      <c r="C18" s="21">
        <v>1874</v>
      </c>
      <c r="D18" s="21">
        <v>-1825</v>
      </c>
      <c r="E18" s="20">
        <v>-1186</v>
      </c>
      <c r="F18" s="20">
        <v>494</v>
      </c>
      <c r="G18" s="11"/>
      <c r="H18" s="41"/>
      <c r="I18" t="s">
        <v>61</v>
      </c>
      <c r="J18" t="s">
        <v>21</v>
      </c>
    </row>
    <row r="19" spans="1:10" x14ac:dyDescent="0.2">
      <c r="A19" s="6" t="s">
        <v>22</v>
      </c>
      <c r="B19" s="20">
        <v>983</v>
      </c>
      <c r="C19" s="20">
        <v>644</v>
      </c>
      <c r="D19" s="20">
        <v>702</v>
      </c>
      <c r="E19" s="20">
        <v>788</v>
      </c>
      <c r="F19" s="20">
        <v>1564</v>
      </c>
      <c r="G19" s="11"/>
      <c r="H19" s="41"/>
    </row>
    <row r="20" spans="1:10" x14ac:dyDescent="0.2">
      <c r="A20" s="6" t="s">
        <v>24</v>
      </c>
      <c r="B20" s="21">
        <v>33876</v>
      </c>
      <c r="C20" s="21">
        <v>32568</v>
      </c>
      <c r="D20" s="21">
        <v>31874</v>
      </c>
      <c r="E20" s="21">
        <v>54954</v>
      </c>
      <c r="F20" s="21">
        <v>73123</v>
      </c>
      <c r="G20" s="11"/>
    </row>
    <row r="21" spans="1:10" x14ac:dyDescent="0.2">
      <c r="A21" s="12" t="s">
        <v>25</v>
      </c>
      <c r="B21" s="13">
        <v>101</v>
      </c>
      <c r="C21" s="18">
        <v>99</v>
      </c>
      <c r="D21" s="18">
        <v>85.97</v>
      </c>
      <c r="E21" s="18">
        <v>71.77</v>
      </c>
      <c r="F21" s="18">
        <v>70.91</v>
      </c>
      <c r="G21" s="13"/>
      <c r="H21" s="31"/>
    </row>
    <row r="22" spans="1:10" x14ac:dyDescent="0.2">
      <c r="A22" s="6"/>
      <c r="F22" s="51"/>
    </row>
    <row r="23" spans="1:10" x14ac:dyDescent="0.2">
      <c r="A23" s="9" t="s">
        <v>26</v>
      </c>
      <c r="B23" s="10"/>
      <c r="C23" s="10"/>
      <c r="D23" s="10"/>
      <c r="E23" s="10"/>
      <c r="F23" s="10"/>
      <c r="G23" s="10"/>
      <c r="H23" s="34"/>
    </row>
    <row r="24" spans="1:10" x14ac:dyDescent="0.2">
      <c r="A24" s="6" t="s">
        <v>27</v>
      </c>
      <c r="B24" s="20">
        <v>525</v>
      </c>
      <c r="C24" s="20">
        <v>568</v>
      </c>
      <c r="D24" s="20">
        <v>257</v>
      </c>
      <c r="E24" s="20">
        <v>596</v>
      </c>
      <c r="F24" s="20">
        <v>786</v>
      </c>
      <c r="G24" s="11"/>
    </row>
    <row r="25" spans="1:10" x14ac:dyDescent="0.2">
      <c r="A25" s="6" t="s">
        <v>28</v>
      </c>
      <c r="B25" s="21">
        <v>2002</v>
      </c>
      <c r="C25" s="21">
        <v>0</v>
      </c>
      <c r="D25" s="21">
        <v>3744</v>
      </c>
      <c r="E25" s="20">
        <v>16430</v>
      </c>
      <c r="F25" s="21">
        <v>121</v>
      </c>
      <c r="G25" s="11"/>
      <c r="I25" t="s">
        <v>73</v>
      </c>
    </row>
    <row r="26" spans="1:10" x14ac:dyDescent="0.2">
      <c r="A26" s="6" t="s">
        <v>74</v>
      </c>
      <c r="B26" s="21"/>
      <c r="C26" s="21"/>
      <c r="D26" s="21"/>
      <c r="E26" s="20">
        <v>13430</v>
      </c>
      <c r="F26" s="21">
        <v>19185</v>
      </c>
      <c r="G26" s="11"/>
    </row>
    <row r="27" spans="1:10" x14ac:dyDescent="0.2">
      <c r="A27" s="6" t="s">
        <v>75</v>
      </c>
      <c r="B27" s="21"/>
      <c r="C27" s="21"/>
      <c r="D27" s="21"/>
      <c r="E27" s="20">
        <f>37074635+20901658-875000</f>
        <v>57101293</v>
      </c>
      <c r="F27" s="21">
        <f>76570595+196355-1232000</f>
        <v>75534950</v>
      </c>
      <c r="G27" s="11"/>
    </row>
    <row r="28" spans="1:10" x14ac:dyDescent="0.2">
      <c r="A28" s="6" t="s">
        <v>76</v>
      </c>
      <c r="B28" s="21"/>
      <c r="C28" s="21"/>
      <c r="D28" s="21"/>
      <c r="E28" s="20">
        <v>19469302</v>
      </c>
      <c r="F28" s="21">
        <v>27578970</v>
      </c>
      <c r="G28" s="11"/>
    </row>
    <row r="29" spans="1:10" x14ac:dyDescent="0.2">
      <c r="A29" s="12" t="s">
        <v>77</v>
      </c>
      <c r="B29" s="22">
        <v>33489492</v>
      </c>
      <c r="C29" s="22">
        <v>33260669</v>
      </c>
      <c r="D29" s="22">
        <v>33115448</v>
      </c>
      <c r="E29" s="22">
        <f>SUM(E27:E28)</f>
        <v>76570595</v>
      </c>
      <c r="F29" s="22">
        <f>SUM(F27:F28)</f>
        <v>103113920</v>
      </c>
      <c r="G29" s="59"/>
      <c r="H29" s="31"/>
    </row>
    <row r="30" spans="1:10" x14ac:dyDescent="0.2">
      <c r="A30" s="6"/>
    </row>
    <row r="31" spans="1:10" s="3" customFormat="1" x14ac:dyDescent="0.2">
      <c r="A31" s="7" t="s">
        <v>30</v>
      </c>
      <c r="B31" s="35"/>
      <c r="C31" s="36">
        <f>(C21+C8+C9)/B21-1</f>
        <v>3.2178217821782207E-2</v>
      </c>
      <c r="D31" s="36">
        <f>(D21+D8+D9)/C21-1</f>
        <v>-5.8585858585858963E-3</v>
      </c>
      <c r="E31" s="36">
        <f>(E21+E8+E9)/D21-1</f>
        <v>-5.815982319413715E-3</v>
      </c>
      <c r="F31" s="36">
        <f>(F21+F8+F9)/E21-1</f>
        <v>4.375087083739726E-2</v>
      </c>
      <c r="G31" s="37"/>
      <c r="H31" s="35"/>
    </row>
    <row r="32" spans="1:10" x14ac:dyDescent="0.2">
      <c r="A32" s="7" t="s">
        <v>31</v>
      </c>
      <c r="B32" s="35"/>
      <c r="C32" s="36"/>
      <c r="D32" s="36"/>
      <c r="E32" s="36"/>
      <c r="F32" s="36"/>
      <c r="G32" s="37"/>
      <c r="H32" s="35">
        <f>((C31+1)*(D31+1)*(E31+1)*(F31+1))^(1/4)-1</f>
        <v>1.5819676772471647E-2</v>
      </c>
    </row>
    <row r="34" spans="1:8" x14ac:dyDescent="0.2">
      <c r="A34" s="10"/>
      <c r="B34" s="34">
        <v>2019</v>
      </c>
      <c r="C34" s="10"/>
      <c r="D34" s="10"/>
      <c r="E34" s="10"/>
      <c r="F34" s="10"/>
      <c r="G34" s="10"/>
      <c r="H34" s="34"/>
    </row>
    <row r="35" spans="1:8" x14ac:dyDescent="0.2">
      <c r="A35" s="11"/>
      <c r="B35" s="28"/>
    </row>
    <row r="36" spans="1:8" ht="34" x14ac:dyDescent="0.2">
      <c r="A36" s="11"/>
      <c r="B36" s="54" t="s">
        <v>32</v>
      </c>
      <c r="C36" s="53" t="s">
        <v>33</v>
      </c>
      <c r="D36" s="53" t="s">
        <v>34</v>
      </c>
    </row>
    <row r="37" spans="1:8" ht="34" x14ac:dyDescent="0.2">
      <c r="A37" s="11"/>
      <c r="B37" s="55" t="s">
        <v>35</v>
      </c>
      <c r="C37" s="52">
        <v>54188000</v>
      </c>
      <c r="D37" s="2">
        <f>C37/$C$41</f>
        <v>0.7411026041982921</v>
      </c>
      <c r="F37" s="51"/>
      <c r="G37" s="51"/>
    </row>
    <row r="38" spans="1:8" ht="17" x14ac:dyDescent="0.2">
      <c r="A38" s="11"/>
      <c r="B38" s="55" t="s">
        <v>59</v>
      </c>
      <c r="C38" s="52">
        <v>708000</v>
      </c>
      <c r="D38" s="2">
        <f>C38/$C$41</f>
        <v>9.6829675162838792E-3</v>
      </c>
    </row>
    <row r="39" spans="1:8" ht="34" x14ac:dyDescent="0.2">
      <c r="A39" s="11"/>
      <c r="B39" s="55" t="s">
        <v>37</v>
      </c>
      <c r="C39" s="52">
        <v>18402000</v>
      </c>
      <c r="D39" s="2">
        <f>C39/$C$41</f>
        <v>0.25167509637663266</v>
      </c>
    </row>
    <row r="40" spans="1:8" x14ac:dyDescent="0.2">
      <c r="A40" s="11"/>
      <c r="B40" s="55"/>
      <c r="C40" s="52"/>
    </row>
    <row r="41" spans="1:8" ht="17" x14ac:dyDescent="0.2">
      <c r="A41" s="13"/>
      <c r="B41" s="56" t="s">
        <v>38</v>
      </c>
      <c r="C41" s="22">
        <f>F21*F29/100</f>
        <v>73118080.671999991</v>
      </c>
      <c r="D41" s="13"/>
      <c r="E41" s="13"/>
      <c r="F41" s="13"/>
      <c r="G41" s="13"/>
      <c r="H41" s="3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0F3F-96AD-4087-9622-0508DD8BAA61}">
  <dimension ref="A1:J38"/>
  <sheetViews>
    <sheetView zoomScale="70" zoomScaleNormal="70" workbookViewId="0">
      <selection activeCell="G22" sqref="G22"/>
    </sheetView>
  </sheetViews>
  <sheetFormatPr baseColWidth="10" defaultColWidth="11" defaultRowHeight="16" x14ac:dyDescent="0.2"/>
  <cols>
    <col min="1" max="1" width="44.5" style="5" customWidth="1"/>
    <col min="2" max="6" width="12.83203125" customWidth="1"/>
    <col min="8" max="8" width="11.6640625" style="28" bestFit="1" customWidth="1"/>
  </cols>
  <sheetData>
    <row r="1" spans="1:10" x14ac:dyDescent="0.2">
      <c r="A1" s="5" t="s">
        <v>0</v>
      </c>
      <c r="B1" s="1">
        <v>43799</v>
      </c>
    </row>
    <row r="2" spans="1:10" x14ac:dyDescent="0.2">
      <c r="A2" s="6" t="s">
        <v>78</v>
      </c>
    </row>
    <row r="3" spans="1:10" x14ac:dyDescent="0.2">
      <c r="B3" s="4">
        <f>C3-1</f>
        <v>2015</v>
      </c>
      <c r="C3" s="4">
        <f>D3-1</f>
        <v>2016</v>
      </c>
      <c r="D3" s="4">
        <f>E3-1</f>
        <v>2017</v>
      </c>
      <c r="E3" s="4">
        <f>F3-1</f>
        <v>2018</v>
      </c>
      <c r="F3" s="4">
        <v>2019</v>
      </c>
      <c r="G3" s="4"/>
      <c r="H3" s="29" t="s">
        <v>2</v>
      </c>
      <c r="I3" t="s">
        <v>3</v>
      </c>
      <c r="J3" t="s">
        <v>51</v>
      </c>
    </row>
    <row r="4" spans="1:10" x14ac:dyDescent="0.2">
      <c r="A4" s="9" t="s">
        <v>5</v>
      </c>
      <c r="B4" s="38">
        <v>3.512</v>
      </c>
      <c r="C4" s="38">
        <v>2.0659999999999998</v>
      </c>
      <c r="D4" s="38">
        <v>0.153</v>
      </c>
      <c r="E4" s="38">
        <v>0.52100000000000002</v>
      </c>
      <c r="F4" s="38">
        <v>0.64100000000000001</v>
      </c>
      <c r="G4" s="10"/>
      <c r="H4" s="30">
        <f>SUM(B4:F4)</f>
        <v>6.8929999999999989</v>
      </c>
    </row>
    <row r="5" spans="1:10" x14ac:dyDescent="0.2">
      <c r="A5" s="6" t="s">
        <v>6</v>
      </c>
      <c r="B5" s="14">
        <v>4.157</v>
      </c>
      <c r="C5" s="14">
        <v>2.0609999999999999</v>
      </c>
      <c r="D5" s="14">
        <v>2.7E-2</v>
      </c>
      <c r="E5" s="14">
        <v>7.3999999999999996E-2</v>
      </c>
      <c r="F5" s="39">
        <v>0.25600000000000001</v>
      </c>
      <c r="G5" s="11"/>
      <c r="H5" s="30">
        <f t="shared" ref="H5:H8" si="0">SUM(B5:F5)</f>
        <v>6.5750000000000002</v>
      </c>
      <c r="J5" t="s">
        <v>7</v>
      </c>
    </row>
    <row r="6" spans="1:10" x14ac:dyDescent="0.2">
      <c r="A6" s="6" t="s">
        <v>8</v>
      </c>
      <c r="B6" s="39">
        <v>10.31</v>
      </c>
      <c r="C6" s="39">
        <v>5.01</v>
      </c>
      <c r="D6" s="39">
        <v>7.0000000000000007E-2</v>
      </c>
      <c r="E6" s="39">
        <v>0.12</v>
      </c>
      <c r="F6" s="39">
        <v>0.37</v>
      </c>
      <c r="G6" s="11"/>
      <c r="H6" s="30">
        <f t="shared" si="0"/>
        <v>15.879999999999999</v>
      </c>
    </row>
    <row r="7" spans="1:10" x14ac:dyDescent="0.2">
      <c r="A7" s="6" t="s">
        <v>9</v>
      </c>
      <c r="B7" s="39">
        <v>2.2749999999999999</v>
      </c>
      <c r="C7" s="39">
        <v>2.3650000000000002</v>
      </c>
      <c r="D7" s="39">
        <v>7.4210000000000003</v>
      </c>
      <c r="E7" s="39">
        <v>6.77</v>
      </c>
      <c r="F7" s="39">
        <v>1.367</v>
      </c>
      <c r="G7" s="11"/>
      <c r="H7" s="30">
        <f t="shared" si="0"/>
        <v>20.198</v>
      </c>
    </row>
    <row r="8" spans="1:10" x14ac:dyDescent="0.2">
      <c r="A8" s="6" t="s">
        <v>10</v>
      </c>
      <c r="B8" s="14">
        <v>5.75</v>
      </c>
      <c r="C8" s="14">
        <v>5.75</v>
      </c>
      <c r="D8" s="14">
        <v>14.52</v>
      </c>
      <c r="E8" s="14">
        <v>10.95</v>
      </c>
      <c r="F8" s="14">
        <v>4</v>
      </c>
      <c r="G8" s="11"/>
      <c r="H8" s="30">
        <f t="shared" si="0"/>
        <v>40.97</v>
      </c>
    </row>
    <row r="9" spans="1:10" x14ac:dyDescent="0.2">
      <c r="A9" s="6" t="s">
        <v>11</v>
      </c>
      <c r="B9" s="11"/>
      <c r="C9" s="11"/>
      <c r="D9" s="11"/>
      <c r="E9" s="11"/>
      <c r="F9" s="11"/>
      <c r="G9" s="11"/>
    </row>
    <row r="10" spans="1:10" x14ac:dyDescent="0.2">
      <c r="A10" s="6" t="s">
        <v>12</v>
      </c>
      <c r="B10" s="2">
        <f t="shared" ref="B10:F10" si="1">B4/B7</f>
        <v>1.5437362637362637</v>
      </c>
      <c r="C10" s="2">
        <f t="shared" si="1"/>
        <v>0.87357293868921759</v>
      </c>
      <c r="D10" s="2">
        <f t="shared" si="1"/>
        <v>2.0617167497641826E-2</v>
      </c>
      <c r="E10" s="2">
        <f t="shared" si="1"/>
        <v>7.6957163958641064E-2</v>
      </c>
      <c r="F10" s="2">
        <f t="shared" si="1"/>
        <v>0.46891002194586689</v>
      </c>
      <c r="G10" s="11"/>
    </row>
    <row r="11" spans="1:10" x14ac:dyDescent="0.2">
      <c r="A11" s="12" t="s">
        <v>13</v>
      </c>
      <c r="B11" s="23">
        <f t="shared" ref="B11:F11" si="2">B5/B7</f>
        <v>1.8272527472527473</v>
      </c>
      <c r="C11" s="24">
        <f t="shared" si="2"/>
        <v>0.8714587737843551</v>
      </c>
      <c r="D11" s="24">
        <f t="shared" si="2"/>
        <v>3.63832367605444E-3</v>
      </c>
      <c r="E11" s="24">
        <f t="shared" si="2"/>
        <v>1.0930576070901034E-2</v>
      </c>
      <c r="F11" s="24">
        <f t="shared" si="2"/>
        <v>0.18727139722019021</v>
      </c>
      <c r="G11" s="13"/>
      <c r="H11" s="31"/>
    </row>
    <row r="12" spans="1:10" x14ac:dyDescent="0.2">
      <c r="A12" s="6"/>
    </row>
    <row r="13" spans="1:10" x14ac:dyDescent="0.2">
      <c r="A13" s="9" t="s">
        <v>14</v>
      </c>
      <c r="B13" s="19">
        <v>4132</v>
      </c>
      <c r="C13" s="19">
        <v>4093</v>
      </c>
      <c r="D13" s="19">
        <v>4702</v>
      </c>
      <c r="E13" s="19">
        <v>6897</v>
      </c>
      <c r="F13" s="19">
        <v>6798</v>
      </c>
      <c r="G13" s="10"/>
      <c r="H13" s="40"/>
    </row>
    <row r="14" spans="1:10" x14ac:dyDescent="0.2">
      <c r="A14" s="6" t="s">
        <v>15</v>
      </c>
      <c r="B14" s="20">
        <v>13820</v>
      </c>
      <c r="C14" s="20">
        <v>13820</v>
      </c>
      <c r="D14" s="20">
        <v>18035</v>
      </c>
      <c r="E14" s="20">
        <v>31285</v>
      </c>
      <c r="F14" s="20">
        <v>0</v>
      </c>
      <c r="G14" s="11"/>
      <c r="H14" s="41"/>
    </row>
    <row r="15" spans="1:10" x14ac:dyDescent="0.2">
      <c r="A15" s="6" t="s">
        <v>16</v>
      </c>
      <c r="B15" s="20">
        <v>16563</v>
      </c>
      <c r="C15" s="20">
        <v>16251</v>
      </c>
      <c r="D15" s="20">
        <v>15749</v>
      </c>
      <c r="E15" s="20">
        <v>15323</v>
      </c>
      <c r="F15" s="20">
        <v>47002</v>
      </c>
      <c r="G15" s="11"/>
      <c r="H15" s="41"/>
    </row>
    <row r="16" spans="1:10" x14ac:dyDescent="0.2">
      <c r="A16" s="6" t="s">
        <v>17</v>
      </c>
      <c r="B16" s="21">
        <v>713</v>
      </c>
      <c r="C16" s="21">
        <v>752</v>
      </c>
      <c r="D16" s="21">
        <v>819</v>
      </c>
      <c r="E16" s="20">
        <v>890</v>
      </c>
      <c r="F16" s="20">
        <v>35</v>
      </c>
      <c r="G16" s="11"/>
      <c r="H16" s="41"/>
    </row>
    <row r="17" spans="1:10" x14ac:dyDescent="0.2">
      <c r="A17" s="6" t="s">
        <v>18</v>
      </c>
      <c r="B17" s="21">
        <v>-2064</v>
      </c>
      <c r="C17" s="21">
        <v>-2115</v>
      </c>
      <c r="D17" s="21">
        <v>-5989</v>
      </c>
      <c r="E17" s="20">
        <v>-9784</v>
      </c>
      <c r="F17" s="20">
        <v>-12858</v>
      </c>
      <c r="G17" s="11"/>
      <c r="H17" s="41"/>
      <c r="J17" t="s">
        <v>19</v>
      </c>
    </row>
    <row r="18" spans="1:10" x14ac:dyDescent="0.2">
      <c r="A18" s="6" t="s">
        <v>20</v>
      </c>
      <c r="B18" s="21">
        <v>3315</v>
      </c>
      <c r="C18" s="21">
        <v>3499</v>
      </c>
      <c r="D18" s="21">
        <v>-62</v>
      </c>
      <c r="E18" s="20">
        <v>-3058</v>
      </c>
      <c r="F18" s="20">
        <v>-1486</v>
      </c>
      <c r="G18" s="11"/>
      <c r="H18" s="41"/>
      <c r="I18" t="s">
        <v>61</v>
      </c>
      <c r="J18" t="s">
        <v>21</v>
      </c>
    </row>
    <row r="19" spans="1:10" x14ac:dyDescent="0.2">
      <c r="A19" s="6" t="s">
        <v>22</v>
      </c>
      <c r="B19" s="20">
        <v>1157</v>
      </c>
      <c r="C19" s="20">
        <v>720</v>
      </c>
      <c r="D19" s="20">
        <v>761</v>
      </c>
      <c r="E19" s="20">
        <v>856</v>
      </c>
      <c r="F19" s="20">
        <v>1247</v>
      </c>
      <c r="G19" s="11"/>
      <c r="H19" s="41"/>
    </row>
    <row r="20" spans="1:10" x14ac:dyDescent="0.2">
      <c r="A20" s="6" t="s">
        <v>24</v>
      </c>
      <c r="B20" s="21">
        <v>37636</v>
      </c>
      <c r="C20" s="21">
        <v>37020</v>
      </c>
      <c r="D20" s="21">
        <v>34015</v>
      </c>
      <c r="E20" s="21">
        <v>42409</v>
      </c>
      <c r="F20" s="21">
        <v>40738</v>
      </c>
      <c r="G20" s="11"/>
    </row>
    <row r="21" spans="1:10" x14ac:dyDescent="0.2">
      <c r="A21" s="12" t="s">
        <v>25</v>
      </c>
      <c r="B21" s="13">
        <v>91.1</v>
      </c>
      <c r="C21" s="18">
        <v>90.45</v>
      </c>
      <c r="D21" s="18">
        <v>72.349999999999994</v>
      </c>
      <c r="E21" s="18">
        <v>61.49</v>
      </c>
      <c r="F21" s="18">
        <v>59.92</v>
      </c>
      <c r="G21" s="13"/>
      <c r="H21" s="31"/>
    </row>
    <row r="22" spans="1:10" x14ac:dyDescent="0.2">
      <c r="A22" s="6"/>
      <c r="F22" s="51"/>
    </row>
    <row r="23" spans="1:10" x14ac:dyDescent="0.2">
      <c r="A23" s="9" t="s">
        <v>26</v>
      </c>
      <c r="B23" s="10"/>
      <c r="C23" s="10"/>
      <c r="D23" s="10"/>
      <c r="E23" s="10"/>
      <c r="F23" s="10"/>
      <c r="G23" s="10"/>
      <c r="H23" s="34"/>
    </row>
    <row r="24" spans="1:10" x14ac:dyDescent="0.2">
      <c r="A24" s="6" t="s">
        <v>27</v>
      </c>
      <c r="B24" s="20">
        <v>175</v>
      </c>
      <c r="C24" s="20">
        <v>346</v>
      </c>
      <c r="D24" s="20">
        <v>502</v>
      </c>
      <c r="E24" s="20">
        <v>71</v>
      </c>
      <c r="F24" s="20">
        <v>122</v>
      </c>
      <c r="G24" s="11"/>
    </row>
    <row r="25" spans="1:10" x14ac:dyDescent="0.2">
      <c r="A25" s="6" t="s">
        <v>28</v>
      </c>
      <c r="B25" s="21">
        <v>4005</v>
      </c>
      <c r="C25" s="21">
        <v>0</v>
      </c>
      <c r="D25" s="21">
        <v>4891</v>
      </c>
      <c r="E25" s="20">
        <v>15516</v>
      </c>
      <c r="F25" s="21">
        <v>119</v>
      </c>
      <c r="G25" s="11"/>
    </row>
    <row r="26" spans="1:10" x14ac:dyDescent="0.2">
      <c r="A26" s="12" t="s">
        <v>29</v>
      </c>
      <c r="B26" s="22">
        <v>40322421</v>
      </c>
      <c r="C26" s="22">
        <v>41121125</v>
      </c>
      <c r="D26" s="22">
        <v>47016945</v>
      </c>
      <c r="E26" s="22">
        <v>68973462</v>
      </c>
      <c r="F26" s="22">
        <v>67983600</v>
      </c>
      <c r="G26" s="13"/>
      <c r="H26" s="31"/>
    </row>
    <row r="27" spans="1:10" x14ac:dyDescent="0.2">
      <c r="A27" s="6"/>
    </row>
    <row r="28" spans="1:10" s="3" customFormat="1" x14ac:dyDescent="0.2">
      <c r="A28" s="7" t="s">
        <v>30</v>
      </c>
      <c r="B28" s="35"/>
      <c r="C28" s="36">
        <f>(C21+C8+C9)/B21-1</f>
        <v>5.5982436882546782E-2</v>
      </c>
      <c r="D28" s="36">
        <f>(D21+D8+D9)/C21-1</f>
        <v>-3.9579878385848644E-2</v>
      </c>
      <c r="E28" s="36">
        <f>(E21+E8+E9)/D21-1</f>
        <v>1.2439530062198223E-3</v>
      </c>
      <c r="F28" s="36">
        <f>(F21+F8+F9)/E21-1</f>
        <v>3.9518620913969738E-2</v>
      </c>
      <c r="G28" s="37"/>
      <c r="H28" s="35"/>
    </row>
    <row r="29" spans="1:10" x14ac:dyDescent="0.2">
      <c r="A29" s="7" t="s">
        <v>31</v>
      </c>
      <c r="B29" s="35"/>
      <c r="C29" s="36"/>
      <c r="D29" s="36"/>
      <c r="E29" s="36"/>
      <c r="F29" s="36"/>
      <c r="G29" s="37"/>
      <c r="H29" s="35">
        <f>((C28+1)*(D28+1)*(E28+1)*(F28+1))^(1/4)-1</f>
        <v>1.3613838564302982E-2</v>
      </c>
    </row>
    <row r="31" spans="1:10" x14ac:dyDescent="0.2">
      <c r="A31" s="10"/>
      <c r="B31" s="34">
        <v>2019</v>
      </c>
      <c r="C31" s="10"/>
      <c r="D31" s="10"/>
      <c r="E31" s="10"/>
      <c r="F31" s="10"/>
      <c r="G31" s="10"/>
      <c r="H31" s="34"/>
    </row>
    <row r="32" spans="1:10" x14ac:dyDescent="0.2">
      <c r="A32" s="11"/>
      <c r="B32" s="28"/>
    </row>
    <row r="33" spans="1:8" ht="34" x14ac:dyDescent="0.2">
      <c r="A33" s="11"/>
      <c r="B33" s="54" t="s">
        <v>32</v>
      </c>
      <c r="C33" s="53" t="s">
        <v>33</v>
      </c>
      <c r="D33" s="53" t="s">
        <v>34</v>
      </c>
    </row>
    <row r="34" spans="1:8" ht="34" x14ac:dyDescent="0.2">
      <c r="A34" s="11"/>
      <c r="B34" s="55" t="s">
        <v>35</v>
      </c>
      <c r="C34" s="52">
        <v>26623000</v>
      </c>
      <c r="D34" s="2">
        <f>C34/$C$38</f>
        <v>0.65355332576047109</v>
      </c>
      <c r="F34" s="51"/>
      <c r="G34" s="51"/>
    </row>
    <row r="35" spans="1:8" ht="17" x14ac:dyDescent="0.2">
      <c r="A35" s="11"/>
      <c r="B35" s="55" t="s">
        <v>59</v>
      </c>
      <c r="C35" s="52">
        <v>333999</v>
      </c>
      <c r="D35" s="2">
        <f>C35/$C$38</f>
        <v>8.1991570165147274E-3</v>
      </c>
    </row>
    <row r="36" spans="1:8" ht="34" x14ac:dyDescent="0.2">
      <c r="A36" s="11"/>
      <c r="B36" s="55" t="s">
        <v>37</v>
      </c>
      <c r="C36" s="52">
        <v>13822000</v>
      </c>
      <c r="D36" s="2">
        <f>C36/$C$38</f>
        <v>0.33930864548177259</v>
      </c>
    </row>
    <row r="37" spans="1:8" x14ac:dyDescent="0.2">
      <c r="A37" s="11"/>
      <c r="B37" s="55"/>
      <c r="C37" s="52"/>
    </row>
    <row r="38" spans="1:8" ht="17" x14ac:dyDescent="0.2">
      <c r="A38" s="13"/>
      <c r="B38" s="56" t="s">
        <v>38</v>
      </c>
      <c r="C38" s="22">
        <f>F21*F26/100</f>
        <v>40735773.119999997</v>
      </c>
      <c r="D38" s="13"/>
      <c r="E38" s="13"/>
      <c r="F38" s="13"/>
      <c r="G38" s="13"/>
      <c r="H38" s="3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C9D9-CB22-4759-9C69-329AACBE480F}">
  <dimension ref="A1:J70"/>
  <sheetViews>
    <sheetView zoomScaleNormal="100" workbookViewId="0">
      <selection activeCell="A4" sqref="A4:XFD6"/>
    </sheetView>
  </sheetViews>
  <sheetFormatPr baseColWidth="10" defaultColWidth="11" defaultRowHeight="16" x14ac:dyDescent="0.2"/>
  <cols>
    <col min="1" max="1" width="44.5" style="5" customWidth="1"/>
    <col min="2" max="6" width="12.83203125" customWidth="1"/>
    <col min="8" max="8" width="11.6640625" style="28" bestFit="1" customWidth="1"/>
  </cols>
  <sheetData>
    <row r="1" spans="1:10" x14ac:dyDescent="0.2">
      <c r="A1" s="5" t="s">
        <v>0</v>
      </c>
      <c r="B1" s="1">
        <v>43799</v>
      </c>
    </row>
    <row r="2" spans="1:10" x14ac:dyDescent="0.2">
      <c r="A2" s="6" t="s">
        <v>79</v>
      </c>
    </row>
    <row r="3" spans="1:10" x14ac:dyDescent="0.2">
      <c r="B3" s="4">
        <f>C3-1</f>
        <v>2015</v>
      </c>
      <c r="C3" s="4">
        <f>D3-1</f>
        <v>2016</v>
      </c>
      <c r="D3" s="4">
        <f>E3-1</f>
        <v>2017</v>
      </c>
      <c r="E3" s="4">
        <f>F3-1</f>
        <v>2018</v>
      </c>
      <c r="F3" s="4">
        <v>2019</v>
      </c>
      <c r="G3" s="4"/>
      <c r="H3" s="29" t="s">
        <v>2</v>
      </c>
      <c r="I3" t="s">
        <v>3</v>
      </c>
      <c r="J3" t="s">
        <v>51</v>
      </c>
    </row>
    <row r="4" spans="1:10" x14ac:dyDescent="0.2">
      <c r="A4" s="9" t="s">
        <v>205</v>
      </c>
      <c r="B4" s="38"/>
      <c r="C4" s="38"/>
      <c r="D4" s="38"/>
      <c r="E4" s="38"/>
      <c r="F4" s="38"/>
      <c r="G4" s="10"/>
      <c r="H4" s="30"/>
    </row>
    <row r="5" spans="1:10" x14ac:dyDescent="0.2">
      <c r="A5" s="6" t="s">
        <v>160</v>
      </c>
      <c r="B5" s="14"/>
      <c r="C5" s="14"/>
      <c r="D5" s="14"/>
      <c r="E5" s="14"/>
      <c r="F5" s="14"/>
      <c r="G5" s="11"/>
      <c r="H5" s="30"/>
    </row>
    <row r="6" spans="1:10" x14ac:dyDescent="0.2">
      <c r="A6" s="6"/>
      <c r="B6" s="14"/>
      <c r="C6" s="14"/>
      <c r="D6" s="14"/>
      <c r="E6" s="14"/>
      <c r="F6" s="14"/>
      <c r="G6" s="11"/>
      <c r="H6" s="30"/>
    </row>
    <row r="7" spans="1:10" x14ac:dyDescent="0.2">
      <c r="A7" s="6" t="s">
        <v>5</v>
      </c>
      <c r="B7" s="14">
        <v>3.581</v>
      </c>
      <c r="C7" s="14">
        <v>0.311</v>
      </c>
      <c r="D7" s="14">
        <v>3.6360000000000001</v>
      </c>
      <c r="E7" s="14">
        <v>2.7069999999999999</v>
      </c>
      <c r="F7" s="14">
        <v>0.96</v>
      </c>
      <c r="G7" s="11"/>
      <c r="H7" s="30">
        <f t="shared" ref="H7:H11" si="0">SUM(B7:F7)</f>
        <v>11.195</v>
      </c>
    </row>
    <row r="8" spans="1:10" x14ac:dyDescent="0.2">
      <c r="A8" s="6" t="s">
        <v>6</v>
      </c>
      <c r="B8" s="14">
        <v>3.488</v>
      </c>
      <c r="C8" s="14">
        <v>0.14799999999999999</v>
      </c>
      <c r="D8" s="14">
        <v>3.2120000000000002</v>
      </c>
      <c r="E8" s="14">
        <v>2.2090000000000001</v>
      </c>
      <c r="F8" s="39">
        <v>0.51900000000000002</v>
      </c>
      <c r="G8" s="11"/>
      <c r="H8" s="30">
        <f t="shared" si="0"/>
        <v>9.5760000000000005</v>
      </c>
      <c r="J8" t="s">
        <v>7</v>
      </c>
    </row>
    <row r="9" spans="1:10" x14ac:dyDescent="0.2">
      <c r="A9" s="6" t="s">
        <v>8</v>
      </c>
      <c r="B9" s="39">
        <v>4.6399999999999997</v>
      </c>
      <c r="C9" s="39">
        <v>0.19</v>
      </c>
      <c r="D9" s="39">
        <v>4.18</v>
      </c>
      <c r="E9" s="39">
        <v>2.91</v>
      </c>
      <c r="F9" s="39">
        <v>0.44</v>
      </c>
      <c r="G9" s="11"/>
      <c r="H9" s="30">
        <f t="shared" si="0"/>
        <v>12.36</v>
      </c>
    </row>
    <row r="10" spans="1:10" x14ac:dyDescent="0.2">
      <c r="A10" s="6" t="s">
        <v>9</v>
      </c>
      <c r="B10" s="39">
        <v>2.016</v>
      </c>
      <c r="C10" s="39">
        <v>2.0870000000000002</v>
      </c>
      <c r="D10" s="39">
        <v>3.766</v>
      </c>
      <c r="E10" s="39">
        <v>2.8</v>
      </c>
      <c r="F10" s="39">
        <v>0.63400000000000001</v>
      </c>
      <c r="G10" s="11"/>
      <c r="H10" s="30">
        <f t="shared" si="0"/>
        <v>11.303000000000001</v>
      </c>
    </row>
    <row r="11" spans="1:10" x14ac:dyDescent="0.2">
      <c r="A11" s="6" t="s">
        <v>10</v>
      </c>
      <c r="B11" s="14">
        <v>2.65</v>
      </c>
      <c r="C11" s="14">
        <v>2.65</v>
      </c>
      <c r="D11" s="14">
        <v>3.2</v>
      </c>
      <c r="E11" s="14">
        <v>3.7</v>
      </c>
      <c r="F11" s="14">
        <v>1.6</v>
      </c>
      <c r="G11" s="11"/>
      <c r="H11" s="30">
        <f t="shared" si="0"/>
        <v>13.799999999999999</v>
      </c>
    </row>
    <row r="12" spans="1:10" x14ac:dyDescent="0.2">
      <c r="A12" s="6" t="s">
        <v>11</v>
      </c>
      <c r="B12" s="11"/>
      <c r="C12" s="11"/>
      <c r="D12" s="11"/>
      <c r="E12" s="11"/>
      <c r="F12" s="11"/>
      <c r="G12" s="11"/>
    </row>
    <row r="13" spans="1:10" x14ac:dyDescent="0.2">
      <c r="A13" s="6" t="s">
        <v>12</v>
      </c>
      <c r="B13" s="2">
        <f>B4/B10</f>
        <v>0</v>
      </c>
      <c r="C13" s="2">
        <f>C4/C10</f>
        <v>0</v>
      </c>
      <c r="D13" s="2">
        <f>D4/D10</f>
        <v>0</v>
      </c>
      <c r="E13" s="2">
        <f>E4/E10</f>
        <v>0</v>
      </c>
      <c r="F13" s="2">
        <f>F4/F10</f>
        <v>0</v>
      </c>
      <c r="G13" s="11"/>
    </row>
    <row r="14" spans="1:10" x14ac:dyDescent="0.2">
      <c r="A14" s="12" t="s">
        <v>13</v>
      </c>
      <c r="B14" s="23">
        <f t="shared" ref="B14:F14" si="1">B8/B10</f>
        <v>1.7301587301587302</v>
      </c>
      <c r="C14" s="24">
        <f t="shared" si="1"/>
        <v>7.0915189266890263E-2</v>
      </c>
      <c r="D14" s="24">
        <f t="shared" si="1"/>
        <v>0.85289431757833245</v>
      </c>
      <c r="E14" s="24">
        <f t="shared" si="1"/>
        <v>0.78892857142857153</v>
      </c>
      <c r="F14" s="24">
        <f t="shared" si="1"/>
        <v>0.81861198738170349</v>
      </c>
      <c r="G14" s="13"/>
      <c r="H14" s="31"/>
    </row>
    <row r="15" spans="1:10" x14ac:dyDescent="0.2">
      <c r="A15" s="6"/>
    </row>
    <row r="16" spans="1:10" x14ac:dyDescent="0.2">
      <c r="A16" s="9" t="s">
        <v>14</v>
      </c>
      <c r="B16" s="19">
        <v>7734</v>
      </c>
      <c r="C16" s="19">
        <v>7711</v>
      </c>
      <c r="D16" s="19">
        <v>7646</v>
      </c>
      <c r="E16" s="19">
        <v>7527</v>
      </c>
      <c r="F16" s="19">
        <v>12608</v>
      </c>
      <c r="G16" s="10"/>
      <c r="H16" s="40"/>
    </row>
    <row r="17" spans="1:10" x14ac:dyDescent="0.2">
      <c r="A17" s="6" t="s">
        <v>15</v>
      </c>
      <c r="B17" s="20">
        <v>8816</v>
      </c>
      <c r="C17" s="20">
        <v>8816</v>
      </c>
      <c r="D17" s="20">
        <v>8816</v>
      </c>
      <c r="E17" s="20">
        <v>8816</v>
      </c>
      <c r="F17" s="20">
        <v>23180</v>
      </c>
      <c r="G17" s="11"/>
      <c r="H17" s="41"/>
    </row>
    <row r="18" spans="1:10" x14ac:dyDescent="0.2">
      <c r="A18" s="6" t="s">
        <v>16</v>
      </c>
      <c r="B18" s="20">
        <v>38219</v>
      </c>
      <c r="C18" s="20">
        <v>38137</v>
      </c>
      <c r="D18" s="20">
        <v>37918</v>
      </c>
      <c r="E18" s="20">
        <v>37531</v>
      </c>
      <c r="F18" s="20">
        <v>36862</v>
      </c>
      <c r="G18" s="11"/>
      <c r="H18" s="41"/>
    </row>
    <row r="19" spans="1:10" x14ac:dyDescent="0.2">
      <c r="A19" s="6" t="s">
        <v>17</v>
      </c>
      <c r="B19" s="21">
        <v>3545</v>
      </c>
      <c r="C19" s="21">
        <v>3568</v>
      </c>
      <c r="D19" s="21">
        <v>3633</v>
      </c>
      <c r="E19" s="20">
        <v>3752</v>
      </c>
      <c r="F19" s="20">
        <v>3955</v>
      </c>
      <c r="G19" s="11"/>
      <c r="H19" s="41"/>
    </row>
    <row r="20" spans="1:10" x14ac:dyDescent="0.2">
      <c r="A20" s="6" t="s">
        <v>18</v>
      </c>
      <c r="B20" s="21">
        <v>-20515</v>
      </c>
      <c r="C20" s="21">
        <v>-21537</v>
      </c>
      <c r="D20" s="21">
        <v>-23276</v>
      </c>
      <c r="E20" s="20">
        <v>-24615</v>
      </c>
      <c r="F20" s="20">
        <v>-25602</v>
      </c>
      <c r="G20" s="11"/>
      <c r="H20" s="41"/>
      <c r="J20" t="s">
        <v>19</v>
      </c>
    </row>
    <row r="21" spans="1:10" x14ac:dyDescent="0.2">
      <c r="A21" s="6" t="s">
        <v>20</v>
      </c>
      <c r="B21" s="21">
        <v>-4663</v>
      </c>
      <c r="C21" s="21">
        <v>-5539</v>
      </c>
      <c r="D21" s="21">
        <v>-4222</v>
      </c>
      <c r="E21" s="20">
        <v>-3530</v>
      </c>
      <c r="F21" s="20">
        <v>-2803</v>
      </c>
      <c r="G21" s="11"/>
      <c r="H21" s="41"/>
      <c r="I21" t="s">
        <v>61</v>
      </c>
      <c r="J21" t="s">
        <v>21</v>
      </c>
    </row>
    <row r="22" spans="1:10" x14ac:dyDescent="0.2">
      <c r="A22" s="6" t="s">
        <v>22</v>
      </c>
      <c r="B22" s="20">
        <v>-1104</v>
      </c>
      <c r="C22" s="17">
        <v>-1145</v>
      </c>
      <c r="D22" s="17">
        <v>-1277</v>
      </c>
      <c r="E22" s="17">
        <v>-1221</v>
      </c>
      <c r="F22" s="17">
        <v>-1076</v>
      </c>
      <c r="G22" s="11"/>
      <c r="H22" s="41"/>
    </row>
    <row r="23" spans="1:10" x14ac:dyDescent="0.2">
      <c r="A23" s="6" t="s">
        <v>24</v>
      </c>
      <c r="B23" s="21">
        <v>32032</v>
      </c>
      <c r="C23" s="21">
        <v>30011</v>
      </c>
      <c r="D23" s="21">
        <v>29238</v>
      </c>
      <c r="E23" s="21">
        <v>28260</v>
      </c>
      <c r="F23" s="21">
        <v>47124</v>
      </c>
      <c r="G23" s="11"/>
    </row>
    <row r="24" spans="1:10" x14ac:dyDescent="0.2">
      <c r="A24" s="12" t="s">
        <v>25</v>
      </c>
      <c r="B24" s="13">
        <v>41.42</v>
      </c>
      <c r="C24" s="18">
        <v>38.92</v>
      </c>
      <c r="D24" s="18">
        <v>38.24</v>
      </c>
      <c r="E24" s="18">
        <v>37.54</v>
      </c>
      <c r="F24" s="18">
        <v>37.369999999999997</v>
      </c>
      <c r="G24" s="13"/>
      <c r="H24" s="31"/>
    </row>
    <row r="25" spans="1:10" x14ac:dyDescent="0.2">
      <c r="A25" s="6"/>
      <c r="F25" s="51">
        <f>SUM(F16:F22)</f>
        <v>47124</v>
      </c>
    </row>
    <row r="26" spans="1:10" x14ac:dyDescent="0.2">
      <c r="A26" s="9" t="s">
        <v>26</v>
      </c>
      <c r="B26" s="10"/>
      <c r="C26" s="10"/>
      <c r="D26" s="10"/>
      <c r="E26" s="10"/>
      <c r="F26" s="10"/>
      <c r="G26" s="10"/>
      <c r="H26" s="34"/>
    </row>
    <row r="27" spans="1:10" x14ac:dyDescent="0.2">
      <c r="A27" s="6" t="s">
        <v>27</v>
      </c>
      <c r="B27" s="20">
        <v>131</v>
      </c>
      <c r="C27" s="20">
        <v>82</v>
      </c>
      <c r="D27" s="20">
        <v>138</v>
      </c>
      <c r="E27" s="20">
        <v>468</v>
      </c>
      <c r="F27" s="20">
        <v>495</v>
      </c>
      <c r="G27" s="21">
        <v>484</v>
      </c>
      <c r="H27" s="98">
        <f>SUM(B27:G27)</f>
        <v>1798</v>
      </c>
    </row>
    <row r="28" spans="1:10" x14ac:dyDescent="0.2">
      <c r="A28" s="6" t="s">
        <v>28</v>
      </c>
      <c r="B28" s="21">
        <v>3989</v>
      </c>
      <c r="C28" s="21">
        <v>0</v>
      </c>
      <c r="D28" s="21">
        <v>0</v>
      </c>
      <c r="E28" s="20">
        <v>0</v>
      </c>
      <c r="F28" s="21">
        <v>19649</v>
      </c>
      <c r="G28" s="11"/>
    </row>
    <row r="29" spans="1:10" x14ac:dyDescent="0.2">
      <c r="A29" s="12" t="s">
        <v>29</v>
      </c>
      <c r="B29" s="22">
        <v>75119671</v>
      </c>
      <c r="C29" s="22">
        <v>77277480</v>
      </c>
      <c r="D29" s="22">
        <v>76461087</v>
      </c>
      <c r="E29" s="22">
        <v>75275587</v>
      </c>
      <c r="F29" s="22">
        <v>126086158</v>
      </c>
      <c r="G29" s="13"/>
      <c r="H29" s="31"/>
    </row>
    <row r="30" spans="1:10" x14ac:dyDescent="0.2">
      <c r="A30" s="6"/>
    </row>
    <row r="31" spans="1:10" s="3" customFormat="1" x14ac:dyDescent="0.2">
      <c r="A31" s="7" t="s">
        <v>30</v>
      </c>
      <c r="B31" s="35"/>
      <c r="C31" s="36">
        <f>(C24+C11+C12)/B24-1</f>
        <v>3.6214389183968354E-3</v>
      </c>
      <c r="D31" s="36">
        <f>(D24+D11+D12)/C24-1</f>
        <v>6.4748201438848962E-2</v>
      </c>
      <c r="E31" s="36">
        <f>(E24+E11+E12)/D24-1</f>
        <v>7.8451882845188337E-2</v>
      </c>
      <c r="F31" s="36">
        <f>(F24+F11+F12)/E24-1</f>
        <v>3.8092701118806582E-2</v>
      </c>
      <c r="G31" s="37"/>
      <c r="H31" s="35"/>
    </row>
    <row r="32" spans="1:10" x14ac:dyDescent="0.2">
      <c r="A32" s="7" t="s">
        <v>31</v>
      </c>
      <c r="B32" s="35"/>
      <c r="C32" s="36"/>
      <c r="D32" s="36"/>
      <c r="E32" s="36"/>
      <c r="F32" s="36"/>
      <c r="G32" s="37"/>
      <c r="H32" s="35">
        <f>((C31+1)*(D31+1)*(E31+1)*(F31+1))^(1/4)-1</f>
        <v>4.5835643040282648E-2</v>
      </c>
    </row>
    <row r="34" spans="1:8" x14ac:dyDescent="0.2">
      <c r="A34" s="10"/>
      <c r="B34" s="34">
        <v>2019</v>
      </c>
      <c r="C34" s="10"/>
      <c r="D34" s="10"/>
      <c r="E34" s="10"/>
      <c r="F34" s="10"/>
      <c r="G34" s="10"/>
      <c r="H34" s="34"/>
    </row>
    <row r="35" spans="1:8" x14ac:dyDescent="0.2">
      <c r="A35" s="11"/>
      <c r="B35" s="28"/>
    </row>
    <row r="36" spans="1:8" ht="34" x14ac:dyDescent="0.2">
      <c r="A36" s="11"/>
      <c r="B36" s="54" t="s">
        <v>32</v>
      </c>
      <c r="C36" s="53" t="s">
        <v>33</v>
      </c>
      <c r="D36" s="53" t="s">
        <v>34</v>
      </c>
    </row>
    <row r="37" spans="1:8" ht="34" x14ac:dyDescent="0.2">
      <c r="A37" s="11"/>
      <c r="B37" s="55" t="s">
        <v>35</v>
      </c>
      <c r="C37" s="52">
        <v>28555000</v>
      </c>
      <c r="D37" s="2">
        <f>C37/$C$41</f>
        <v>0.60602655586449394</v>
      </c>
      <c r="F37" s="51"/>
      <c r="G37" s="51"/>
    </row>
    <row r="38" spans="1:8" ht="17" x14ac:dyDescent="0.2">
      <c r="A38" s="11"/>
      <c r="B38" s="55" t="s">
        <v>59</v>
      </c>
      <c r="C38" s="52">
        <v>286000</v>
      </c>
      <c r="D38" s="2">
        <f>C38/$C$41</f>
        <v>6.0698159683854067E-3</v>
      </c>
    </row>
    <row r="39" spans="1:8" ht="34" x14ac:dyDescent="0.2">
      <c r="A39" s="11"/>
      <c r="B39" s="55" t="s">
        <v>37</v>
      </c>
      <c r="C39" s="52">
        <v>18648000</v>
      </c>
      <c r="D39" s="2">
        <f>C39/$C$41</f>
        <v>0.39576897964493379</v>
      </c>
    </row>
    <row r="40" spans="1:8" x14ac:dyDescent="0.2">
      <c r="A40" s="11"/>
      <c r="B40" s="55"/>
      <c r="C40" s="52"/>
    </row>
    <row r="41" spans="1:8" ht="17" x14ac:dyDescent="0.2">
      <c r="A41" s="13"/>
      <c r="B41" s="56" t="s">
        <v>38</v>
      </c>
      <c r="C41" s="22">
        <f>F24*F29/100</f>
        <v>47118397.244599998</v>
      </c>
      <c r="D41" s="13"/>
      <c r="E41" s="13"/>
      <c r="F41" s="13"/>
      <c r="G41" s="13"/>
      <c r="H41" s="31"/>
    </row>
    <row r="44" spans="1:8" x14ac:dyDescent="0.2">
      <c r="A44" s="5" t="s">
        <v>145</v>
      </c>
      <c r="B44">
        <f>B3</f>
        <v>2015</v>
      </c>
      <c r="C44">
        <f>C3</f>
        <v>2016</v>
      </c>
      <c r="D44">
        <f>D3</f>
        <v>2017</v>
      </c>
      <c r="E44">
        <f>E3</f>
        <v>2018</v>
      </c>
      <c r="F44">
        <f>F3</f>
        <v>2019</v>
      </c>
      <c r="G44" t="s">
        <v>163</v>
      </c>
    </row>
    <row r="45" spans="1:8" x14ac:dyDescent="0.2">
      <c r="A45" s="5" t="s">
        <v>147</v>
      </c>
      <c r="B45" s="79">
        <f>21.832-15.459</f>
        <v>6.3730000000000011</v>
      </c>
      <c r="C45">
        <f>15.388-11.6</f>
        <v>3.7880000000000003</v>
      </c>
      <c r="D45">
        <v>8.8360000000000003</v>
      </c>
      <c r="E45">
        <v>5.3689999999999998</v>
      </c>
      <c r="F45">
        <v>2.1680000000000001</v>
      </c>
      <c r="G45">
        <v>1.748</v>
      </c>
      <c r="H45" s="30">
        <f>SUM(B45:F45)</f>
        <v>26.533999999999999</v>
      </c>
    </row>
    <row r="46" spans="1:8" x14ac:dyDescent="0.2">
      <c r="A46" s="5" t="s">
        <v>160</v>
      </c>
      <c r="B46" s="79">
        <f>1.581-0.015-0.353</f>
        <v>1.2130000000000001</v>
      </c>
      <c r="C46">
        <f>1.676-0.21-0.489</f>
        <v>0.97699999999999998</v>
      </c>
      <c r="D46">
        <f>3.369-1.05</f>
        <v>2.319</v>
      </c>
      <c r="E46">
        <f>2.588-0.573</f>
        <v>2.0150000000000001</v>
      </c>
      <c r="F46">
        <f>0.454-0.221</f>
        <v>0.23300000000000001</v>
      </c>
      <c r="G46">
        <v>0.877</v>
      </c>
      <c r="H46" s="30">
        <f>SUM(B46:F46)</f>
        <v>6.7570000000000006</v>
      </c>
    </row>
    <row r="47" spans="1:8" x14ac:dyDescent="0.2">
      <c r="A47" s="5" t="s">
        <v>116</v>
      </c>
      <c r="B47" s="79">
        <f>B8</f>
        <v>3.488</v>
      </c>
      <c r="C47" s="79">
        <f>C8</f>
        <v>0.14799999999999999</v>
      </c>
      <c r="D47" s="79">
        <f>D8</f>
        <v>3.2120000000000002</v>
      </c>
      <c r="E47" s="79">
        <f>E8</f>
        <v>2.2090000000000001</v>
      </c>
      <c r="F47" s="79">
        <f>F8</f>
        <v>0.51900000000000002</v>
      </c>
      <c r="G47">
        <v>-1.8420000000000001</v>
      </c>
      <c r="H47" s="30">
        <f>SUM(B47:F47)</f>
        <v>9.5760000000000005</v>
      </c>
    </row>
    <row r="48" spans="1:8" x14ac:dyDescent="0.2">
      <c r="A48" s="5" t="s">
        <v>146</v>
      </c>
      <c r="B48" s="79">
        <f>B10</f>
        <v>2.016</v>
      </c>
      <c r="C48" s="79">
        <f>C10</f>
        <v>2.0870000000000002</v>
      </c>
      <c r="D48" s="79">
        <f>D10</f>
        <v>3.766</v>
      </c>
      <c r="E48" s="79">
        <f>E10</f>
        <v>2.8</v>
      </c>
      <c r="F48" s="79">
        <f>F10</f>
        <v>0.63400000000000001</v>
      </c>
      <c r="G48">
        <v>1.381</v>
      </c>
      <c r="H48" s="30">
        <f>SUM(B48:F48)</f>
        <v>11.303000000000001</v>
      </c>
    </row>
    <row r="49" spans="1:8" x14ac:dyDescent="0.2">
      <c r="A49" s="5" t="s">
        <v>150</v>
      </c>
      <c r="B49" s="75">
        <f>B45/B$48</f>
        <v>3.1612103174603181</v>
      </c>
      <c r="C49" s="75">
        <f>C45/C$48</f>
        <v>1.8150455198850024</v>
      </c>
      <c r="D49" s="75">
        <f>D45/D$48</f>
        <v>2.3462559745087628</v>
      </c>
      <c r="E49" s="75">
        <f>E45/E$48</f>
        <v>1.9175</v>
      </c>
      <c r="F49" s="75">
        <f>F45/F$48</f>
        <v>3.4195583596214512</v>
      </c>
      <c r="H49" s="75">
        <f>H45/H$48</f>
        <v>2.3475183579580641</v>
      </c>
    </row>
    <row r="50" spans="1:8" x14ac:dyDescent="0.2">
      <c r="A50" s="5" t="s">
        <v>151</v>
      </c>
      <c r="B50" s="75">
        <f>B46/B48</f>
        <v>0.60168650793650802</v>
      </c>
      <c r="C50" s="75">
        <f>C46/C48</f>
        <v>0.46813608049832289</v>
      </c>
      <c r="D50" s="75">
        <f>D46/D48</f>
        <v>0.61577270313329791</v>
      </c>
      <c r="E50" s="75">
        <f>E46/E48</f>
        <v>0.71964285714285725</v>
      </c>
      <c r="F50" s="75">
        <f>F46/F48</f>
        <v>0.36750788643533122</v>
      </c>
      <c r="H50" s="75">
        <f>H46/H$48</f>
        <v>0.597805892240998</v>
      </c>
    </row>
    <row r="51" spans="1:8" x14ac:dyDescent="0.2">
      <c r="A51" s="5" t="s">
        <v>152</v>
      </c>
      <c r="B51" s="75">
        <f>B14</f>
        <v>1.7301587301587302</v>
      </c>
      <c r="C51" s="75">
        <f>C14</f>
        <v>7.0915189266890263E-2</v>
      </c>
      <c r="D51" s="75">
        <f>D14</f>
        <v>0.85289431757833245</v>
      </c>
      <c r="E51" s="75">
        <f>E14</f>
        <v>0.78892857142857153</v>
      </c>
      <c r="F51" s="75">
        <f>F14</f>
        <v>0.81861198738170349</v>
      </c>
      <c r="H51" s="75">
        <f>H47/H$48</f>
        <v>0.84720870565336637</v>
      </c>
    </row>
    <row r="52" spans="1:8" x14ac:dyDescent="0.2">
      <c r="A52" s="5" t="s">
        <v>148</v>
      </c>
    </row>
    <row r="53" spans="1:8" x14ac:dyDescent="0.2">
      <c r="A53" s="5" t="s">
        <v>149</v>
      </c>
      <c r="B53">
        <f>30.488-3.298</f>
        <v>27.189999999999998</v>
      </c>
      <c r="C53">
        <v>26.077000000000002</v>
      </c>
      <c r="D53">
        <v>23.140999999999998</v>
      </c>
      <c r="E53">
        <v>22.942</v>
      </c>
      <c r="F53">
        <v>28.555</v>
      </c>
      <c r="G53">
        <v>35.488999999999997</v>
      </c>
    </row>
    <row r="54" spans="1:8" x14ac:dyDescent="0.2">
      <c r="A54" s="5" t="s">
        <v>153</v>
      </c>
      <c r="B54" s="79">
        <f>3.298+1.717</f>
        <v>5.0150000000000006</v>
      </c>
      <c r="C54">
        <v>4.1029999999999998</v>
      </c>
      <c r="D54">
        <v>6.3310000000000004</v>
      </c>
      <c r="E54">
        <v>5.3620000000000001</v>
      </c>
      <c r="F54">
        <v>18.648</v>
      </c>
      <c r="G54">
        <v>13.084</v>
      </c>
    </row>
    <row r="55" spans="1:8" x14ac:dyDescent="0.2">
      <c r="A55" s="5" t="s">
        <v>117</v>
      </c>
      <c r="B55" s="79">
        <f>B23/1000</f>
        <v>32.031999999999996</v>
      </c>
      <c r="C55" s="79">
        <f>C23/1000</f>
        <v>30.010999999999999</v>
      </c>
      <c r="D55" s="79">
        <f>D23/1000</f>
        <v>29.238</v>
      </c>
      <c r="E55" s="79">
        <f>E23/1000</f>
        <v>28.26</v>
      </c>
      <c r="F55" s="79">
        <f>F23/1000</f>
        <v>47.124000000000002</v>
      </c>
      <c r="G55">
        <v>43.581000000000003</v>
      </c>
    </row>
    <row r="56" spans="1:8" x14ac:dyDescent="0.2">
      <c r="A56" s="5" t="s">
        <v>25</v>
      </c>
      <c r="B56" s="77">
        <f>B24</f>
        <v>41.42</v>
      </c>
      <c r="C56" s="77">
        <f>C24</f>
        <v>38.92</v>
      </c>
      <c r="D56" s="77">
        <f>D24</f>
        <v>38.24</v>
      </c>
      <c r="E56" s="77">
        <f>E24</f>
        <v>37.54</v>
      </c>
      <c r="F56" s="77">
        <f>F24</f>
        <v>37.369999999999997</v>
      </c>
      <c r="G56">
        <v>34.840000000000003</v>
      </c>
    </row>
    <row r="57" spans="1:8" x14ac:dyDescent="0.2">
      <c r="A57" s="5" t="s">
        <v>162</v>
      </c>
      <c r="B57" s="2">
        <f t="shared" ref="B57:G57" si="2">B53/B55</f>
        <v>0.84883866133866137</v>
      </c>
      <c r="C57" s="2">
        <f t="shared" si="2"/>
        <v>0.8689147312652028</v>
      </c>
      <c r="D57" s="2">
        <f t="shared" si="2"/>
        <v>0.79147000478828922</v>
      </c>
      <c r="E57" s="2">
        <f t="shared" si="2"/>
        <v>0.81181882519462134</v>
      </c>
      <c r="F57" s="2">
        <f t="shared" si="2"/>
        <v>0.60595450301332654</v>
      </c>
      <c r="G57" s="2">
        <f t="shared" si="2"/>
        <v>0.8143227553291571</v>
      </c>
      <c r="H57" s="97">
        <f>AVERAGE(B57:G57)</f>
        <v>0.79021991348820964</v>
      </c>
    </row>
    <row r="61" spans="1:8" x14ac:dyDescent="0.2">
      <c r="A61" s="5" t="s">
        <v>155</v>
      </c>
    </row>
    <row r="62" spans="1:8" x14ac:dyDescent="0.2">
      <c r="A62" s="5" t="s">
        <v>156</v>
      </c>
      <c r="B62" s="79">
        <f>B11</f>
        <v>2.65</v>
      </c>
      <c r="C62" s="79">
        <f>C11</f>
        <v>2.65</v>
      </c>
      <c r="D62" s="79">
        <f>D11</f>
        <v>3.2</v>
      </c>
      <c r="E62" s="79">
        <f>E11</f>
        <v>3.7</v>
      </c>
      <c r="F62" s="79">
        <f>F11</f>
        <v>1.6</v>
      </c>
      <c r="G62">
        <v>0.5</v>
      </c>
    </row>
    <row r="63" spans="1:8" x14ac:dyDescent="0.2">
      <c r="A63" s="5" t="s">
        <v>25</v>
      </c>
      <c r="B63" s="77">
        <f t="shared" ref="B63:G63" si="3">B56</f>
        <v>41.42</v>
      </c>
      <c r="C63" s="77">
        <f t="shared" si="3"/>
        <v>38.92</v>
      </c>
      <c r="D63" s="77">
        <f t="shared" si="3"/>
        <v>38.24</v>
      </c>
      <c r="E63" s="77">
        <f t="shared" si="3"/>
        <v>37.54</v>
      </c>
      <c r="F63" s="77">
        <f t="shared" si="3"/>
        <v>37.369999999999997</v>
      </c>
      <c r="G63" s="77">
        <f t="shared" si="3"/>
        <v>34.840000000000003</v>
      </c>
    </row>
    <row r="64" spans="1:8" x14ac:dyDescent="0.2">
      <c r="A64" s="5" t="s">
        <v>157</v>
      </c>
      <c r="B64">
        <v>36</v>
      </c>
      <c r="C64">
        <v>36.25</v>
      </c>
      <c r="D64">
        <v>32.5</v>
      </c>
      <c r="E64">
        <v>34.6</v>
      </c>
      <c r="F64">
        <v>32.6</v>
      </c>
      <c r="G64">
        <v>30</v>
      </c>
    </row>
    <row r="65" spans="1:9" x14ac:dyDescent="0.2">
      <c r="A65" s="5" t="s">
        <v>158</v>
      </c>
      <c r="B65" s="90">
        <f t="shared" ref="B65:F66" si="4">B$62/B63</f>
        <v>6.3978754225012063E-2</v>
      </c>
      <c r="C65" s="90">
        <f t="shared" si="4"/>
        <v>6.8088386433710166E-2</v>
      </c>
      <c r="D65" s="90">
        <f t="shared" si="4"/>
        <v>8.3682008368200833E-2</v>
      </c>
      <c r="E65" s="90">
        <f t="shared" si="4"/>
        <v>9.8561534363345776E-2</v>
      </c>
      <c r="F65" s="90">
        <f t="shared" si="4"/>
        <v>4.2815092320042818E-2</v>
      </c>
    </row>
    <row r="66" spans="1:9" x14ac:dyDescent="0.2">
      <c r="A66" s="5" t="s">
        <v>159</v>
      </c>
      <c r="B66" s="90">
        <f t="shared" si="4"/>
        <v>7.3611111111111113E-2</v>
      </c>
      <c r="C66" s="90">
        <f t="shared" si="4"/>
        <v>7.3103448275862071E-2</v>
      </c>
      <c r="D66" s="90">
        <f t="shared" si="4"/>
        <v>9.8461538461538461E-2</v>
      </c>
      <c r="E66" s="90">
        <f t="shared" si="4"/>
        <v>0.1069364161849711</v>
      </c>
      <c r="F66" s="90">
        <f t="shared" si="4"/>
        <v>4.9079754601226995E-2</v>
      </c>
    </row>
    <row r="67" spans="1:9" x14ac:dyDescent="0.2">
      <c r="A67" s="5" t="s">
        <v>199</v>
      </c>
      <c r="B67" s="90">
        <f>(B63+B62)/39.5-1</f>
        <v>0.11569620253164548</v>
      </c>
      <c r="C67" s="90">
        <f>(C63+C62)/B63-1</f>
        <v>3.6214389183968354E-3</v>
      </c>
      <c r="D67" s="90">
        <f>(D63+D62)/C63-1</f>
        <v>6.4748201438848962E-2</v>
      </c>
      <c r="E67" s="90">
        <f>(E63+E62)/D63-1</f>
        <v>7.8451882845188337E-2</v>
      </c>
      <c r="F67" s="90">
        <f>(F63+F62)/E63-1</f>
        <v>3.8092701118806582E-2</v>
      </c>
      <c r="G67" s="90">
        <f>(G63+G62)/F63-1</f>
        <v>-5.4321648381054133E-2</v>
      </c>
      <c r="H67" s="96">
        <f>H69-1</f>
        <v>0.26224354319429466</v>
      </c>
    </row>
    <row r="69" spans="1:9" x14ac:dyDescent="0.2">
      <c r="A69" s="5" t="s">
        <v>200</v>
      </c>
      <c r="B69" s="93">
        <f t="shared" ref="B69:G69" si="5">1+B67</f>
        <v>1.1156962025316455</v>
      </c>
      <c r="C69" s="93">
        <f t="shared" si="5"/>
        <v>1.0036214389183968</v>
      </c>
      <c r="D69" s="93">
        <f t="shared" si="5"/>
        <v>1.064748201438849</v>
      </c>
      <c r="E69" s="93">
        <f t="shared" si="5"/>
        <v>1.0784518828451883</v>
      </c>
      <c r="F69" s="93">
        <f t="shared" si="5"/>
        <v>1.0380927011188066</v>
      </c>
      <c r="G69" s="93">
        <f t="shared" si="5"/>
        <v>0.94567835161894587</v>
      </c>
      <c r="H69" s="94">
        <f>PRODUCT(B69:G69)</f>
        <v>1.2622435431942947</v>
      </c>
      <c r="I69" s="90">
        <f>H69^(1/5.5)-1</f>
        <v>4.3253054780255651E-2</v>
      </c>
    </row>
    <row r="70" spans="1:9" x14ac:dyDescent="0.2">
      <c r="A70" s="5" t="s">
        <v>201</v>
      </c>
      <c r="B70">
        <v>0.35299999999999998</v>
      </c>
      <c r="C70">
        <v>0.48899999999999999</v>
      </c>
      <c r="D70">
        <v>1.05</v>
      </c>
      <c r="E70">
        <v>0.57299999999999995</v>
      </c>
      <c r="F70">
        <v>0.221</v>
      </c>
      <c r="H70" s="30">
        <f>SUM(B70:F70)</f>
        <v>2.6859999999999999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4F2F-F84A-4FFC-A3E1-2EE30FC4E918}">
  <dimension ref="A1:L9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93" sqref="D93:H93"/>
    </sheetView>
  </sheetViews>
  <sheetFormatPr baseColWidth="10" defaultColWidth="11" defaultRowHeight="16" x14ac:dyDescent="0.2"/>
  <cols>
    <col min="1" max="1" width="44.5" style="5" customWidth="1"/>
    <col min="2" max="6" width="12.83203125" customWidth="1"/>
    <col min="8" max="8" width="11.6640625" style="28" bestFit="1" customWidth="1"/>
  </cols>
  <sheetData>
    <row r="1" spans="1:12" x14ac:dyDescent="0.2">
      <c r="A1" s="5" t="s">
        <v>0</v>
      </c>
      <c r="B1" s="1">
        <v>43890</v>
      </c>
    </row>
    <row r="2" spans="1:12" x14ac:dyDescent="0.2">
      <c r="A2" s="6" t="s">
        <v>82</v>
      </c>
    </row>
    <row r="3" spans="1:12" x14ac:dyDescent="0.2">
      <c r="B3" s="4" t="s">
        <v>83</v>
      </c>
      <c r="C3" s="4" t="s">
        <v>84</v>
      </c>
      <c r="D3" s="4">
        <f>E3-1</f>
        <v>2018</v>
      </c>
      <c r="E3" s="4">
        <f>F3-1</f>
        <v>2019</v>
      </c>
      <c r="F3" s="4">
        <v>2020</v>
      </c>
      <c r="G3" s="4">
        <v>2021</v>
      </c>
      <c r="H3" s="29" t="s">
        <v>2</v>
      </c>
      <c r="I3" t="s">
        <v>3</v>
      </c>
      <c r="J3" t="s">
        <v>51</v>
      </c>
      <c r="L3" t="s">
        <v>203</v>
      </c>
    </row>
    <row r="4" spans="1:12" x14ac:dyDescent="0.2">
      <c r="A4" s="9" t="s">
        <v>5</v>
      </c>
      <c r="B4" s="45">
        <v>-0.57199999999999995</v>
      </c>
      <c r="C4" s="45">
        <v>7.0000000000000007E-2</v>
      </c>
      <c r="D4" s="45">
        <v>-0.159</v>
      </c>
      <c r="E4" s="45">
        <v>-8.7999999999999995E-2</v>
      </c>
      <c r="F4" s="45">
        <v>0.122</v>
      </c>
      <c r="G4" s="10">
        <v>0.316</v>
      </c>
      <c r="H4" s="30">
        <f>SUM(B4:G4)</f>
        <v>-0.311</v>
      </c>
      <c r="L4">
        <v>0.224</v>
      </c>
    </row>
    <row r="5" spans="1:12" x14ac:dyDescent="0.2">
      <c r="A5" s="6" t="s">
        <v>6</v>
      </c>
      <c r="B5" s="46">
        <v>-0.38400000000000001</v>
      </c>
      <c r="C5" s="46">
        <v>-0.33800000000000002</v>
      </c>
      <c r="D5" s="46">
        <v>-0.27300000000000002</v>
      </c>
      <c r="E5" s="46">
        <v>-1.0269999999999999</v>
      </c>
      <c r="F5" s="47">
        <v>-0.56000000000000005</v>
      </c>
      <c r="G5" s="47">
        <v>0.28000000000000003</v>
      </c>
      <c r="H5" s="30">
        <f>SUM(B5:G5)</f>
        <v>-2.3019999999999996</v>
      </c>
      <c r="J5" t="s">
        <v>7</v>
      </c>
      <c r="L5">
        <v>0.20300000000000001</v>
      </c>
    </row>
    <row r="6" spans="1:12" x14ac:dyDescent="0.2">
      <c r="A6" s="6" t="s">
        <v>8</v>
      </c>
      <c r="B6" s="47">
        <v>-8.1</v>
      </c>
      <c r="C6" s="47">
        <v>-8.6999999999999993</v>
      </c>
      <c r="D6" s="47">
        <v>-2.7</v>
      </c>
      <c r="E6" s="47">
        <v>-7.3</v>
      </c>
      <c r="F6" s="47">
        <v>-2.6</v>
      </c>
      <c r="G6" s="47">
        <v>0.98</v>
      </c>
      <c r="H6" s="30">
        <f>SUM(B6:G6)</f>
        <v>-28.419999999999998</v>
      </c>
      <c r="L6">
        <v>0.54</v>
      </c>
    </row>
    <row r="7" spans="1:12" x14ac:dyDescent="0.2">
      <c r="A7" s="6" t="s">
        <v>9</v>
      </c>
      <c r="B7" s="47">
        <v>1.282</v>
      </c>
      <c r="C7" s="47">
        <v>0.60099999999999998</v>
      </c>
      <c r="D7" s="47">
        <v>1.3380000000000001</v>
      </c>
      <c r="E7" s="47">
        <v>0.70899999999999996</v>
      </c>
      <c r="F7" s="47">
        <v>0.45100000000000001</v>
      </c>
      <c r="G7" s="47">
        <v>0.87</v>
      </c>
      <c r="H7" s="30">
        <f>SUM(B7:G7)</f>
        <v>5.2510000000000003</v>
      </c>
      <c r="L7">
        <v>1.21</v>
      </c>
    </row>
    <row r="8" spans="1:12" x14ac:dyDescent="0.2">
      <c r="A8" s="6" t="s">
        <v>10</v>
      </c>
      <c r="B8" s="46">
        <v>5.25</v>
      </c>
      <c r="C8" s="46">
        <v>7</v>
      </c>
      <c r="D8" s="46">
        <v>4</v>
      </c>
      <c r="E8" s="46">
        <v>3.4</v>
      </c>
      <c r="F8" s="46">
        <v>3.2</v>
      </c>
      <c r="G8" s="47">
        <v>3.02</v>
      </c>
      <c r="H8" s="30">
        <f>SUM(B8:G8)</f>
        <v>25.869999999999997</v>
      </c>
    </row>
    <row r="9" spans="1:12" x14ac:dyDescent="0.2">
      <c r="A9" s="6" t="s">
        <v>11</v>
      </c>
      <c r="B9" s="11"/>
      <c r="C9" s="11"/>
      <c r="D9" s="11"/>
      <c r="E9" s="11"/>
      <c r="F9" s="11"/>
      <c r="G9" s="11"/>
    </row>
    <row r="10" spans="1:12" x14ac:dyDescent="0.2">
      <c r="A10" s="6" t="s">
        <v>12</v>
      </c>
      <c r="B10" s="2">
        <f t="shared" ref="B10:G10" si="0">B4/B7</f>
        <v>-0.44617784711388453</v>
      </c>
      <c r="C10" s="2">
        <f t="shared" si="0"/>
        <v>0.11647254575707157</v>
      </c>
      <c r="D10" s="2">
        <f t="shared" si="0"/>
        <v>-0.11883408071748879</v>
      </c>
      <c r="E10" s="2">
        <f t="shared" si="0"/>
        <v>-0.12411847672778561</v>
      </c>
      <c r="F10" s="2">
        <f t="shared" si="0"/>
        <v>0.270509977827051</v>
      </c>
      <c r="G10" s="2">
        <f t="shared" si="0"/>
        <v>0.36321839080459772</v>
      </c>
    </row>
    <row r="11" spans="1:12" x14ac:dyDescent="0.2">
      <c r="A11" s="12" t="s">
        <v>13</v>
      </c>
      <c r="B11" s="23">
        <f t="shared" ref="B11:G11" si="1">B5/B7</f>
        <v>-0.29953198127925118</v>
      </c>
      <c r="C11" s="24">
        <f t="shared" si="1"/>
        <v>-0.5623960066555741</v>
      </c>
      <c r="D11" s="24">
        <f t="shared" si="1"/>
        <v>-0.20403587443946189</v>
      </c>
      <c r="E11" s="24">
        <f t="shared" si="1"/>
        <v>-1.4485190409026798</v>
      </c>
      <c r="F11" s="24">
        <f t="shared" si="1"/>
        <v>-1.2416851441241685</v>
      </c>
      <c r="G11" s="24">
        <f t="shared" si="1"/>
        <v>0.32183908045977017</v>
      </c>
      <c r="H11" s="31"/>
    </row>
    <row r="12" spans="1:12" x14ac:dyDescent="0.2">
      <c r="A12" s="6"/>
    </row>
    <row r="13" spans="1:12" x14ac:dyDescent="0.2">
      <c r="A13" s="9" t="s">
        <v>14</v>
      </c>
      <c r="B13" s="19">
        <v>47</v>
      </c>
      <c r="C13" s="19">
        <v>141</v>
      </c>
      <c r="D13" s="19">
        <v>116</v>
      </c>
      <c r="E13" s="19">
        <v>184</v>
      </c>
      <c r="F13" s="19">
        <v>249</v>
      </c>
      <c r="G13" s="10">
        <v>314</v>
      </c>
      <c r="H13" s="40"/>
      <c r="L13">
        <v>404</v>
      </c>
    </row>
    <row r="14" spans="1:12" x14ac:dyDescent="0.2">
      <c r="A14" s="6" t="s">
        <v>15</v>
      </c>
      <c r="B14" s="20"/>
      <c r="C14" s="20">
        <v>7046</v>
      </c>
      <c r="D14" s="20">
        <v>298</v>
      </c>
      <c r="E14" s="20">
        <v>5584</v>
      </c>
      <c r="F14" s="20">
        <v>10323</v>
      </c>
      <c r="G14" s="21">
        <v>1071</v>
      </c>
      <c r="H14" s="41"/>
      <c r="L14" s="60">
        <v>6784</v>
      </c>
    </row>
    <row r="15" spans="1:12" x14ac:dyDescent="0.2">
      <c r="A15" s="6" t="s">
        <v>16</v>
      </c>
      <c r="B15" s="20">
        <v>1160</v>
      </c>
      <c r="C15" s="20">
        <v>1277</v>
      </c>
      <c r="D15" s="20">
        <v>9974</v>
      </c>
      <c r="E15" s="20">
        <v>9488</v>
      </c>
      <c r="F15" s="20">
        <v>8725</v>
      </c>
      <c r="G15" s="21">
        <v>21238</v>
      </c>
      <c r="H15" s="41"/>
      <c r="L15" s="60">
        <v>20024</v>
      </c>
    </row>
    <row r="16" spans="1:12" x14ac:dyDescent="0.2">
      <c r="A16" s="6" t="s">
        <v>17</v>
      </c>
      <c r="B16" s="21"/>
      <c r="C16" s="21">
        <v>0</v>
      </c>
      <c r="D16" s="21">
        <v>56</v>
      </c>
      <c r="E16" s="20">
        <v>56</v>
      </c>
      <c r="F16" s="20">
        <v>57</v>
      </c>
      <c r="G16" s="21">
        <v>58</v>
      </c>
      <c r="H16" s="41"/>
      <c r="L16">
        <v>58</v>
      </c>
    </row>
    <row r="17" spans="1:12" x14ac:dyDescent="0.2">
      <c r="A17" s="6" t="s">
        <v>18</v>
      </c>
      <c r="B17" s="21">
        <v>961</v>
      </c>
      <c r="C17" s="21">
        <v>725</v>
      </c>
      <c r="D17" s="21">
        <v>451</v>
      </c>
      <c r="E17" s="20">
        <v>215</v>
      </c>
      <c r="F17" s="20">
        <v>-412</v>
      </c>
      <c r="G17" s="21">
        <v>-466</v>
      </c>
      <c r="H17" s="41"/>
      <c r="J17" t="s">
        <v>19</v>
      </c>
      <c r="L17">
        <v>-397</v>
      </c>
    </row>
    <row r="18" spans="1:12" x14ac:dyDescent="0.2">
      <c r="A18" s="6" t="s">
        <v>20</v>
      </c>
      <c r="B18" s="21">
        <v>-279</v>
      </c>
      <c r="C18" s="21">
        <v>-61</v>
      </c>
      <c r="D18" s="21">
        <v>171</v>
      </c>
      <c r="E18" s="20">
        <v>-441</v>
      </c>
      <c r="F18" s="20">
        <v>-223</v>
      </c>
      <c r="G18" s="21">
        <v>307</v>
      </c>
      <c r="H18" s="41"/>
      <c r="I18" t="s">
        <v>61</v>
      </c>
      <c r="J18" t="s">
        <v>21</v>
      </c>
      <c r="L18">
        <v>602</v>
      </c>
    </row>
    <row r="19" spans="1:12" x14ac:dyDescent="0.2">
      <c r="A19" s="6" t="s">
        <v>22</v>
      </c>
      <c r="B19" s="20">
        <v>-403</v>
      </c>
      <c r="C19" s="20">
        <v>-705</v>
      </c>
      <c r="D19" s="20">
        <v>-936</v>
      </c>
      <c r="E19" s="20">
        <v>-1115</v>
      </c>
      <c r="F19" s="20">
        <v>-1266</v>
      </c>
      <c r="G19" s="21">
        <v>1462</v>
      </c>
      <c r="H19" s="41"/>
      <c r="L19" s="60">
        <v>-1623</v>
      </c>
    </row>
    <row r="20" spans="1:12" x14ac:dyDescent="0.2">
      <c r="A20" s="80" t="s">
        <v>24</v>
      </c>
      <c r="B20" s="21">
        <v>1486</v>
      </c>
      <c r="C20" s="21">
        <v>8423</v>
      </c>
      <c r="D20" s="21">
        <v>10130</v>
      </c>
      <c r="E20" s="21">
        <v>13971</v>
      </c>
      <c r="F20" s="21">
        <v>17453</v>
      </c>
      <c r="G20" s="21">
        <v>21060</v>
      </c>
      <c r="L20" s="89">
        <f>SUM(L13:L19)</f>
        <v>25852</v>
      </c>
    </row>
    <row r="21" spans="1:12" x14ac:dyDescent="0.2">
      <c r="A21" s="81" t="s">
        <v>25</v>
      </c>
      <c r="B21" s="13">
        <v>31.4</v>
      </c>
      <c r="C21" s="18">
        <v>20.6</v>
      </c>
      <c r="D21" s="18">
        <v>87</v>
      </c>
      <c r="E21" s="18">
        <v>75.8</v>
      </c>
      <c r="F21" s="18">
        <v>70.2</v>
      </c>
      <c r="G21" s="13">
        <v>67.08</v>
      </c>
      <c r="H21" s="31"/>
      <c r="L21">
        <v>64.010000000000005</v>
      </c>
    </row>
    <row r="22" spans="1:12" x14ac:dyDescent="0.2">
      <c r="A22" s="6"/>
      <c r="F22" s="51"/>
    </row>
    <row r="23" spans="1:12" x14ac:dyDescent="0.2">
      <c r="A23" s="9" t="s">
        <v>26</v>
      </c>
      <c r="B23" s="10"/>
      <c r="C23" s="10"/>
      <c r="D23" s="10"/>
      <c r="E23" s="10"/>
      <c r="F23" s="10"/>
      <c r="G23" s="10"/>
      <c r="H23" s="34"/>
    </row>
    <row r="24" spans="1:12" x14ac:dyDescent="0.2">
      <c r="A24" s="6" t="s">
        <v>27</v>
      </c>
      <c r="B24" s="20">
        <v>0</v>
      </c>
      <c r="C24" s="20">
        <v>0</v>
      </c>
      <c r="D24" s="20">
        <v>55</v>
      </c>
      <c r="E24" s="20">
        <v>35</v>
      </c>
      <c r="F24" s="20">
        <v>54</v>
      </c>
      <c r="G24" s="21">
        <v>45</v>
      </c>
    </row>
    <row r="25" spans="1:12" x14ac:dyDescent="0.2">
      <c r="A25" s="6" t="s">
        <v>28</v>
      </c>
      <c r="B25" s="21">
        <v>1280</v>
      </c>
      <c r="C25" s="21">
        <v>7546</v>
      </c>
      <c r="D25" s="21">
        <v>2673</v>
      </c>
      <c r="E25" s="20">
        <v>5514</v>
      </c>
      <c r="F25" s="21">
        <v>4917</v>
      </c>
      <c r="G25" s="21">
        <v>4307</v>
      </c>
      <c r="L25" s="60">
        <v>5901</v>
      </c>
    </row>
    <row r="26" spans="1:12" x14ac:dyDescent="0.2">
      <c r="A26" s="12" t="s">
        <v>29</v>
      </c>
      <c r="B26" s="22">
        <v>4738463</v>
      </c>
      <c r="C26" s="22" t="s">
        <v>85</v>
      </c>
      <c r="D26" s="22">
        <v>11642717</v>
      </c>
      <c r="E26" s="22">
        <v>18422373</v>
      </c>
      <c r="F26" s="22">
        <v>24862968</v>
      </c>
      <c r="G26" s="16">
        <v>31393092</v>
      </c>
      <c r="H26" s="31"/>
      <c r="I26" t="s">
        <v>86</v>
      </c>
      <c r="L26" s="60">
        <v>40386757</v>
      </c>
    </row>
    <row r="27" spans="1:12" x14ac:dyDescent="0.2">
      <c r="A27" s="6"/>
    </row>
    <row r="28" spans="1:12" s="3" customFormat="1" x14ac:dyDescent="0.2">
      <c r="A28" s="7" t="s">
        <v>30</v>
      </c>
      <c r="B28" s="35"/>
      <c r="C28" s="36">
        <f>(C21+C8+C9)/B21-1</f>
        <v>-0.12101910828025464</v>
      </c>
      <c r="D28" s="36">
        <f>(D21+D8+D9)/C21-1</f>
        <v>3.4174757281553392</v>
      </c>
      <c r="E28" s="36">
        <f>(E21+E8+E9)/D21-1</f>
        <v>-8.9655172413793061E-2</v>
      </c>
      <c r="F28" s="36">
        <f>(F21+F8+F9)/E21-1</f>
        <v>-3.166226912928749E-2</v>
      </c>
      <c r="G28" s="36">
        <f>(G21+G8+G9)/F21-1</f>
        <v>-1.4245014245015675E-3</v>
      </c>
      <c r="H28" s="35"/>
    </row>
    <row r="29" spans="1:12" x14ac:dyDescent="0.2">
      <c r="A29" s="7" t="s">
        <v>31</v>
      </c>
      <c r="B29" s="35"/>
      <c r="C29" s="36"/>
      <c r="D29" s="36"/>
      <c r="E29" s="36"/>
      <c r="F29" s="36"/>
      <c r="G29" s="37"/>
      <c r="H29" s="35">
        <f>((C28+1)*(D28+1)*(E28+1)*(F28+1))^(1/4)-1</f>
        <v>0.36018066578892927</v>
      </c>
    </row>
    <row r="31" spans="1:12" x14ac:dyDescent="0.2">
      <c r="A31" s="10"/>
      <c r="B31" s="34">
        <v>2020</v>
      </c>
      <c r="C31" s="10"/>
      <c r="D31" s="10"/>
      <c r="E31" s="10"/>
      <c r="F31" s="10"/>
      <c r="G31" s="10"/>
      <c r="H31" s="34"/>
    </row>
    <row r="32" spans="1:12" x14ac:dyDescent="0.2">
      <c r="A32" s="11"/>
      <c r="B32" s="28"/>
    </row>
    <row r="33" spans="1:12" ht="34" x14ac:dyDescent="0.2">
      <c r="A33" s="11"/>
      <c r="B33" s="54" t="s">
        <v>32</v>
      </c>
      <c r="C33" s="53"/>
      <c r="D33" s="53"/>
      <c r="F33" s="53" t="s">
        <v>33</v>
      </c>
      <c r="G33" s="53" t="s">
        <v>34</v>
      </c>
    </row>
    <row r="34" spans="1:12" ht="34" x14ac:dyDescent="0.2">
      <c r="A34" s="11"/>
      <c r="B34" s="55" t="s">
        <v>35</v>
      </c>
      <c r="C34" s="52"/>
      <c r="D34" s="2"/>
      <c r="F34" s="52">
        <v>14309000</v>
      </c>
      <c r="G34" s="2">
        <f>F34/$F$38</f>
        <v>0.81985905002005388</v>
      </c>
    </row>
    <row r="35" spans="1:12" ht="17" x14ac:dyDescent="0.2">
      <c r="A35" s="11"/>
      <c r="B35" s="55" t="s">
        <v>59</v>
      </c>
      <c r="C35" s="52"/>
      <c r="D35" s="2"/>
      <c r="F35" s="52">
        <v>151000</v>
      </c>
      <c r="G35" s="2">
        <f t="shared" ref="G35:G36" si="2">F35/$F$38</f>
        <v>8.6518077121411786E-3</v>
      </c>
    </row>
    <row r="36" spans="1:12" ht="34" x14ac:dyDescent="0.2">
      <c r="A36" s="11"/>
      <c r="B36" s="55" t="s">
        <v>37</v>
      </c>
      <c r="C36" s="52"/>
      <c r="D36" s="2"/>
      <c r="F36" s="52">
        <v>3156000</v>
      </c>
      <c r="G36" s="2">
        <f t="shared" si="2"/>
        <v>0.18082851085773219</v>
      </c>
    </row>
    <row r="37" spans="1:12" x14ac:dyDescent="0.2">
      <c r="A37" s="11"/>
      <c r="B37" s="55"/>
      <c r="C37" s="52"/>
      <c r="F37" s="52"/>
    </row>
    <row r="38" spans="1:12" ht="17" x14ac:dyDescent="0.2">
      <c r="A38" s="13"/>
      <c r="B38" s="56" t="s">
        <v>38</v>
      </c>
      <c r="C38" s="22"/>
      <c r="D38" s="13"/>
      <c r="E38" s="13"/>
      <c r="F38" s="22">
        <f>F20*1000</f>
        <v>17453000</v>
      </c>
      <c r="G38" s="13"/>
      <c r="H38" s="31"/>
    </row>
    <row r="41" spans="1:12" x14ac:dyDescent="0.2">
      <c r="A41" s="5" t="s">
        <v>145</v>
      </c>
      <c r="B41" t="str">
        <f t="shared" ref="B41:G41" si="3">B3</f>
        <v>2016*</v>
      </c>
      <c r="C41" t="str">
        <f t="shared" si="3"/>
        <v>2017*</v>
      </c>
      <c r="D41">
        <f t="shared" si="3"/>
        <v>2018</v>
      </c>
      <c r="E41">
        <f t="shared" si="3"/>
        <v>2019</v>
      </c>
      <c r="F41">
        <f t="shared" si="3"/>
        <v>2020</v>
      </c>
      <c r="G41">
        <f t="shared" si="3"/>
        <v>2021</v>
      </c>
      <c r="L41" t="str">
        <f>L3</f>
        <v>1H22</v>
      </c>
    </row>
    <row r="42" spans="1:12" x14ac:dyDescent="0.2">
      <c r="A42" s="5" t="s">
        <v>147</v>
      </c>
      <c r="B42" s="79"/>
      <c r="D42" s="79">
        <v>7.2999999999999995E-2</v>
      </c>
      <c r="E42" s="79">
        <v>0.54600000000000004</v>
      </c>
      <c r="F42" s="79">
        <v>0.58799999999999997</v>
      </c>
      <c r="G42" s="79">
        <v>0.41299999999999998</v>
      </c>
      <c r="H42" s="30">
        <f>SUM(B42:F42)</f>
        <v>1.2069999999999999</v>
      </c>
      <c r="L42">
        <v>0.65400000000000003</v>
      </c>
    </row>
    <row r="43" spans="1:12" x14ac:dyDescent="0.2">
      <c r="A43" s="5" t="s">
        <v>160</v>
      </c>
      <c r="B43" s="79"/>
      <c r="D43" s="79">
        <v>-0.157</v>
      </c>
      <c r="E43" s="79">
        <v>-0.09</v>
      </c>
      <c r="F43" s="79">
        <v>0.122</v>
      </c>
      <c r="G43" s="79">
        <f>0.316</f>
        <v>0.316</v>
      </c>
      <c r="H43" s="30">
        <f>SUM(B43:F43)</f>
        <v>-0.125</v>
      </c>
      <c r="L43">
        <f>0.045+0.179</f>
        <v>0.22399999999999998</v>
      </c>
    </row>
    <row r="44" spans="1:12" x14ac:dyDescent="0.2">
      <c r="A44" s="5" t="s">
        <v>116</v>
      </c>
      <c r="B44" s="79">
        <f t="shared" ref="B44:G44" si="4">B5</f>
        <v>-0.38400000000000001</v>
      </c>
      <c r="C44" s="79">
        <f t="shared" si="4"/>
        <v>-0.33800000000000002</v>
      </c>
      <c r="D44" s="79">
        <f t="shared" si="4"/>
        <v>-0.27300000000000002</v>
      </c>
      <c r="E44" s="79">
        <f t="shared" si="4"/>
        <v>-1.0269999999999999</v>
      </c>
      <c r="F44" s="79">
        <f t="shared" si="4"/>
        <v>-0.56000000000000005</v>
      </c>
      <c r="G44" s="79">
        <f t="shared" si="4"/>
        <v>0.28000000000000003</v>
      </c>
      <c r="H44" s="30">
        <f>SUM(B44:F44)</f>
        <v>-2.5819999999999999</v>
      </c>
      <c r="L44" s="79">
        <f>L5</f>
        <v>0.20300000000000001</v>
      </c>
    </row>
    <row r="45" spans="1:12" x14ac:dyDescent="0.2">
      <c r="A45" s="5" t="s">
        <v>146</v>
      </c>
      <c r="B45" s="79">
        <f t="shared" ref="B45:G45" si="5">B7</f>
        <v>1.282</v>
      </c>
      <c r="C45" s="79">
        <f t="shared" si="5"/>
        <v>0.60099999999999998</v>
      </c>
      <c r="D45" s="79">
        <f t="shared" si="5"/>
        <v>1.3380000000000001</v>
      </c>
      <c r="E45" s="79">
        <f t="shared" si="5"/>
        <v>0.70899999999999996</v>
      </c>
      <c r="F45" s="79">
        <f t="shared" si="5"/>
        <v>0.45100000000000001</v>
      </c>
      <c r="G45" s="79">
        <f t="shared" si="5"/>
        <v>0.87</v>
      </c>
      <c r="H45" s="30">
        <f>SUM(B45:F45)</f>
        <v>4.3810000000000002</v>
      </c>
      <c r="L45" s="79">
        <f>L7</f>
        <v>1.21</v>
      </c>
    </row>
    <row r="46" spans="1:12" x14ac:dyDescent="0.2">
      <c r="A46" s="5" t="s">
        <v>150</v>
      </c>
      <c r="B46" s="75">
        <f t="shared" ref="B46:H46" si="6">B42/B$45</f>
        <v>0</v>
      </c>
      <c r="C46" s="75">
        <f t="shared" si="6"/>
        <v>0</v>
      </c>
      <c r="D46" s="75">
        <f t="shared" si="6"/>
        <v>5.455904334828101E-2</v>
      </c>
      <c r="E46" s="75">
        <f t="shared" si="6"/>
        <v>0.77009873060648815</v>
      </c>
      <c r="F46" s="75">
        <f t="shared" si="6"/>
        <v>1.3037694013303769</v>
      </c>
      <c r="G46" s="75">
        <f t="shared" si="6"/>
        <v>0.47471264367816091</v>
      </c>
      <c r="H46" s="75">
        <f t="shared" si="6"/>
        <v>0.27550787491440304</v>
      </c>
      <c r="L46" s="75">
        <f>L42/L$45</f>
        <v>0.54049586776859504</v>
      </c>
    </row>
    <row r="47" spans="1:12" x14ac:dyDescent="0.2">
      <c r="A47" s="5" t="s">
        <v>151</v>
      </c>
      <c r="B47" s="75">
        <f t="shared" ref="B47:G47" si="7">B43/B45</f>
        <v>0</v>
      </c>
      <c r="C47" s="75">
        <f t="shared" si="7"/>
        <v>0</v>
      </c>
      <c r="D47" s="75">
        <f t="shared" si="7"/>
        <v>-0.11733931240657697</v>
      </c>
      <c r="E47" s="75">
        <f t="shared" si="7"/>
        <v>-0.12693935119887165</v>
      </c>
      <c r="F47" s="75">
        <f t="shared" si="7"/>
        <v>0.270509977827051</v>
      </c>
      <c r="G47" s="75">
        <f t="shared" si="7"/>
        <v>0.36321839080459772</v>
      </c>
      <c r="H47" s="75">
        <f>H43/H$45</f>
        <v>-2.853229856197215E-2</v>
      </c>
      <c r="L47" s="75">
        <f>L43/L45</f>
        <v>0.18512396694214875</v>
      </c>
    </row>
    <row r="48" spans="1:12" x14ac:dyDescent="0.2">
      <c r="A48" s="5" t="s">
        <v>152</v>
      </c>
      <c r="B48" s="75">
        <f t="shared" ref="B48:G48" si="8">B11</f>
        <v>-0.29953198127925118</v>
      </c>
      <c r="C48" s="75">
        <f t="shared" si="8"/>
        <v>-0.5623960066555741</v>
      </c>
      <c r="D48" s="75">
        <f t="shared" si="8"/>
        <v>-0.20403587443946189</v>
      </c>
      <c r="E48" s="75">
        <f t="shared" si="8"/>
        <v>-1.4485190409026798</v>
      </c>
      <c r="F48" s="75">
        <f t="shared" si="8"/>
        <v>-1.2416851441241685</v>
      </c>
      <c r="G48" s="75">
        <f t="shared" si="8"/>
        <v>0.32183908045977017</v>
      </c>
      <c r="H48" s="75">
        <f>H44/H$45</f>
        <v>-0.58936315909609671</v>
      </c>
      <c r="L48" s="75">
        <f>L11</f>
        <v>0</v>
      </c>
    </row>
    <row r="49" spans="1:12" x14ac:dyDescent="0.2">
      <c r="A49" s="5" t="s">
        <v>148</v>
      </c>
    </row>
    <row r="50" spans="1:12" x14ac:dyDescent="0.2">
      <c r="A50" s="5" t="s">
        <v>149</v>
      </c>
      <c r="D50" s="79">
        <f t="shared" ref="D50:E50" si="9">(D72+D73+D75)/1000</f>
        <v>5.3369999999999997</v>
      </c>
      <c r="E50" s="79">
        <f t="shared" si="9"/>
        <v>5.9409999999999998</v>
      </c>
      <c r="F50" s="79">
        <f>(F72+F73+F75)/1000</f>
        <v>8.6440000000000001</v>
      </c>
      <c r="G50" s="79">
        <f>(G72+G73+G75)/1000</f>
        <v>13.965</v>
      </c>
      <c r="L50" s="79"/>
    </row>
    <row r="51" spans="1:12" x14ac:dyDescent="0.2">
      <c r="A51" s="5" t="s">
        <v>153</v>
      </c>
      <c r="B51" s="79"/>
      <c r="D51" s="79">
        <f t="shared" ref="D51:E51" si="10">(D74+D76)/1000</f>
        <v>4.9119999999999999</v>
      </c>
      <c r="E51" s="79">
        <f t="shared" si="10"/>
        <v>8.0299999999999994</v>
      </c>
      <c r="F51" s="79">
        <f>(F74+F76)/1000</f>
        <v>8.8209999999999997</v>
      </c>
      <c r="G51" s="79">
        <f>(G74+G76)/1000</f>
        <v>7.0949999999999998</v>
      </c>
      <c r="L51" s="79"/>
    </row>
    <row r="52" spans="1:12" x14ac:dyDescent="0.2">
      <c r="A52" s="5" t="s">
        <v>117</v>
      </c>
      <c r="B52" s="79">
        <f t="shared" ref="B52:G52" si="11">B20/1000</f>
        <v>1.486</v>
      </c>
      <c r="C52" s="79">
        <f t="shared" si="11"/>
        <v>8.423</v>
      </c>
      <c r="D52" s="79">
        <f t="shared" si="11"/>
        <v>10.130000000000001</v>
      </c>
      <c r="E52" s="79">
        <f t="shared" si="11"/>
        <v>13.971</v>
      </c>
      <c r="F52" s="79">
        <f t="shared" si="11"/>
        <v>17.452999999999999</v>
      </c>
      <c r="G52" s="79">
        <f t="shared" si="11"/>
        <v>21.06</v>
      </c>
      <c r="L52" s="79">
        <f>L20/1000</f>
        <v>25.852</v>
      </c>
    </row>
    <row r="53" spans="1:12" x14ac:dyDescent="0.2">
      <c r="A53" s="5" t="s">
        <v>25</v>
      </c>
      <c r="B53" s="77">
        <f t="shared" ref="B53:G53" si="12">B21</f>
        <v>31.4</v>
      </c>
      <c r="C53" s="77">
        <f t="shared" si="12"/>
        <v>20.6</v>
      </c>
      <c r="D53" s="77">
        <f t="shared" si="12"/>
        <v>87</v>
      </c>
      <c r="E53" s="77">
        <f t="shared" si="12"/>
        <v>75.8</v>
      </c>
      <c r="F53" s="77">
        <f t="shared" si="12"/>
        <v>70.2</v>
      </c>
      <c r="G53" s="77">
        <f t="shared" si="12"/>
        <v>67.08</v>
      </c>
      <c r="L53" s="77">
        <f>L21</f>
        <v>64.010000000000005</v>
      </c>
    </row>
    <row r="54" spans="1:12" x14ac:dyDescent="0.2">
      <c r="A54" s="5" t="s">
        <v>162</v>
      </c>
      <c r="B54" s="2">
        <f t="shared" ref="B54:G54" si="13">B50/B52</f>
        <v>0</v>
      </c>
      <c r="C54" s="2">
        <f t="shared" si="13"/>
        <v>0</v>
      </c>
      <c r="D54" s="2">
        <f t="shared" si="13"/>
        <v>0.52685093780848957</v>
      </c>
      <c r="E54" s="2">
        <f t="shared" si="13"/>
        <v>0.42523799298546988</v>
      </c>
      <c r="F54" s="2">
        <f t="shared" si="13"/>
        <v>0.49527301896522091</v>
      </c>
      <c r="G54" s="2">
        <f t="shared" si="13"/>
        <v>0.66310541310541316</v>
      </c>
      <c r="H54" s="97">
        <f>AVERAGE(B54:G54)</f>
        <v>0.3517445604774323</v>
      </c>
      <c r="L54" s="2">
        <f t="shared" ref="L54" si="14">L50/L52</f>
        <v>0</v>
      </c>
    </row>
    <row r="58" spans="1:12" x14ac:dyDescent="0.2">
      <c r="A58" s="5" t="s">
        <v>155</v>
      </c>
    </row>
    <row r="59" spans="1:12" x14ac:dyDescent="0.2">
      <c r="A59" s="5" t="s">
        <v>156</v>
      </c>
      <c r="B59" s="79">
        <f t="shared" ref="B59:G59" si="15">B8</f>
        <v>5.25</v>
      </c>
      <c r="C59" s="79">
        <f t="shared" si="15"/>
        <v>7</v>
      </c>
      <c r="D59" s="79">
        <f t="shared" si="15"/>
        <v>4</v>
      </c>
      <c r="E59" s="79">
        <f t="shared" si="15"/>
        <v>3.4</v>
      </c>
      <c r="F59" s="79">
        <f t="shared" si="15"/>
        <v>3.2</v>
      </c>
      <c r="G59" s="79">
        <f t="shared" si="15"/>
        <v>3.02</v>
      </c>
    </row>
    <row r="60" spans="1:12" x14ac:dyDescent="0.2">
      <c r="A60" s="5" t="s">
        <v>25</v>
      </c>
      <c r="B60" s="77">
        <f t="shared" ref="B60:G60" si="16">B53</f>
        <v>31.4</v>
      </c>
      <c r="C60" s="77">
        <f t="shared" si="16"/>
        <v>20.6</v>
      </c>
      <c r="D60" s="77">
        <f t="shared" si="16"/>
        <v>87</v>
      </c>
      <c r="E60" s="77">
        <f t="shared" si="16"/>
        <v>75.8</v>
      </c>
      <c r="F60" s="77">
        <f t="shared" si="16"/>
        <v>70.2</v>
      </c>
      <c r="G60" s="77">
        <f t="shared" si="16"/>
        <v>67.08</v>
      </c>
    </row>
    <row r="61" spans="1:12" x14ac:dyDescent="0.2">
      <c r="A61" s="5" t="s">
        <v>157</v>
      </c>
      <c r="C61">
        <v>14.5</v>
      </c>
      <c r="D61" s="77">
        <v>80</v>
      </c>
      <c r="E61" s="77">
        <v>65</v>
      </c>
      <c r="F61" s="77">
        <v>50</v>
      </c>
      <c r="G61" s="77">
        <v>60</v>
      </c>
    </row>
    <row r="62" spans="1:12" x14ac:dyDescent="0.2">
      <c r="A62" s="5" t="s">
        <v>158</v>
      </c>
      <c r="B62" s="90">
        <f t="shared" ref="B62:F63" si="17">B$59/B60</f>
        <v>0.16719745222929938</v>
      </c>
      <c r="C62" s="90">
        <f t="shared" si="17"/>
        <v>0.33980582524271841</v>
      </c>
      <c r="D62" s="90">
        <f t="shared" si="17"/>
        <v>4.5977011494252873E-2</v>
      </c>
      <c r="E62" s="90">
        <f t="shared" si="17"/>
        <v>4.4854881266490766E-2</v>
      </c>
      <c r="F62" s="90">
        <f t="shared" si="17"/>
        <v>4.5584045584045586E-2</v>
      </c>
      <c r="G62" s="90">
        <f t="shared" ref="G62" si="18">G$59/G60</f>
        <v>4.502087060226595E-2</v>
      </c>
    </row>
    <row r="63" spans="1:12" x14ac:dyDescent="0.2">
      <c r="A63" s="5" t="s">
        <v>159</v>
      </c>
      <c r="B63" s="90" t="e">
        <f t="shared" si="17"/>
        <v>#DIV/0!</v>
      </c>
      <c r="C63" s="90">
        <f t="shared" si="17"/>
        <v>0.48275862068965519</v>
      </c>
      <c r="D63" s="90">
        <f t="shared" si="17"/>
        <v>0.05</v>
      </c>
      <c r="E63" s="90">
        <f t="shared" si="17"/>
        <v>5.2307692307692305E-2</v>
      </c>
      <c r="F63" s="90">
        <f t="shared" si="17"/>
        <v>6.4000000000000001E-2</v>
      </c>
      <c r="G63" s="90">
        <f t="shared" ref="G63" si="19">G$59/G61</f>
        <v>5.0333333333333334E-2</v>
      </c>
    </row>
    <row r="64" spans="1:12" x14ac:dyDescent="0.2">
      <c r="A64" s="5" t="s">
        <v>199</v>
      </c>
      <c r="B64" s="90">
        <f>(B60+B59)/39.5-1</f>
        <v>-7.2151898734177267E-2</v>
      </c>
      <c r="C64" s="90">
        <f>(C60+C59)/B60-1</f>
        <v>-0.12101910828025464</v>
      </c>
      <c r="D64" s="90">
        <f>(D60+D59)/C60-1</f>
        <v>3.4174757281553392</v>
      </c>
      <c r="E64" s="90">
        <f>(E60+E59)/D60-1</f>
        <v>-8.9655172413793061E-2</v>
      </c>
      <c r="F64" s="90">
        <f>(F60+F59)/E60-1</f>
        <v>-3.166226912928749E-2</v>
      </c>
      <c r="G64" s="90">
        <f>(G60+G59)/F60-1</f>
        <v>-1.4245014245015675E-3</v>
      </c>
      <c r="H64" s="96">
        <f>H66-1</f>
        <v>2.1713500265165111</v>
      </c>
    </row>
    <row r="66" spans="1:9" x14ac:dyDescent="0.2">
      <c r="A66" s="5" t="s">
        <v>200</v>
      </c>
      <c r="B66" s="93">
        <f t="shared" ref="B66:G66" si="20">1+B64</f>
        <v>0.92784810126582273</v>
      </c>
      <c r="C66" s="93">
        <f t="shared" si="20"/>
        <v>0.87898089171974536</v>
      </c>
      <c r="D66" s="93">
        <f t="shared" si="20"/>
        <v>4.4174757281553392</v>
      </c>
      <c r="E66" s="93">
        <f t="shared" si="20"/>
        <v>0.91034482758620694</v>
      </c>
      <c r="F66" s="93">
        <f t="shared" si="20"/>
        <v>0.96833773087071251</v>
      </c>
      <c r="G66" s="93">
        <f t="shared" si="20"/>
        <v>0.99857549857549843</v>
      </c>
      <c r="H66" s="94">
        <f>PRODUCT(B66:G66)</f>
        <v>3.1713500265165111</v>
      </c>
      <c r="I66" s="90">
        <f>H66^(1/5.5)-1</f>
        <v>0.23348906892225973</v>
      </c>
    </row>
    <row r="67" spans="1:9" x14ac:dyDescent="0.2">
      <c r="A67" s="5" t="s">
        <v>201</v>
      </c>
      <c r="H67" s="30">
        <f>SUM(B67:F67)</f>
        <v>0</v>
      </c>
    </row>
    <row r="70" spans="1:9" x14ac:dyDescent="0.2">
      <c r="A70" s="5" t="s">
        <v>106</v>
      </c>
    </row>
    <row r="71" spans="1:9" x14ac:dyDescent="0.2">
      <c r="D71">
        <f>D3</f>
        <v>2018</v>
      </c>
      <c r="E71">
        <f>E3</f>
        <v>2019</v>
      </c>
      <c r="F71">
        <f>F3</f>
        <v>2020</v>
      </c>
      <c r="G71">
        <f>G3</f>
        <v>2021</v>
      </c>
    </row>
    <row r="72" spans="1:9" x14ac:dyDescent="0.2">
      <c r="A72" s="5" t="s">
        <v>107</v>
      </c>
      <c r="D72">
        <v>4182</v>
      </c>
      <c r="E72">
        <v>4758</v>
      </c>
      <c r="F72">
        <v>6493</v>
      </c>
      <c r="G72">
        <f>12207-G75</f>
        <v>10311.6</v>
      </c>
    </row>
    <row r="73" spans="1:9" x14ac:dyDescent="0.2">
      <c r="A73" s="5" t="s">
        <v>108</v>
      </c>
      <c r="D73">
        <v>610</v>
      </c>
      <c r="E73">
        <v>408</v>
      </c>
      <c r="F73">
        <v>526</v>
      </c>
      <c r="G73">
        <f>1013+745</f>
        <v>1758</v>
      </c>
    </row>
    <row r="74" spans="1:9" x14ac:dyDescent="0.2">
      <c r="A74" s="5" t="s">
        <v>112</v>
      </c>
      <c r="D74">
        <v>2645</v>
      </c>
      <c r="E74">
        <v>5652</v>
      </c>
      <c r="F74" s="60">
        <v>5665</v>
      </c>
      <c r="G74">
        <v>5667</v>
      </c>
    </row>
    <row r="75" spans="1:9" x14ac:dyDescent="0.2">
      <c r="A75" s="5" t="s">
        <v>109</v>
      </c>
      <c r="D75">
        <v>545</v>
      </c>
      <c r="E75">
        <v>775</v>
      </c>
      <c r="F75" s="60">
        <v>1625</v>
      </c>
      <c r="G75">
        <v>1895.3999999999999</v>
      </c>
    </row>
    <row r="76" spans="1:9" x14ac:dyDescent="0.2">
      <c r="A76" s="5" t="s">
        <v>110</v>
      </c>
      <c r="D76">
        <v>2267</v>
      </c>
      <c r="E76">
        <v>2378</v>
      </c>
      <c r="F76">
        <v>3156</v>
      </c>
      <c r="G76">
        <v>1428</v>
      </c>
    </row>
    <row r="78" spans="1:9" x14ac:dyDescent="0.2">
      <c r="A78" s="5" t="s">
        <v>111</v>
      </c>
    </row>
    <row r="79" spans="1:9" x14ac:dyDescent="0.2">
      <c r="A79" s="5" t="str">
        <f>A72</f>
        <v>Unquoted equities</v>
      </c>
      <c r="D79" s="2">
        <f t="shared" ref="D79:G83" si="21">D72/D$20</f>
        <v>0.41283316880552812</v>
      </c>
      <c r="E79" s="2">
        <f t="shared" si="21"/>
        <v>0.34056259394459953</v>
      </c>
      <c r="F79" s="2">
        <f t="shared" si="21"/>
        <v>0.3720277316220707</v>
      </c>
      <c r="G79" s="2">
        <f t="shared" si="21"/>
        <v>0.48962962962962964</v>
      </c>
    </row>
    <row r="80" spans="1:9" x14ac:dyDescent="0.2">
      <c r="A80" s="5" t="str">
        <f t="shared" ref="A80:A83" si="22">A73</f>
        <v>AIM Quoted equities</v>
      </c>
      <c r="D80" s="2">
        <f t="shared" si="21"/>
        <v>6.0217176702862786E-2</v>
      </c>
      <c r="E80" s="2">
        <f t="shared" si="21"/>
        <v>2.9203349796006011E-2</v>
      </c>
      <c r="F80" s="2">
        <f t="shared" si="21"/>
        <v>3.0138085142955365E-2</v>
      </c>
      <c r="G80" s="2">
        <f t="shared" si="21"/>
        <v>8.347578347578348E-2</v>
      </c>
    </row>
    <row r="81" spans="1:8" x14ac:dyDescent="0.2">
      <c r="A81" s="5" t="str">
        <f t="shared" si="22"/>
        <v>Quoted liquidity funds</v>
      </c>
      <c r="D81" s="2">
        <f t="shared" si="21"/>
        <v>0.2611056268509378</v>
      </c>
      <c r="E81" s="2">
        <f t="shared" si="21"/>
        <v>0.40455228687996564</v>
      </c>
      <c r="F81" s="2">
        <f t="shared" si="21"/>
        <v>0.32458603105483297</v>
      </c>
      <c r="G81" s="2">
        <f t="shared" si="21"/>
        <v>0.26908831908831909</v>
      </c>
    </row>
    <row r="82" spans="1:8" x14ac:dyDescent="0.2">
      <c r="A82" s="5" t="str">
        <f t="shared" si="22"/>
        <v>Loan Stock</v>
      </c>
      <c r="D82" s="2">
        <f t="shared" si="21"/>
        <v>5.3800592300098718E-2</v>
      </c>
      <c r="E82" s="2">
        <f t="shared" si="21"/>
        <v>5.547204924486436E-2</v>
      </c>
      <c r="F82" s="2">
        <f t="shared" si="21"/>
        <v>9.3107202200194805E-2</v>
      </c>
      <c r="G82" s="2">
        <f t="shared" si="21"/>
        <v>0.09</v>
      </c>
    </row>
    <row r="83" spans="1:8" x14ac:dyDescent="0.2">
      <c r="A83" s="5" t="str">
        <f t="shared" si="22"/>
        <v>Cash</v>
      </c>
      <c r="D83" s="2">
        <f t="shared" si="21"/>
        <v>0.22379072063178676</v>
      </c>
      <c r="E83" s="2">
        <f t="shared" si="21"/>
        <v>0.17020972013456445</v>
      </c>
      <c r="F83" s="2">
        <f t="shared" si="21"/>
        <v>0.18082851085773219</v>
      </c>
      <c r="G83" s="2">
        <f t="shared" si="21"/>
        <v>6.7806267806267806E-2</v>
      </c>
    </row>
    <row r="86" spans="1:8" x14ac:dyDescent="0.2">
      <c r="A86" s="5" t="s">
        <v>113</v>
      </c>
    </row>
    <row r="87" spans="1:8" x14ac:dyDescent="0.2">
      <c r="A87" s="5" t="s">
        <v>114</v>
      </c>
      <c r="B87">
        <v>2016</v>
      </c>
      <c r="C87">
        <v>2017</v>
      </c>
      <c r="D87">
        <f t="shared" ref="D87:G90" si="23">D3</f>
        <v>2018</v>
      </c>
      <c r="E87">
        <f t="shared" si="23"/>
        <v>2019</v>
      </c>
      <c r="F87">
        <f t="shared" si="23"/>
        <v>2020</v>
      </c>
      <c r="G87">
        <f t="shared" si="23"/>
        <v>2021</v>
      </c>
      <c r="H87" s="28" t="s">
        <v>203</v>
      </c>
    </row>
    <row r="88" spans="1:8" x14ac:dyDescent="0.2">
      <c r="A88" s="5" t="s">
        <v>115</v>
      </c>
      <c r="B88" s="79">
        <f t="shared" ref="B88:C90" si="24">B4</f>
        <v>-0.57199999999999995</v>
      </c>
      <c r="C88" s="79">
        <f t="shared" si="24"/>
        <v>7.0000000000000007E-2</v>
      </c>
      <c r="D88" s="79">
        <f t="shared" si="23"/>
        <v>-0.159</v>
      </c>
      <c r="E88" s="79">
        <f t="shared" si="23"/>
        <v>-8.7999999999999995E-2</v>
      </c>
      <c r="F88" s="79">
        <f t="shared" si="23"/>
        <v>0.122</v>
      </c>
      <c r="G88" s="79">
        <f t="shared" si="23"/>
        <v>0.316</v>
      </c>
      <c r="H88" s="79">
        <f>L4</f>
        <v>0.224</v>
      </c>
    </row>
    <row r="89" spans="1:8" x14ac:dyDescent="0.2">
      <c r="A89" s="5" t="s">
        <v>116</v>
      </c>
      <c r="B89" s="79">
        <f t="shared" si="24"/>
        <v>-0.38400000000000001</v>
      </c>
      <c r="C89" s="79">
        <f t="shared" si="24"/>
        <v>-0.33800000000000002</v>
      </c>
      <c r="D89" s="79">
        <f t="shared" si="23"/>
        <v>-0.27300000000000002</v>
      </c>
      <c r="E89" s="79">
        <f t="shared" si="23"/>
        <v>-1.0269999999999999</v>
      </c>
      <c r="F89" s="79">
        <f t="shared" si="23"/>
        <v>-0.56000000000000005</v>
      </c>
      <c r="G89" s="79">
        <f t="shared" si="23"/>
        <v>0.28000000000000003</v>
      </c>
      <c r="H89" s="79">
        <f>L5</f>
        <v>0.20300000000000001</v>
      </c>
    </row>
    <row r="90" spans="1:8" x14ac:dyDescent="0.2">
      <c r="A90" s="5" t="str">
        <f>A6</f>
        <v>Return on activities (p/share)</v>
      </c>
      <c r="B90" s="79">
        <f t="shared" si="24"/>
        <v>-8.1</v>
      </c>
      <c r="C90" s="79">
        <f t="shared" si="24"/>
        <v>-8.6999999999999993</v>
      </c>
      <c r="D90" s="79">
        <f t="shared" si="23"/>
        <v>-2.7</v>
      </c>
      <c r="E90" s="79">
        <f t="shared" si="23"/>
        <v>-7.3</v>
      </c>
      <c r="F90" s="79">
        <f t="shared" si="23"/>
        <v>-2.6</v>
      </c>
      <c r="G90" s="79">
        <f t="shared" si="23"/>
        <v>0.98</v>
      </c>
      <c r="H90" s="79">
        <f>L6</f>
        <v>0.54</v>
      </c>
    </row>
    <row r="91" spans="1:8" x14ac:dyDescent="0.2">
      <c r="A91" s="5" t="s">
        <v>117</v>
      </c>
      <c r="B91" s="78">
        <f t="shared" ref="B91:G91" si="25">B20/1000</f>
        <v>1.486</v>
      </c>
      <c r="C91" s="78">
        <f t="shared" si="25"/>
        <v>8.423</v>
      </c>
      <c r="D91" s="78">
        <f t="shared" si="25"/>
        <v>10.130000000000001</v>
      </c>
      <c r="E91" s="78">
        <f t="shared" si="25"/>
        <v>13.971</v>
      </c>
      <c r="F91" s="78">
        <f t="shared" si="25"/>
        <v>17.452999999999999</v>
      </c>
      <c r="G91" s="78">
        <f t="shared" si="25"/>
        <v>21.06</v>
      </c>
      <c r="H91" s="78">
        <f>L20/1000</f>
        <v>25.852</v>
      </c>
    </row>
    <row r="92" spans="1:8" x14ac:dyDescent="0.2">
      <c r="A92" s="5" t="str">
        <f>A21</f>
        <v>NAV per share (p)</v>
      </c>
      <c r="D92">
        <f>D21</f>
        <v>87</v>
      </c>
      <c r="E92">
        <f>E21</f>
        <v>75.8</v>
      </c>
      <c r="F92">
        <f>F21</f>
        <v>70.2</v>
      </c>
      <c r="G92">
        <f>G21</f>
        <v>67.08</v>
      </c>
      <c r="H92">
        <f>L21</f>
        <v>64.010000000000005</v>
      </c>
    </row>
    <row r="93" spans="1:8" x14ac:dyDescent="0.2">
      <c r="A93" s="5" t="s">
        <v>204</v>
      </c>
      <c r="D93" s="78">
        <f>D8</f>
        <v>4</v>
      </c>
      <c r="E93" s="78">
        <f t="shared" ref="E93:G93" si="26">E8</f>
        <v>3.4</v>
      </c>
      <c r="F93" s="78">
        <f t="shared" si="26"/>
        <v>3.2</v>
      </c>
      <c r="G93" s="78">
        <f t="shared" si="26"/>
        <v>3.02</v>
      </c>
      <c r="H93" s="78">
        <f>L8</f>
        <v>0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1186-556C-C846-B189-630CA3A37A5F}">
  <dimension ref="A1:M7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3" sqref="B13"/>
    </sheetView>
  </sheetViews>
  <sheetFormatPr baseColWidth="10" defaultColWidth="11" defaultRowHeight="16" x14ac:dyDescent="0.2"/>
  <cols>
    <col min="1" max="1" width="44.5" style="5" customWidth="1"/>
    <col min="2" max="6" width="16.1640625" customWidth="1"/>
    <col min="8" max="8" width="11.6640625" bestFit="1" customWidth="1"/>
  </cols>
  <sheetData>
    <row r="1" spans="1:13" x14ac:dyDescent="0.2">
      <c r="A1" s="5" t="s">
        <v>0</v>
      </c>
      <c r="B1" s="1">
        <v>43830</v>
      </c>
    </row>
    <row r="2" spans="1:13" x14ac:dyDescent="0.2">
      <c r="A2" s="6" t="s">
        <v>254</v>
      </c>
    </row>
    <row r="3" spans="1:13" x14ac:dyDescent="0.2">
      <c r="A3" s="5" t="s">
        <v>260</v>
      </c>
      <c r="B3" s="4">
        <v>2020</v>
      </c>
      <c r="C3" s="4">
        <v>2021</v>
      </c>
      <c r="D3" s="4">
        <v>2022</v>
      </c>
      <c r="E3" s="4">
        <v>2023</v>
      </c>
      <c r="F3" s="4">
        <v>2024</v>
      </c>
      <c r="G3" s="4">
        <v>2025</v>
      </c>
      <c r="H3" s="25" t="s">
        <v>2</v>
      </c>
      <c r="I3" t="s">
        <v>3</v>
      </c>
      <c r="J3" t="s">
        <v>4</v>
      </c>
      <c r="L3" t="s">
        <v>216</v>
      </c>
      <c r="M3" s="101">
        <v>44526</v>
      </c>
    </row>
    <row r="4" spans="1:13" x14ac:dyDescent="0.2">
      <c r="A4" s="9" t="s">
        <v>205</v>
      </c>
      <c r="B4" s="111"/>
      <c r="C4" s="111"/>
      <c r="D4" s="111"/>
      <c r="E4" s="111"/>
      <c r="F4" s="111"/>
      <c r="G4" s="111"/>
      <c r="H4" s="112"/>
      <c r="I4" s="112"/>
    </row>
    <row r="5" spans="1:13" x14ac:dyDescent="0.2">
      <c r="A5" s="6" t="s">
        <v>160</v>
      </c>
      <c r="B5" s="112"/>
      <c r="C5" s="112"/>
      <c r="D5" s="112"/>
      <c r="E5" s="112"/>
      <c r="F5" s="112"/>
      <c r="G5" s="112"/>
      <c r="H5" s="112"/>
      <c r="I5" s="112"/>
    </row>
    <row r="6" spans="1:13" x14ac:dyDescent="0.2">
      <c r="A6" s="6" t="s">
        <v>206</v>
      </c>
      <c r="B6" s="112"/>
      <c r="C6" s="112"/>
      <c r="D6" s="112"/>
      <c r="E6" s="112"/>
      <c r="F6" s="112"/>
      <c r="G6" s="113"/>
      <c r="H6" s="30"/>
      <c r="L6" s="112"/>
    </row>
    <row r="7" spans="1:13" x14ac:dyDescent="0.2">
      <c r="A7" s="9" t="s">
        <v>5</v>
      </c>
      <c r="B7" s="111"/>
      <c r="C7" s="111"/>
      <c r="D7" s="111"/>
      <c r="E7" s="111"/>
      <c r="F7" s="111"/>
      <c r="G7" s="111"/>
      <c r="H7" s="14"/>
      <c r="L7" s="112"/>
    </row>
    <row r="8" spans="1:13" x14ac:dyDescent="0.2">
      <c r="A8" s="6" t="s">
        <v>255</v>
      </c>
      <c r="B8" s="112"/>
      <c r="C8" s="112"/>
      <c r="D8" s="112"/>
      <c r="E8" s="112"/>
      <c r="F8" s="112"/>
      <c r="G8" s="112"/>
      <c r="H8" s="14"/>
      <c r="L8" s="112"/>
    </row>
    <row r="9" spans="1:13" x14ac:dyDescent="0.2">
      <c r="A9" s="6" t="s">
        <v>208</v>
      </c>
      <c r="B9" s="112">
        <v>-69</v>
      </c>
      <c r="C9" s="112"/>
      <c r="D9" s="112"/>
      <c r="E9" s="112"/>
      <c r="F9" s="112"/>
      <c r="G9" s="112"/>
      <c r="H9" s="14"/>
      <c r="L9" s="112">
        <v>-105</v>
      </c>
    </row>
    <row r="10" spans="1:13" x14ac:dyDescent="0.2">
      <c r="A10" s="6" t="s">
        <v>256</v>
      </c>
      <c r="B10" s="112">
        <f>-195-8</f>
        <v>-203</v>
      </c>
      <c r="C10" s="112"/>
      <c r="D10" s="112"/>
      <c r="E10" s="112"/>
      <c r="F10" s="112"/>
      <c r="G10" s="112"/>
      <c r="H10" s="14"/>
      <c r="L10" s="112">
        <f>-127.2+7.5</f>
        <v>-119.7</v>
      </c>
    </row>
    <row r="11" spans="1:13" x14ac:dyDescent="0.2">
      <c r="A11" s="6" t="s">
        <v>213</v>
      </c>
      <c r="B11" s="112"/>
      <c r="C11" s="112"/>
      <c r="D11" s="112"/>
      <c r="E11" s="112"/>
      <c r="F11" s="112"/>
      <c r="G11" s="113"/>
      <c r="H11" s="14"/>
      <c r="L11" s="112"/>
    </row>
    <row r="12" spans="1:13" x14ac:dyDescent="0.2">
      <c r="A12" s="6" t="s">
        <v>6</v>
      </c>
      <c r="B12" s="112">
        <v>-271</v>
      </c>
      <c r="C12" s="112"/>
      <c r="D12" s="112"/>
      <c r="E12" s="112"/>
      <c r="F12" s="112"/>
      <c r="G12" s="113"/>
      <c r="H12" s="14"/>
      <c r="L12" s="112">
        <v>-225</v>
      </c>
    </row>
    <row r="13" spans="1:13" x14ac:dyDescent="0.2">
      <c r="A13" s="6" t="s">
        <v>8</v>
      </c>
      <c r="B13" s="39">
        <v>-7.5</v>
      </c>
      <c r="C13" s="39"/>
      <c r="D13" s="39"/>
      <c r="E13" s="14"/>
      <c r="F13" s="14"/>
      <c r="G13" s="39"/>
      <c r="H13" s="14"/>
      <c r="L13">
        <v>-2.86</v>
      </c>
    </row>
    <row r="14" spans="1:13" x14ac:dyDescent="0.2">
      <c r="A14" s="6" t="s">
        <v>9</v>
      </c>
      <c r="B14" s="39"/>
      <c r="C14" s="39"/>
      <c r="D14" s="39"/>
      <c r="E14" s="14"/>
      <c r="F14" s="14"/>
      <c r="G14" s="39"/>
      <c r="H14" s="14"/>
    </row>
    <row r="15" spans="1:13" x14ac:dyDescent="0.2">
      <c r="A15" s="6" t="s">
        <v>10</v>
      </c>
      <c r="B15" s="14"/>
      <c r="C15" s="14"/>
      <c r="D15" s="14"/>
      <c r="E15" s="14"/>
      <c r="F15" s="14"/>
      <c r="G15" s="39"/>
      <c r="H15" s="14"/>
    </row>
    <row r="16" spans="1:13" x14ac:dyDescent="0.2">
      <c r="A16" s="6" t="s">
        <v>11</v>
      </c>
      <c r="B16" s="11"/>
      <c r="C16" s="11"/>
      <c r="D16" s="11"/>
      <c r="E16" s="11"/>
      <c r="F16" s="11"/>
      <c r="G16" s="11"/>
      <c r="H16" s="11"/>
    </row>
    <row r="17" spans="1:13" x14ac:dyDescent="0.2">
      <c r="A17" s="6" t="s">
        <v>12</v>
      </c>
      <c r="B17" s="2"/>
      <c r="C17" s="2"/>
      <c r="D17" s="2"/>
      <c r="E17" s="2"/>
      <c r="F17" s="2"/>
      <c r="G17" s="2"/>
      <c r="H17" s="2"/>
      <c r="L17" s="2" t="e">
        <f t="shared" ref="L17" si="0">L7/L14</f>
        <v>#DIV/0!</v>
      </c>
    </row>
    <row r="18" spans="1:13" x14ac:dyDescent="0.2">
      <c r="A18" s="12" t="s">
        <v>13</v>
      </c>
      <c r="B18" s="23"/>
      <c r="C18" s="24"/>
      <c r="D18" s="24"/>
      <c r="E18" s="24"/>
      <c r="F18" s="24"/>
      <c r="G18" s="24"/>
      <c r="H18" s="24"/>
      <c r="L18" s="24" t="e">
        <f t="shared" ref="L18" si="1">L12/L14</f>
        <v>#DIV/0!</v>
      </c>
    </row>
    <row r="19" spans="1:13" x14ac:dyDescent="0.2">
      <c r="A19" s="6"/>
    </row>
    <row r="20" spans="1:13" x14ac:dyDescent="0.2">
      <c r="A20" s="9" t="s">
        <v>14</v>
      </c>
      <c r="B20" s="112">
        <v>39</v>
      </c>
      <c r="C20" s="112"/>
      <c r="D20" s="112"/>
      <c r="E20" s="112"/>
      <c r="F20" s="112"/>
      <c r="G20" s="112"/>
      <c r="H20" s="27"/>
      <c r="L20" s="112">
        <v>108</v>
      </c>
    </row>
    <row r="21" spans="1:13" x14ac:dyDescent="0.2">
      <c r="A21" s="6" t="s">
        <v>15</v>
      </c>
      <c r="B21" s="112">
        <v>3863</v>
      </c>
      <c r="C21" s="112"/>
      <c r="D21" s="112"/>
      <c r="E21" s="112"/>
      <c r="F21" s="112"/>
      <c r="G21" s="112"/>
      <c r="H21" s="26"/>
      <c r="L21" s="112">
        <v>10182</v>
      </c>
    </row>
    <row r="22" spans="1:13" x14ac:dyDescent="0.2">
      <c r="A22" s="6" t="s">
        <v>259</v>
      </c>
      <c r="B22" s="112">
        <v>50</v>
      </c>
      <c r="C22" s="112"/>
      <c r="D22" s="112"/>
      <c r="E22" s="112"/>
      <c r="F22" s="112"/>
      <c r="G22" s="112"/>
      <c r="H22" s="26"/>
      <c r="L22" s="112"/>
    </row>
    <row r="23" spans="1:13" x14ac:dyDescent="0.2">
      <c r="A23" s="6" t="s">
        <v>257</v>
      </c>
      <c r="B23" s="112">
        <v>-59</v>
      </c>
      <c r="C23" s="112"/>
      <c r="D23" s="112"/>
      <c r="E23" s="112"/>
      <c r="F23" s="112"/>
      <c r="G23" s="112"/>
      <c r="H23" s="26"/>
      <c r="L23" s="112">
        <v>-130</v>
      </c>
    </row>
    <row r="24" spans="1:13" x14ac:dyDescent="0.2">
      <c r="A24" s="6" t="s">
        <v>258</v>
      </c>
      <c r="B24" s="112">
        <v>-213</v>
      </c>
      <c r="C24" s="112"/>
      <c r="D24" s="112"/>
      <c r="E24" s="112"/>
      <c r="F24" s="112"/>
      <c r="G24" s="112"/>
      <c r="H24" s="26"/>
      <c r="L24" s="112">
        <v>-366</v>
      </c>
    </row>
    <row r="25" spans="1:13" x14ac:dyDescent="0.2">
      <c r="A25" s="6"/>
      <c r="B25" s="112"/>
      <c r="C25" s="112"/>
      <c r="D25" s="112"/>
      <c r="E25" s="112"/>
      <c r="F25" s="112"/>
      <c r="G25" s="112"/>
      <c r="H25" s="26"/>
      <c r="L25" s="112"/>
    </row>
    <row r="26" spans="1:13" x14ac:dyDescent="0.2">
      <c r="A26" s="6"/>
      <c r="B26" s="112"/>
      <c r="C26" s="112"/>
      <c r="D26" s="112"/>
      <c r="E26" s="112"/>
      <c r="F26" s="112"/>
      <c r="G26" s="112"/>
      <c r="H26" s="11"/>
      <c r="L26" s="112"/>
    </row>
    <row r="27" spans="1:13" x14ac:dyDescent="0.2">
      <c r="A27" s="6" t="s">
        <v>24</v>
      </c>
      <c r="B27" s="112">
        <f>SUM(B20:B24)</f>
        <v>3680</v>
      </c>
      <c r="C27" s="112"/>
      <c r="D27" s="112"/>
      <c r="E27" s="112"/>
      <c r="F27" s="112"/>
      <c r="G27" s="112"/>
      <c r="H27" s="11"/>
      <c r="L27" s="112">
        <v>9794</v>
      </c>
      <c r="M27" s="62">
        <f>L27+M32</f>
        <v>11435.7719</v>
      </c>
    </row>
    <row r="28" spans="1:13" x14ac:dyDescent="0.2">
      <c r="A28" s="12" t="s">
        <v>25</v>
      </c>
      <c r="B28" s="13">
        <v>94.08</v>
      </c>
      <c r="C28" s="18"/>
      <c r="D28" s="18"/>
      <c r="E28" s="18"/>
      <c r="F28" s="18"/>
      <c r="G28" s="13"/>
      <c r="H28" s="13"/>
      <c r="L28" s="116">
        <v>90.6</v>
      </c>
    </row>
    <row r="29" spans="1:13" x14ac:dyDescent="0.2">
      <c r="A29" s="6"/>
      <c r="B29" s="51"/>
      <c r="C29" s="51"/>
      <c r="D29" s="51"/>
      <c r="E29" s="51"/>
      <c r="F29" s="51"/>
    </row>
    <row r="30" spans="1:13" x14ac:dyDescent="0.2">
      <c r="A30" s="9" t="s">
        <v>26</v>
      </c>
      <c r="B30" s="10"/>
      <c r="C30" s="10"/>
      <c r="D30" s="10"/>
      <c r="E30" s="10"/>
      <c r="F30" s="10"/>
      <c r="G30" s="10"/>
      <c r="H30" s="10"/>
    </row>
    <row r="31" spans="1:13" x14ac:dyDescent="0.2">
      <c r="A31" s="6" t="s">
        <v>27</v>
      </c>
      <c r="B31" s="11"/>
      <c r="C31" s="20"/>
      <c r="D31" s="20"/>
      <c r="E31" s="20"/>
      <c r="F31" s="20"/>
      <c r="G31" s="21"/>
      <c r="H31" s="11"/>
    </row>
    <row r="32" spans="1:13" x14ac:dyDescent="0.2">
      <c r="A32" s="6" t="s">
        <v>28</v>
      </c>
      <c r="B32" s="21">
        <v>3902</v>
      </c>
      <c r="C32" s="21"/>
      <c r="D32" s="21"/>
      <c r="E32" s="20"/>
      <c r="F32" s="21"/>
      <c r="G32" s="21"/>
      <c r="H32" s="11"/>
      <c r="L32" s="60">
        <f>6447.5-59.2</f>
        <v>6388.3</v>
      </c>
      <c r="M32" s="60">
        <f>(M33-L33)*0.9/1000</f>
        <v>1641.7719000000002</v>
      </c>
    </row>
    <row r="33" spans="1:13" x14ac:dyDescent="0.2">
      <c r="A33" s="12" t="s">
        <v>261</v>
      </c>
      <c r="B33" s="16">
        <v>3911937</v>
      </c>
      <c r="C33" s="22"/>
      <c r="D33" s="22"/>
      <c r="E33" s="22"/>
      <c r="F33" s="22"/>
      <c r="G33" s="16"/>
      <c r="H33" s="13"/>
      <c r="L33" s="60">
        <v>10809654</v>
      </c>
      <c r="M33" s="60">
        <v>12633845</v>
      </c>
    </row>
    <row r="34" spans="1:13" x14ac:dyDescent="0.2">
      <c r="A34" s="6"/>
    </row>
    <row r="35" spans="1:13" s="3" customFormat="1" x14ac:dyDescent="0.2">
      <c r="A35" s="7" t="s">
        <v>30</v>
      </c>
      <c r="B35" s="8"/>
      <c r="C35" s="36">
        <f>(C28+C15+C16)/B28-1</f>
        <v>-1</v>
      </c>
      <c r="D35" s="36" t="e">
        <f>(D28+D15+D16)/C28-1</f>
        <v>#DIV/0!</v>
      </c>
      <c r="E35" s="36" t="e">
        <f>(E28+E15+E16)/D28-1</f>
        <v>#DIV/0!</v>
      </c>
      <c r="F35" s="36" t="e">
        <f>(F28+F15+F16)/E28-1</f>
        <v>#DIV/0!</v>
      </c>
      <c r="G35" s="36" t="e">
        <f>(G28+G15+G16)/F28-1</f>
        <v>#DIV/0!</v>
      </c>
      <c r="H35" s="8"/>
      <c r="L35" s="36" t="e">
        <f>(L28+L15+L16)/G28-1</f>
        <v>#DIV/0!</v>
      </c>
    </row>
    <row r="36" spans="1:13" x14ac:dyDescent="0.2">
      <c r="A36" s="7" t="s">
        <v>31</v>
      </c>
      <c r="B36" s="35"/>
      <c r="C36" s="36"/>
      <c r="D36" s="36"/>
      <c r="E36" s="36"/>
      <c r="F36" s="36"/>
      <c r="G36" s="37"/>
      <c r="H36" s="35" t="e">
        <f>((C35+1)*(D35+1)*(E35+1)*(F35+1)*(1+G35))^(1/5)-1</f>
        <v>#DIV/0!</v>
      </c>
      <c r="L36" s="90" t="e">
        <f>((D35+1)*(E35+1)*(F35+1)*(1+G35)*(1+L35))^(1/4.5)-1</f>
        <v>#DIV/0!</v>
      </c>
    </row>
    <row r="38" spans="1:13" s="10" customFormat="1" x14ac:dyDescent="0.2">
      <c r="B38" s="34"/>
    </row>
    <row r="39" spans="1:13" x14ac:dyDescent="0.2">
      <c r="A39" s="11"/>
      <c r="B39" s="28"/>
    </row>
    <row r="40" spans="1:13" x14ac:dyDescent="0.2">
      <c r="A40" s="11" t="s">
        <v>32</v>
      </c>
      <c r="B40" s="54"/>
      <c r="D40" s="53"/>
      <c r="F40" s="53" t="s">
        <v>33</v>
      </c>
    </row>
    <row r="41" spans="1:13" x14ac:dyDescent="0.2">
      <c r="A41" s="11" t="s">
        <v>214</v>
      </c>
      <c r="B41" s="114">
        <v>1259</v>
      </c>
      <c r="D41" s="2"/>
      <c r="F41" s="52"/>
      <c r="G41" s="60"/>
      <c r="L41" s="60">
        <v>3609</v>
      </c>
      <c r="M41">
        <v>5909</v>
      </c>
    </row>
    <row r="42" spans="1:13" x14ac:dyDescent="0.2">
      <c r="A42" s="11" t="s">
        <v>215</v>
      </c>
      <c r="B42" s="55"/>
      <c r="D42" s="2"/>
      <c r="F42" s="52"/>
      <c r="G42" s="60"/>
    </row>
    <row r="43" spans="1:13" x14ac:dyDescent="0.2">
      <c r="A43" s="11" t="s">
        <v>37</v>
      </c>
      <c r="B43" s="114">
        <v>2472</v>
      </c>
      <c r="D43" s="2"/>
      <c r="F43" s="52"/>
      <c r="G43" s="60"/>
      <c r="L43" s="60">
        <v>6302</v>
      </c>
    </row>
    <row r="44" spans="1:13" x14ac:dyDescent="0.2">
      <c r="A44" s="11"/>
      <c r="B44" s="55"/>
      <c r="C44" s="52"/>
    </row>
    <row r="45" spans="1:13" x14ac:dyDescent="0.2">
      <c r="A45" s="15" t="s">
        <v>38</v>
      </c>
      <c r="B45" s="115">
        <f>B27</f>
        <v>3680</v>
      </c>
      <c r="C45" s="60">
        <f t="shared" ref="C45:E45" si="2">C27</f>
        <v>0</v>
      </c>
      <c r="D45" s="51">
        <f t="shared" si="2"/>
        <v>0</v>
      </c>
      <c r="E45" s="60">
        <f t="shared" si="2"/>
        <v>0</v>
      </c>
      <c r="F45" s="51">
        <f>F27</f>
        <v>0</v>
      </c>
      <c r="G45" s="60">
        <f>G27</f>
        <v>0</v>
      </c>
      <c r="L45" s="60">
        <f>L43</f>
        <v>6302</v>
      </c>
    </row>
    <row r="46" spans="1:13" s="13" customFormat="1" x14ac:dyDescent="0.2">
      <c r="B46" s="56"/>
      <c r="C46" s="22"/>
    </row>
    <row r="48" spans="1:13" x14ac:dyDescent="0.2">
      <c r="A48" s="5" t="s">
        <v>39</v>
      </c>
    </row>
    <row r="49" spans="1:12" x14ac:dyDescent="0.2">
      <c r="A49" s="5" t="s">
        <v>207</v>
      </c>
      <c r="F49" s="57"/>
      <c r="G49" s="57"/>
    </row>
    <row r="50" spans="1:12" x14ac:dyDescent="0.2">
      <c r="A50" s="5" t="s">
        <v>208</v>
      </c>
      <c r="F50" s="57"/>
    </row>
    <row r="51" spans="1:12" s="11" customFormat="1" x14ac:dyDescent="0.2">
      <c r="A51" s="11" t="s">
        <v>220</v>
      </c>
    </row>
    <row r="52" spans="1:12" x14ac:dyDescent="0.2">
      <c r="A52" s="5" t="s">
        <v>226</v>
      </c>
    </row>
    <row r="53" spans="1:12" x14ac:dyDescent="0.2">
      <c r="A53" s="5" t="s">
        <v>209</v>
      </c>
      <c r="I53" s="28"/>
      <c r="J53" t="s">
        <v>222</v>
      </c>
    </row>
    <row r="54" spans="1:12" x14ac:dyDescent="0.2">
      <c r="A54" s="5" t="s">
        <v>210</v>
      </c>
      <c r="I54" s="102">
        <f>SUM(J54:J63)/100</f>
        <v>0.5119999999999999</v>
      </c>
      <c r="J54">
        <v>6.8</v>
      </c>
      <c r="L54" s="2"/>
    </row>
    <row r="55" spans="1:12" x14ac:dyDescent="0.2">
      <c r="A55" s="5" t="s">
        <v>211</v>
      </c>
      <c r="I55" s="102">
        <f>SUM(J54:J73)/100</f>
        <v>0.56899999999999984</v>
      </c>
      <c r="J55">
        <v>6.8</v>
      </c>
      <c r="L55" s="2"/>
    </row>
    <row r="56" spans="1:12" x14ac:dyDescent="0.2">
      <c r="A56" s="5" t="s">
        <v>212</v>
      </c>
      <c r="I56" s="28">
        <v>13</v>
      </c>
      <c r="J56">
        <v>5.3</v>
      </c>
    </row>
    <row r="57" spans="1:12" x14ac:dyDescent="0.2">
      <c r="A57" s="5" t="s">
        <v>217</v>
      </c>
      <c r="I57" s="28">
        <v>13</v>
      </c>
      <c r="J57">
        <v>4.8</v>
      </c>
    </row>
    <row r="58" spans="1:12" x14ac:dyDescent="0.2">
      <c r="A58" s="5" t="s">
        <v>223</v>
      </c>
      <c r="F58" s="57"/>
      <c r="G58" s="57"/>
      <c r="I58" s="28"/>
      <c r="J58">
        <v>4.8</v>
      </c>
    </row>
    <row r="59" spans="1:12" x14ac:dyDescent="0.2">
      <c r="I59" s="28"/>
      <c r="J59">
        <v>4.8</v>
      </c>
    </row>
    <row r="60" spans="1:12" x14ac:dyDescent="0.2">
      <c r="I60" s="28"/>
      <c r="J60">
        <v>4.8</v>
      </c>
    </row>
    <row r="61" spans="1:12" x14ac:dyDescent="0.2">
      <c r="I61" s="28"/>
      <c r="J61">
        <v>4.8</v>
      </c>
    </row>
    <row r="62" spans="1:12" x14ac:dyDescent="0.2">
      <c r="A62" s="5" t="s">
        <v>231</v>
      </c>
      <c r="C62" s="75">
        <f>C17</f>
        <v>0</v>
      </c>
      <c r="D62" s="75">
        <f t="shared" ref="D62:G63" si="3">D17</f>
        <v>0</v>
      </c>
      <c r="E62" s="75">
        <f t="shared" si="3"/>
        <v>0</v>
      </c>
      <c r="F62" s="75">
        <f t="shared" si="3"/>
        <v>0</v>
      </c>
      <c r="G62" s="75">
        <f t="shared" si="3"/>
        <v>0</v>
      </c>
      <c r="I62" s="28"/>
      <c r="J62">
        <v>4.4000000000000004</v>
      </c>
    </row>
    <row r="63" spans="1:12" x14ac:dyDescent="0.2">
      <c r="A63" s="5" t="s">
        <v>232</v>
      </c>
      <c r="C63" s="75">
        <f>C18</f>
        <v>0</v>
      </c>
      <c r="D63" s="75">
        <f t="shared" si="3"/>
        <v>0</v>
      </c>
      <c r="E63" s="75">
        <f t="shared" si="3"/>
        <v>0</v>
      </c>
      <c r="F63" s="75">
        <f t="shared" si="3"/>
        <v>0</v>
      </c>
      <c r="G63" s="75">
        <f t="shared" si="3"/>
        <v>0</v>
      </c>
      <c r="I63" s="28"/>
      <c r="J63">
        <v>3.9</v>
      </c>
    </row>
    <row r="64" spans="1:12" x14ac:dyDescent="0.2">
      <c r="A64" s="5" t="s">
        <v>228</v>
      </c>
      <c r="C64" s="78">
        <f>C31/1000</f>
        <v>0</v>
      </c>
      <c r="D64" s="78">
        <f t="shared" ref="D64:G64" si="4">D31/1000</f>
        <v>0</v>
      </c>
      <c r="E64" s="78">
        <f t="shared" si="4"/>
        <v>0</v>
      </c>
      <c r="F64" s="78">
        <f t="shared" si="4"/>
        <v>0</v>
      </c>
      <c r="G64" s="78">
        <f t="shared" si="4"/>
        <v>0</v>
      </c>
      <c r="I64" s="28"/>
      <c r="J64">
        <v>1.9</v>
      </c>
    </row>
    <row r="65" spans="1:10" x14ac:dyDescent="0.2">
      <c r="A65" s="5" t="s">
        <v>229</v>
      </c>
      <c r="C65" s="78">
        <f>C27/1000</f>
        <v>0</v>
      </c>
      <c r="D65" s="78">
        <f t="shared" ref="D65:G65" si="5">D27/1000</f>
        <v>0</v>
      </c>
      <c r="E65" s="78">
        <f t="shared" si="5"/>
        <v>0</v>
      </c>
      <c r="F65" s="78">
        <f t="shared" si="5"/>
        <v>0</v>
      </c>
      <c r="G65" s="78">
        <f t="shared" si="5"/>
        <v>0</v>
      </c>
      <c r="I65" s="28"/>
      <c r="J65">
        <v>1.9</v>
      </c>
    </row>
    <row r="66" spans="1:10" x14ac:dyDescent="0.2">
      <c r="A66" s="5" t="s">
        <v>230</v>
      </c>
      <c r="C66" s="78">
        <f>C28</f>
        <v>0</v>
      </c>
      <c r="D66" s="78">
        <f t="shared" ref="D66:G66" si="6">D28</f>
        <v>0</v>
      </c>
      <c r="E66" s="78">
        <f t="shared" si="6"/>
        <v>0</v>
      </c>
      <c r="F66" s="78">
        <f t="shared" si="6"/>
        <v>0</v>
      </c>
      <c r="G66" s="78">
        <f t="shared" si="6"/>
        <v>0</v>
      </c>
      <c r="I66" s="28"/>
      <c r="J66">
        <v>1.9</v>
      </c>
    </row>
    <row r="67" spans="1:10" x14ac:dyDescent="0.2">
      <c r="I67" s="28"/>
    </row>
    <row r="68" spans="1:10" x14ac:dyDescent="0.2">
      <c r="I68" s="28"/>
    </row>
    <row r="69" spans="1:10" x14ac:dyDescent="0.2">
      <c r="I69" s="28"/>
    </row>
    <row r="70" spans="1:10" x14ac:dyDescent="0.2">
      <c r="I70" s="28"/>
    </row>
    <row r="71" spans="1:10" x14ac:dyDescent="0.2">
      <c r="I71" s="28"/>
    </row>
    <row r="72" spans="1:10" x14ac:dyDescent="0.2">
      <c r="I72" s="28"/>
    </row>
    <row r="73" spans="1:10" x14ac:dyDescent="0.2">
      <c r="I73" s="28"/>
    </row>
    <row r="74" spans="1:10" x14ac:dyDescent="0.2">
      <c r="I74" s="28"/>
    </row>
    <row r="75" spans="1:10" x14ac:dyDescent="0.2">
      <c r="I75" s="28"/>
    </row>
    <row r="76" spans="1:10" x14ac:dyDescent="0.2">
      <c r="I76" s="28"/>
    </row>
    <row r="77" spans="1:10" x14ac:dyDescent="0.2">
      <c r="I77" s="28"/>
    </row>
    <row r="78" spans="1:10" x14ac:dyDescent="0.2">
      <c r="I78" s="28"/>
    </row>
    <row r="79" spans="1:10" x14ac:dyDescent="0.2">
      <c r="I79" s="2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A3B486F527448A99B381E15274180" ma:contentTypeVersion="9" ma:contentTypeDescription="Create a new document." ma:contentTypeScope="" ma:versionID="da10ce5f5c04a95b487e6f634181e679">
  <xsd:schema xmlns:xsd="http://www.w3.org/2001/XMLSchema" xmlns:xs="http://www.w3.org/2001/XMLSchema" xmlns:p="http://schemas.microsoft.com/office/2006/metadata/properties" xmlns:ns2="e70856a8-5593-48fb-bc8f-93be3171a89a" targetNamespace="http://schemas.microsoft.com/office/2006/metadata/properties" ma:root="true" ma:fieldsID="d3159ba0d7f739022454470e41c99d39" ns2:_="">
    <xsd:import namespace="e70856a8-5593-48fb-bc8f-93be3171a8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856a8-5593-48fb-bc8f-93be3171a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F3F891-2779-4E8B-B02E-9A3BC876B5A3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e70856a8-5593-48fb-bc8f-93be3171a89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7204B8-847D-4F5E-8639-B1B9329F60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C76204-2E36-4439-8372-D9BC93428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856a8-5593-48fb-bc8f-93be3171a8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AlbionDevelopment</vt:lpstr>
      <vt:lpstr>AlbionEnterprise</vt:lpstr>
      <vt:lpstr>AlbionTechGeneral</vt:lpstr>
      <vt:lpstr>AlbionVCT</vt:lpstr>
      <vt:lpstr>Crown</vt:lpstr>
      <vt:lpstr>KingsArm</vt:lpstr>
      <vt:lpstr>ALBION (2)</vt:lpstr>
      <vt:lpstr>Totals</vt:lpstr>
      <vt:lpstr>Amati</vt:lpstr>
      <vt:lpstr>Mobeus Income &amp; Growth 2</vt:lpstr>
      <vt:lpstr>Mobeus Income &amp; Growth 4</vt:lpstr>
      <vt:lpstr>Mobeus Income &amp; Growth</vt:lpstr>
      <vt:lpstr>Pembroke </vt:lpstr>
      <vt:lpstr>Pembroke B</vt:lpstr>
      <vt:lpstr>Maven Income &amp; Growth</vt:lpstr>
      <vt:lpstr>Maven Income &amp; Growth 4</vt:lpstr>
      <vt:lpstr>Maven Income &amp; Growth 3</vt:lpstr>
      <vt:lpstr>Maven Income &amp; Growth 5</vt:lpstr>
      <vt:lpstr>Calculus</vt:lpstr>
      <vt:lpstr>Blackfinch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Dr Brian Moretta FFA</cp:lastModifiedBy>
  <cp:revision/>
  <dcterms:created xsi:type="dcterms:W3CDTF">2020-07-21T16:27:49Z</dcterms:created>
  <dcterms:modified xsi:type="dcterms:W3CDTF">2022-09-28T17:14:36Z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0x01010094EA3B486F527448A99B381E15274180</vt:lpwstr>
  </property>
</Properties>
</file>