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filterPrivacy="1" defaultThemeVersion="124226"/>
  <xr:revisionPtr revIDLastSave="0" documentId="13_ncr:1_{F37ADF79-5867-5642-9690-FC4EECCFD9BB}" xr6:coauthVersionLast="45" xr6:coauthVersionMax="45" xr10:uidLastSave="{00000000-0000-0000-0000-000000000000}"/>
  <bookViews>
    <workbookView xWindow="29440" yWindow="460" windowWidth="34120" windowHeight="19620" xr2:uid="{00000000-000D-0000-FFFF-FFFF00000000}"/>
  </bookViews>
  <sheets>
    <sheet name="List1" sheetId="1" r:id="rId1"/>
    <sheet name="HL-V" sheetId="4" r:id="rId2"/>
    <sheet name="L-V" sheetId="5" r:id="rId3"/>
    <sheet name="H-V" sheetId="6" r:id="rId4"/>
    <sheet name="A-V" sheetId="7" r:id="rId5"/>
    <sheet name="Age-Age" sheetId="8" r:id="rId6"/>
    <sheet name="potential energy" sheetId="9" r:id="rId7"/>
    <sheet name="List3" sheetId="3" r:id="rId8"/>
    <sheet name="List2" sheetId="10" r:id="rId9"/>
    <sheet name="List4" sheetId="11" r:id="rId10"/>
  </sheets>
  <definedNames>
    <definedName name="atlantic" localSheetId="0">List1!$A$2:$V$2</definedName>
    <definedName name="atlantic_1" localSheetId="0">List1!$A$116:$V$182</definedName>
    <definedName name="indian" localSheetId="0">List1!$A$3:$V$49</definedName>
    <definedName name="pacific" localSheetId="0">List1!$A$50:$V$115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0" i="1" l="1"/>
  <c r="AE30" i="1" s="1"/>
  <c r="X30" i="1"/>
  <c r="Y30" i="1"/>
  <c r="Z30" i="1"/>
  <c r="AA30" i="1"/>
  <c r="W31" i="1"/>
  <c r="AB31" i="1" s="1"/>
  <c r="AC31" i="1" s="1"/>
  <c r="X31" i="1"/>
  <c r="Y31" i="1"/>
  <c r="Z31" i="1"/>
  <c r="AA31" i="1"/>
  <c r="W32" i="1"/>
  <c r="AB32" i="1" s="1"/>
  <c r="AC32" i="1" s="1"/>
  <c r="X32" i="1"/>
  <c r="Y32" i="1"/>
  <c r="Z32" i="1"/>
  <c r="AA32" i="1"/>
  <c r="W33" i="1"/>
  <c r="AB33" i="1" s="1"/>
  <c r="AC33" i="1" s="1"/>
  <c r="X33" i="1"/>
  <c r="Y33" i="1"/>
  <c r="Z33" i="1"/>
  <c r="AA33" i="1"/>
  <c r="W34" i="1"/>
  <c r="AB34" i="1" s="1"/>
  <c r="AC34" i="1" s="1"/>
  <c r="X34" i="1"/>
  <c r="Y34" i="1"/>
  <c r="Z34" i="1"/>
  <c r="AA34" i="1"/>
  <c r="W35" i="1"/>
  <c r="AB35" i="1" s="1"/>
  <c r="AC35" i="1" s="1"/>
  <c r="X35" i="1"/>
  <c r="Y35" i="1"/>
  <c r="Z35" i="1"/>
  <c r="AA35" i="1"/>
  <c r="W36" i="1"/>
  <c r="AB36" i="1" s="1"/>
  <c r="AC36" i="1" s="1"/>
  <c r="X36" i="1"/>
  <c r="Y36" i="1"/>
  <c r="Z36" i="1"/>
  <c r="AA36" i="1"/>
  <c r="W37" i="1"/>
  <c r="AB37" i="1" s="1"/>
  <c r="AC37" i="1" s="1"/>
  <c r="X37" i="1"/>
  <c r="Y37" i="1"/>
  <c r="Z37" i="1"/>
  <c r="AA37" i="1"/>
  <c r="W38" i="1"/>
  <c r="AB38" i="1" s="1"/>
  <c r="AC38" i="1" s="1"/>
  <c r="X38" i="1"/>
  <c r="Y38" i="1"/>
  <c r="Z38" i="1"/>
  <c r="AA38" i="1"/>
  <c r="W39" i="1"/>
  <c r="AB39" i="1" s="1"/>
  <c r="AC39" i="1" s="1"/>
  <c r="X39" i="1"/>
  <c r="Y39" i="1"/>
  <c r="Z39" i="1"/>
  <c r="AA39" i="1"/>
  <c r="W40" i="1"/>
  <c r="AB40" i="1" s="1"/>
  <c r="AC40" i="1" s="1"/>
  <c r="X40" i="1"/>
  <c r="Y40" i="1"/>
  <c r="Z40" i="1"/>
  <c r="AA40" i="1"/>
  <c r="W41" i="1"/>
  <c r="AB41" i="1" s="1"/>
  <c r="AC41" i="1" s="1"/>
  <c r="X41" i="1"/>
  <c r="Y41" i="1"/>
  <c r="Z41" i="1"/>
  <c r="AA41" i="1"/>
  <c r="W42" i="1"/>
  <c r="AB42" i="1" s="1"/>
  <c r="AC42" i="1" s="1"/>
  <c r="X42" i="1"/>
  <c r="Y42" i="1"/>
  <c r="Z42" i="1"/>
  <c r="AA42" i="1"/>
  <c r="W43" i="1"/>
  <c r="AB43" i="1" s="1"/>
  <c r="AC43" i="1" s="1"/>
  <c r="X43" i="1"/>
  <c r="Y43" i="1"/>
  <c r="Z43" i="1"/>
  <c r="AA43" i="1"/>
  <c r="W44" i="1"/>
  <c r="AB44" i="1" s="1"/>
  <c r="AC44" i="1" s="1"/>
  <c r="X44" i="1"/>
  <c r="Y44" i="1"/>
  <c r="Z44" i="1"/>
  <c r="AA44" i="1"/>
  <c r="W45" i="1"/>
  <c r="AB45" i="1" s="1"/>
  <c r="AC45" i="1" s="1"/>
  <c r="X45" i="1"/>
  <c r="Y45" i="1"/>
  <c r="Z45" i="1"/>
  <c r="AA45" i="1"/>
  <c r="W46" i="1"/>
  <c r="AB46" i="1" s="1"/>
  <c r="AC46" i="1" s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AE50" i="1" s="1"/>
  <c r="X50" i="1"/>
  <c r="Y50" i="1"/>
  <c r="Z50" i="1"/>
  <c r="AA50" i="1"/>
  <c r="W51" i="1"/>
  <c r="AE51" i="1" s="1"/>
  <c r="X51" i="1"/>
  <c r="Y51" i="1"/>
  <c r="Z51" i="1"/>
  <c r="AA51" i="1"/>
  <c r="W52" i="1"/>
  <c r="AE52" i="1" s="1"/>
  <c r="X52" i="1"/>
  <c r="Y52" i="1"/>
  <c r="Z52" i="1"/>
  <c r="AA52" i="1"/>
  <c r="W53" i="1"/>
  <c r="AE53" i="1" s="1"/>
  <c r="X53" i="1"/>
  <c r="Y53" i="1"/>
  <c r="Z53" i="1"/>
  <c r="AA53" i="1"/>
  <c r="AB53" i="1"/>
  <c r="AC53" i="1" s="1"/>
  <c r="W54" i="1"/>
  <c r="AE54" i="1" s="1"/>
  <c r="X54" i="1"/>
  <c r="Y54" i="1"/>
  <c r="Z54" i="1"/>
  <c r="AA54" i="1"/>
  <c r="W55" i="1"/>
  <c r="AE55" i="1" s="1"/>
  <c r="X55" i="1"/>
  <c r="Y55" i="1"/>
  <c r="Z55" i="1"/>
  <c r="AA55" i="1"/>
  <c r="W56" i="1"/>
  <c r="AE56" i="1" s="1"/>
  <c r="X56" i="1"/>
  <c r="Y56" i="1"/>
  <c r="Z56" i="1"/>
  <c r="AA56" i="1"/>
  <c r="W57" i="1"/>
  <c r="AE57" i="1" s="1"/>
  <c r="X57" i="1"/>
  <c r="Y57" i="1"/>
  <c r="Z57" i="1"/>
  <c r="AA57" i="1"/>
  <c r="W58" i="1"/>
  <c r="AE58" i="1" s="1"/>
  <c r="X58" i="1"/>
  <c r="Y58" i="1"/>
  <c r="Z58" i="1"/>
  <c r="AA58" i="1"/>
  <c r="W59" i="1"/>
  <c r="AE59" i="1" s="1"/>
  <c r="X59" i="1"/>
  <c r="Y59" i="1"/>
  <c r="Z59" i="1"/>
  <c r="AA59" i="1"/>
  <c r="W60" i="1"/>
  <c r="AE60" i="1" s="1"/>
  <c r="X60" i="1"/>
  <c r="Y60" i="1"/>
  <c r="Z60" i="1"/>
  <c r="AA60" i="1"/>
  <c r="W61" i="1"/>
  <c r="AE61" i="1" s="1"/>
  <c r="X61" i="1"/>
  <c r="Y61" i="1"/>
  <c r="Z61" i="1"/>
  <c r="AA61" i="1"/>
  <c r="W62" i="1"/>
  <c r="AE62" i="1" s="1"/>
  <c r="X62" i="1"/>
  <c r="Y62" i="1"/>
  <c r="Z62" i="1"/>
  <c r="AA62" i="1"/>
  <c r="W63" i="1"/>
  <c r="AE63" i="1" s="1"/>
  <c r="X63" i="1"/>
  <c r="Y63" i="1"/>
  <c r="Z63" i="1"/>
  <c r="AA63" i="1"/>
  <c r="W64" i="1"/>
  <c r="AE64" i="1" s="1"/>
  <c r="X64" i="1"/>
  <c r="Y64" i="1"/>
  <c r="Z64" i="1"/>
  <c r="AA64" i="1"/>
  <c r="W65" i="1"/>
  <c r="AE65" i="1" s="1"/>
  <c r="X65" i="1"/>
  <c r="Y65" i="1"/>
  <c r="Z65" i="1"/>
  <c r="AA65" i="1"/>
  <c r="AB65" i="1"/>
  <c r="AC65" i="1" s="1"/>
  <c r="W66" i="1"/>
  <c r="AE66" i="1" s="1"/>
  <c r="X66" i="1"/>
  <c r="Y66" i="1"/>
  <c r="Z66" i="1"/>
  <c r="AA66" i="1"/>
  <c r="W67" i="1"/>
  <c r="AE67" i="1" s="1"/>
  <c r="X67" i="1"/>
  <c r="Y67" i="1"/>
  <c r="Z67" i="1"/>
  <c r="AA67" i="1"/>
  <c r="W68" i="1"/>
  <c r="AE68" i="1" s="1"/>
  <c r="X68" i="1"/>
  <c r="Y68" i="1"/>
  <c r="Z68" i="1"/>
  <c r="AA68" i="1"/>
  <c r="W69" i="1"/>
  <c r="AE69" i="1" s="1"/>
  <c r="X69" i="1"/>
  <c r="Y69" i="1"/>
  <c r="Z69" i="1"/>
  <c r="AA69" i="1"/>
  <c r="W70" i="1"/>
  <c r="AE70" i="1" s="1"/>
  <c r="X70" i="1"/>
  <c r="Y70" i="1"/>
  <c r="Z70" i="1"/>
  <c r="AA70" i="1"/>
  <c r="W71" i="1"/>
  <c r="AE71" i="1" s="1"/>
  <c r="X71" i="1"/>
  <c r="Y71" i="1"/>
  <c r="Z71" i="1"/>
  <c r="AA71" i="1"/>
  <c r="AB71" i="1"/>
  <c r="AC71" i="1" s="1"/>
  <c r="W72" i="1"/>
  <c r="AE72" i="1" s="1"/>
  <c r="X72" i="1"/>
  <c r="Y72" i="1"/>
  <c r="Z72" i="1"/>
  <c r="AA72" i="1"/>
  <c r="W73" i="1"/>
  <c r="AE73" i="1" s="1"/>
  <c r="X73" i="1"/>
  <c r="Y73" i="1"/>
  <c r="Z73" i="1"/>
  <c r="AA73" i="1"/>
  <c r="W74" i="1"/>
  <c r="AE74" i="1" s="1"/>
  <c r="X74" i="1"/>
  <c r="Y74" i="1"/>
  <c r="Z74" i="1"/>
  <c r="AA74" i="1"/>
  <c r="W75" i="1"/>
  <c r="AE75" i="1" s="1"/>
  <c r="X75" i="1"/>
  <c r="Y75" i="1"/>
  <c r="Z75" i="1"/>
  <c r="AA75" i="1"/>
  <c r="W76" i="1"/>
  <c r="AE76" i="1" s="1"/>
  <c r="X76" i="1"/>
  <c r="Y76" i="1"/>
  <c r="Z76" i="1"/>
  <c r="AA76" i="1"/>
  <c r="W77" i="1"/>
  <c r="AE77" i="1" s="1"/>
  <c r="X77" i="1"/>
  <c r="Y77" i="1"/>
  <c r="Z77" i="1"/>
  <c r="AA77" i="1"/>
  <c r="AB77" i="1"/>
  <c r="AC77" i="1" s="1"/>
  <c r="W78" i="1"/>
  <c r="AE78" i="1" s="1"/>
  <c r="X78" i="1"/>
  <c r="Y78" i="1"/>
  <c r="Z78" i="1"/>
  <c r="AA78" i="1"/>
  <c r="W79" i="1"/>
  <c r="AE79" i="1" s="1"/>
  <c r="X79" i="1"/>
  <c r="Y79" i="1"/>
  <c r="Z79" i="1"/>
  <c r="AA79" i="1"/>
  <c r="AB79" i="1"/>
  <c r="AC79" i="1" s="1"/>
  <c r="W80" i="1"/>
  <c r="AE80" i="1" s="1"/>
  <c r="X80" i="1"/>
  <c r="Y80" i="1"/>
  <c r="Z80" i="1"/>
  <c r="AA80" i="1"/>
  <c r="W81" i="1"/>
  <c r="AE81" i="1" s="1"/>
  <c r="X81" i="1"/>
  <c r="Y81" i="1"/>
  <c r="Z81" i="1"/>
  <c r="AA81" i="1"/>
  <c r="W82" i="1"/>
  <c r="AE82" i="1" s="1"/>
  <c r="X82" i="1"/>
  <c r="Y82" i="1"/>
  <c r="Z82" i="1"/>
  <c r="AA82" i="1"/>
  <c r="W83" i="1"/>
  <c r="AE83" i="1" s="1"/>
  <c r="X83" i="1"/>
  <c r="Y83" i="1"/>
  <c r="Z83" i="1"/>
  <c r="AA83" i="1"/>
  <c r="W84" i="1"/>
  <c r="AE84" i="1" s="1"/>
  <c r="X84" i="1"/>
  <c r="Y84" i="1"/>
  <c r="Z84" i="1"/>
  <c r="AA84" i="1"/>
  <c r="W85" i="1"/>
  <c r="AE85" i="1" s="1"/>
  <c r="X85" i="1"/>
  <c r="Y85" i="1"/>
  <c r="Z85" i="1"/>
  <c r="AA85" i="1"/>
  <c r="AB85" i="1"/>
  <c r="AC85" i="1" s="1"/>
  <c r="W86" i="1"/>
  <c r="AE86" i="1" s="1"/>
  <c r="X86" i="1"/>
  <c r="Y86" i="1"/>
  <c r="Z86" i="1"/>
  <c r="AA86" i="1"/>
  <c r="W87" i="1"/>
  <c r="AE87" i="1" s="1"/>
  <c r="X87" i="1"/>
  <c r="Y87" i="1"/>
  <c r="Z87" i="1"/>
  <c r="AA87" i="1"/>
  <c r="W88" i="1"/>
  <c r="AE88" i="1" s="1"/>
  <c r="X88" i="1"/>
  <c r="Y88" i="1"/>
  <c r="Z88" i="1"/>
  <c r="AA88" i="1"/>
  <c r="W89" i="1"/>
  <c r="AE89" i="1" s="1"/>
  <c r="X89" i="1"/>
  <c r="Y89" i="1"/>
  <c r="Z89" i="1"/>
  <c r="AA89" i="1"/>
  <c r="AB89" i="1"/>
  <c r="AC89" i="1" s="1"/>
  <c r="W90" i="1"/>
  <c r="AE90" i="1" s="1"/>
  <c r="X90" i="1"/>
  <c r="Y90" i="1"/>
  <c r="Z90" i="1"/>
  <c r="AA90" i="1"/>
  <c r="W91" i="1"/>
  <c r="AE91" i="1" s="1"/>
  <c r="X91" i="1"/>
  <c r="Y91" i="1"/>
  <c r="Z91" i="1"/>
  <c r="AA91" i="1"/>
  <c r="W92" i="1"/>
  <c r="AE92" i="1" s="1"/>
  <c r="X92" i="1"/>
  <c r="Y92" i="1"/>
  <c r="Z92" i="1"/>
  <c r="AA92" i="1"/>
  <c r="W93" i="1"/>
  <c r="AE93" i="1" s="1"/>
  <c r="X93" i="1"/>
  <c r="Y93" i="1"/>
  <c r="Z93" i="1"/>
  <c r="AA93" i="1"/>
  <c r="W94" i="1"/>
  <c r="AE94" i="1" s="1"/>
  <c r="X94" i="1"/>
  <c r="Y94" i="1"/>
  <c r="Z94" i="1"/>
  <c r="AA94" i="1"/>
  <c r="W95" i="1"/>
  <c r="AE95" i="1" s="1"/>
  <c r="X95" i="1"/>
  <c r="Y95" i="1"/>
  <c r="Z95" i="1"/>
  <c r="AA95" i="1"/>
  <c r="AB95" i="1"/>
  <c r="AC95" i="1" s="1"/>
  <c r="W96" i="1"/>
  <c r="AE96" i="1" s="1"/>
  <c r="X96" i="1"/>
  <c r="Y96" i="1"/>
  <c r="Z96" i="1"/>
  <c r="AA96" i="1"/>
  <c r="W97" i="1"/>
  <c r="AE97" i="1" s="1"/>
  <c r="X97" i="1"/>
  <c r="Y97" i="1"/>
  <c r="Z97" i="1"/>
  <c r="AA97" i="1"/>
  <c r="AB97" i="1"/>
  <c r="AC97" i="1" s="1"/>
  <c r="W98" i="1"/>
  <c r="AE98" i="1" s="1"/>
  <c r="X98" i="1"/>
  <c r="Y98" i="1"/>
  <c r="Z98" i="1"/>
  <c r="AA98" i="1"/>
  <c r="W99" i="1"/>
  <c r="AB99" i="1" s="1"/>
  <c r="AC99" i="1" s="1"/>
  <c r="X99" i="1"/>
  <c r="Y99" i="1"/>
  <c r="Z99" i="1"/>
  <c r="AA99" i="1"/>
  <c r="W100" i="1"/>
  <c r="AE100" i="1" s="1"/>
  <c r="X100" i="1"/>
  <c r="Y100" i="1"/>
  <c r="Z100" i="1"/>
  <c r="AA100" i="1"/>
  <c r="AB100" i="1"/>
  <c r="AC100" i="1" s="1"/>
  <c r="W101" i="1"/>
  <c r="AB101" i="1" s="1"/>
  <c r="AC101" i="1" s="1"/>
  <c r="X101" i="1"/>
  <c r="Y101" i="1"/>
  <c r="Z101" i="1"/>
  <c r="AA101" i="1"/>
  <c r="W102" i="1"/>
  <c r="AB102" i="1" s="1"/>
  <c r="AC102" i="1" s="1"/>
  <c r="X102" i="1"/>
  <c r="Y102" i="1"/>
  <c r="Z102" i="1"/>
  <c r="AA102" i="1"/>
  <c r="W103" i="1"/>
  <c r="AB103" i="1" s="1"/>
  <c r="AC103" i="1" s="1"/>
  <c r="X103" i="1"/>
  <c r="Y103" i="1"/>
  <c r="Z103" i="1"/>
  <c r="AA103" i="1"/>
  <c r="W104" i="1"/>
  <c r="AE104" i="1" s="1"/>
  <c r="X104" i="1"/>
  <c r="Y104" i="1"/>
  <c r="Z104" i="1"/>
  <c r="AA104" i="1"/>
  <c r="AB104" i="1"/>
  <c r="AC104" i="1" s="1"/>
  <c r="W105" i="1"/>
  <c r="AB105" i="1" s="1"/>
  <c r="AC105" i="1" s="1"/>
  <c r="X105" i="1"/>
  <c r="Y105" i="1"/>
  <c r="Z105" i="1"/>
  <c r="AA105" i="1"/>
  <c r="W106" i="1"/>
  <c r="AB106" i="1" s="1"/>
  <c r="AC106" i="1" s="1"/>
  <c r="X106" i="1"/>
  <c r="Y106" i="1"/>
  <c r="Z106" i="1"/>
  <c r="AA106" i="1"/>
  <c r="W107" i="1"/>
  <c r="AB107" i="1" s="1"/>
  <c r="AC107" i="1" s="1"/>
  <c r="X107" i="1"/>
  <c r="Y107" i="1"/>
  <c r="Z107" i="1"/>
  <c r="AA107" i="1"/>
  <c r="W108" i="1"/>
  <c r="AE108" i="1" s="1"/>
  <c r="X108" i="1"/>
  <c r="Y108" i="1"/>
  <c r="Z108" i="1"/>
  <c r="AA108" i="1"/>
  <c r="W109" i="1"/>
  <c r="AB109" i="1" s="1"/>
  <c r="AC109" i="1" s="1"/>
  <c r="X109" i="1"/>
  <c r="Y109" i="1"/>
  <c r="Z109" i="1"/>
  <c r="AA109" i="1"/>
  <c r="W110" i="1"/>
  <c r="AB110" i="1" s="1"/>
  <c r="AC110" i="1" s="1"/>
  <c r="X110" i="1"/>
  <c r="Y110" i="1"/>
  <c r="Z110" i="1"/>
  <c r="AA110" i="1"/>
  <c r="W111" i="1"/>
  <c r="AB111" i="1" s="1"/>
  <c r="AC111" i="1" s="1"/>
  <c r="X111" i="1"/>
  <c r="Y111" i="1"/>
  <c r="Z111" i="1"/>
  <c r="AA111" i="1"/>
  <c r="W112" i="1"/>
  <c r="AE112" i="1" s="1"/>
  <c r="X112" i="1"/>
  <c r="Y112" i="1"/>
  <c r="Z112" i="1"/>
  <c r="AA112" i="1"/>
  <c r="AB112" i="1"/>
  <c r="AC112" i="1" s="1"/>
  <c r="W113" i="1"/>
  <c r="AB113" i="1" s="1"/>
  <c r="AC113" i="1" s="1"/>
  <c r="X113" i="1"/>
  <c r="Y113" i="1"/>
  <c r="Z113" i="1"/>
  <c r="AA113" i="1"/>
  <c r="W114" i="1"/>
  <c r="AB114" i="1" s="1"/>
  <c r="AC114" i="1" s="1"/>
  <c r="X114" i="1"/>
  <c r="Y114" i="1"/>
  <c r="Z114" i="1"/>
  <c r="AA114" i="1"/>
  <c r="W115" i="1"/>
  <c r="AE115" i="1" s="1"/>
  <c r="X115" i="1"/>
  <c r="Y115" i="1"/>
  <c r="Z115" i="1"/>
  <c r="AA115" i="1"/>
  <c r="W116" i="1"/>
  <c r="AE116" i="1" s="1"/>
  <c r="X116" i="1"/>
  <c r="Y116" i="1"/>
  <c r="Z116" i="1"/>
  <c r="AA116" i="1"/>
  <c r="AB116" i="1"/>
  <c r="AC116" i="1" s="1"/>
  <c r="W117" i="1"/>
  <c r="AE117" i="1" s="1"/>
  <c r="X117" i="1"/>
  <c r="Y117" i="1"/>
  <c r="Z117" i="1"/>
  <c r="AA117" i="1"/>
  <c r="W118" i="1"/>
  <c r="AE118" i="1" s="1"/>
  <c r="X118" i="1"/>
  <c r="Y118" i="1"/>
  <c r="Z118" i="1"/>
  <c r="AA118" i="1"/>
  <c r="AB118" i="1"/>
  <c r="AC118" i="1" s="1"/>
  <c r="W119" i="1"/>
  <c r="AE119" i="1" s="1"/>
  <c r="X119" i="1"/>
  <c r="Y119" i="1"/>
  <c r="Z119" i="1"/>
  <c r="AA119" i="1"/>
  <c r="W120" i="1"/>
  <c r="AE120" i="1" s="1"/>
  <c r="X120" i="1"/>
  <c r="Y120" i="1"/>
  <c r="Z120" i="1"/>
  <c r="AA120" i="1"/>
  <c r="W121" i="1"/>
  <c r="AE121" i="1" s="1"/>
  <c r="X121" i="1"/>
  <c r="Y121" i="1"/>
  <c r="Z121" i="1"/>
  <c r="AA121" i="1"/>
  <c r="W122" i="1"/>
  <c r="AE122" i="1" s="1"/>
  <c r="X122" i="1"/>
  <c r="Y122" i="1"/>
  <c r="Z122" i="1"/>
  <c r="AA122" i="1"/>
  <c r="AB122" i="1"/>
  <c r="AC122" i="1" s="1"/>
  <c r="W123" i="1"/>
  <c r="AE123" i="1" s="1"/>
  <c r="X123" i="1"/>
  <c r="Y123" i="1"/>
  <c r="Z123" i="1"/>
  <c r="AA123" i="1"/>
  <c r="W124" i="1"/>
  <c r="AE124" i="1" s="1"/>
  <c r="X124" i="1"/>
  <c r="Y124" i="1"/>
  <c r="Z124" i="1"/>
  <c r="AA124" i="1"/>
  <c r="AB124" i="1"/>
  <c r="AC124" i="1" s="1"/>
  <c r="W125" i="1"/>
  <c r="AE125" i="1" s="1"/>
  <c r="X125" i="1"/>
  <c r="Y125" i="1"/>
  <c r="Z125" i="1"/>
  <c r="AA125" i="1"/>
  <c r="W126" i="1"/>
  <c r="AE126" i="1" s="1"/>
  <c r="X126" i="1"/>
  <c r="Y126" i="1"/>
  <c r="Z126" i="1"/>
  <c r="AA126" i="1"/>
  <c r="W127" i="1"/>
  <c r="AE127" i="1" s="1"/>
  <c r="X127" i="1"/>
  <c r="Y127" i="1"/>
  <c r="Z127" i="1"/>
  <c r="AA127" i="1"/>
  <c r="W128" i="1"/>
  <c r="AE128" i="1" s="1"/>
  <c r="X128" i="1"/>
  <c r="Y128" i="1"/>
  <c r="Z128" i="1"/>
  <c r="AA128" i="1"/>
  <c r="W129" i="1"/>
  <c r="AE129" i="1" s="1"/>
  <c r="X129" i="1"/>
  <c r="Y129" i="1"/>
  <c r="Z129" i="1"/>
  <c r="AA129" i="1"/>
  <c r="W130" i="1"/>
  <c r="AE130" i="1" s="1"/>
  <c r="X130" i="1"/>
  <c r="Y130" i="1"/>
  <c r="Z130" i="1"/>
  <c r="AA130" i="1"/>
  <c r="AB130" i="1"/>
  <c r="AC130" i="1" s="1"/>
  <c r="W131" i="1"/>
  <c r="AE131" i="1" s="1"/>
  <c r="X131" i="1"/>
  <c r="Y131" i="1"/>
  <c r="Z131" i="1"/>
  <c r="AA131" i="1"/>
  <c r="W132" i="1"/>
  <c r="AE132" i="1" s="1"/>
  <c r="X132" i="1"/>
  <c r="Y132" i="1"/>
  <c r="Z132" i="1"/>
  <c r="AA132" i="1"/>
  <c r="AB132" i="1"/>
  <c r="AC132" i="1" s="1"/>
  <c r="W133" i="1"/>
  <c r="AE133" i="1" s="1"/>
  <c r="X133" i="1"/>
  <c r="Y133" i="1"/>
  <c r="Z133" i="1"/>
  <c r="AA133" i="1"/>
  <c r="AB133" i="1"/>
  <c r="AC133" i="1" s="1"/>
  <c r="W134" i="1"/>
  <c r="AE134" i="1" s="1"/>
  <c r="X134" i="1"/>
  <c r="Y134" i="1"/>
  <c r="Z134" i="1"/>
  <c r="AA134" i="1"/>
  <c r="W135" i="1"/>
  <c r="AE135" i="1" s="1"/>
  <c r="X135" i="1"/>
  <c r="Y135" i="1"/>
  <c r="Z135" i="1"/>
  <c r="AA135" i="1"/>
  <c r="W136" i="1"/>
  <c r="AE136" i="1" s="1"/>
  <c r="X136" i="1"/>
  <c r="Y136" i="1"/>
  <c r="Z136" i="1"/>
  <c r="AA136" i="1"/>
  <c r="AB136" i="1"/>
  <c r="AC136" i="1" s="1"/>
  <c r="W137" i="1"/>
  <c r="AE137" i="1" s="1"/>
  <c r="X137" i="1"/>
  <c r="Y137" i="1"/>
  <c r="Z137" i="1"/>
  <c r="AA137" i="1"/>
  <c r="W138" i="1"/>
  <c r="AE138" i="1" s="1"/>
  <c r="X138" i="1"/>
  <c r="Y138" i="1"/>
  <c r="Z138" i="1"/>
  <c r="AA138" i="1"/>
  <c r="AB138" i="1"/>
  <c r="AC138" i="1" s="1"/>
  <c r="W139" i="1"/>
  <c r="AE139" i="1" s="1"/>
  <c r="X139" i="1"/>
  <c r="Y139" i="1"/>
  <c r="Z139" i="1"/>
  <c r="AA139" i="1"/>
  <c r="W140" i="1"/>
  <c r="AE140" i="1" s="1"/>
  <c r="X140" i="1"/>
  <c r="Y140" i="1"/>
  <c r="Z140" i="1"/>
  <c r="AA140" i="1"/>
  <c r="AB140" i="1"/>
  <c r="AC140" i="1" s="1"/>
  <c r="W141" i="1"/>
  <c r="AE141" i="1" s="1"/>
  <c r="X141" i="1"/>
  <c r="Y141" i="1"/>
  <c r="Z141" i="1"/>
  <c r="AA141" i="1"/>
  <c r="W142" i="1"/>
  <c r="AE142" i="1" s="1"/>
  <c r="X142" i="1"/>
  <c r="Y142" i="1"/>
  <c r="Z142" i="1"/>
  <c r="AA142" i="1"/>
  <c r="W143" i="1"/>
  <c r="AE143" i="1" s="1"/>
  <c r="X143" i="1"/>
  <c r="Y143" i="1"/>
  <c r="Z143" i="1"/>
  <c r="AA143" i="1"/>
  <c r="W144" i="1"/>
  <c r="AE144" i="1" s="1"/>
  <c r="X144" i="1"/>
  <c r="Y144" i="1"/>
  <c r="Z144" i="1"/>
  <c r="AA144" i="1"/>
  <c r="W145" i="1"/>
  <c r="AE145" i="1" s="1"/>
  <c r="X145" i="1"/>
  <c r="Y145" i="1"/>
  <c r="Z145" i="1"/>
  <c r="AA145" i="1"/>
  <c r="AB145" i="1"/>
  <c r="AC145" i="1"/>
  <c r="W146" i="1"/>
  <c r="AE146" i="1" s="1"/>
  <c r="X146" i="1"/>
  <c r="Y146" i="1"/>
  <c r="Z146" i="1"/>
  <c r="AA146" i="1"/>
  <c r="W147" i="1"/>
  <c r="AE147" i="1" s="1"/>
  <c r="X147" i="1"/>
  <c r="Y147" i="1"/>
  <c r="Z147" i="1"/>
  <c r="AA147" i="1"/>
  <c r="W148" i="1"/>
  <c r="AE148" i="1" s="1"/>
  <c r="X148" i="1"/>
  <c r="Y148" i="1"/>
  <c r="Z148" i="1"/>
  <c r="AA148" i="1"/>
  <c r="AB148" i="1"/>
  <c r="AC148" i="1" s="1"/>
  <c r="W149" i="1"/>
  <c r="AE149" i="1" s="1"/>
  <c r="X149" i="1"/>
  <c r="Y149" i="1"/>
  <c r="Z149" i="1"/>
  <c r="AA149" i="1"/>
  <c r="W150" i="1"/>
  <c r="AE150" i="1" s="1"/>
  <c r="X150" i="1"/>
  <c r="Y150" i="1"/>
  <c r="Z150" i="1"/>
  <c r="AA150" i="1"/>
  <c r="AB150" i="1"/>
  <c r="AC150" i="1"/>
  <c r="W151" i="1"/>
  <c r="AE151" i="1" s="1"/>
  <c r="X151" i="1"/>
  <c r="Y151" i="1"/>
  <c r="Z151" i="1"/>
  <c r="AA151" i="1"/>
  <c r="W152" i="1"/>
  <c r="AE152" i="1" s="1"/>
  <c r="X152" i="1"/>
  <c r="Y152" i="1"/>
  <c r="Z152" i="1"/>
  <c r="AA152" i="1"/>
  <c r="W153" i="1"/>
  <c r="AE153" i="1" s="1"/>
  <c r="X153" i="1"/>
  <c r="Y153" i="1"/>
  <c r="Z153" i="1"/>
  <c r="AA153" i="1"/>
  <c r="W154" i="1"/>
  <c r="AE154" i="1" s="1"/>
  <c r="X154" i="1"/>
  <c r="Y154" i="1"/>
  <c r="Z154" i="1"/>
  <c r="AA154" i="1"/>
  <c r="W155" i="1"/>
  <c r="AE155" i="1" s="1"/>
  <c r="X155" i="1"/>
  <c r="Y155" i="1"/>
  <c r="Z155" i="1"/>
  <c r="AA155" i="1"/>
  <c r="W156" i="1"/>
  <c r="AE156" i="1" s="1"/>
  <c r="X156" i="1"/>
  <c r="Y156" i="1"/>
  <c r="Z156" i="1"/>
  <c r="AA156" i="1"/>
  <c r="AB156" i="1"/>
  <c r="AC156" i="1" s="1"/>
  <c r="W157" i="1"/>
  <c r="AE157" i="1" s="1"/>
  <c r="X157" i="1"/>
  <c r="Y157" i="1"/>
  <c r="Z157" i="1"/>
  <c r="AA157" i="1"/>
  <c r="W158" i="1"/>
  <c r="AE158" i="1" s="1"/>
  <c r="X158" i="1"/>
  <c r="Y158" i="1"/>
  <c r="Z158" i="1"/>
  <c r="AA158" i="1"/>
  <c r="W159" i="1"/>
  <c r="AE159" i="1" s="1"/>
  <c r="X159" i="1"/>
  <c r="Y159" i="1"/>
  <c r="Z159" i="1"/>
  <c r="AA159" i="1"/>
  <c r="W160" i="1"/>
  <c r="AE160" i="1" s="1"/>
  <c r="X160" i="1"/>
  <c r="Y160" i="1"/>
  <c r="Z160" i="1"/>
  <c r="AA160" i="1"/>
  <c r="W161" i="1"/>
  <c r="AE161" i="1" s="1"/>
  <c r="X161" i="1"/>
  <c r="Y161" i="1"/>
  <c r="Z161" i="1"/>
  <c r="AA161" i="1"/>
  <c r="AB161" i="1"/>
  <c r="AC161" i="1" s="1"/>
  <c r="W162" i="1"/>
  <c r="AE162" i="1" s="1"/>
  <c r="X162" i="1"/>
  <c r="Y162" i="1"/>
  <c r="Z162" i="1"/>
  <c r="AA162" i="1"/>
  <c r="W163" i="1"/>
  <c r="AE163" i="1" s="1"/>
  <c r="X163" i="1"/>
  <c r="Y163" i="1"/>
  <c r="Z163" i="1"/>
  <c r="AA163" i="1"/>
  <c r="W164" i="1"/>
  <c r="AE164" i="1" s="1"/>
  <c r="X164" i="1"/>
  <c r="Y164" i="1"/>
  <c r="Z164" i="1"/>
  <c r="AA164" i="1"/>
  <c r="W165" i="1"/>
  <c r="AE165" i="1" s="1"/>
  <c r="X165" i="1"/>
  <c r="Y165" i="1"/>
  <c r="Z165" i="1"/>
  <c r="AA165" i="1"/>
  <c r="W166" i="1"/>
  <c r="AE166" i="1" s="1"/>
  <c r="X166" i="1"/>
  <c r="Y166" i="1"/>
  <c r="Z166" i="1"/>
  <c r="AA166" i="1"/>
  <c r="AB166" i="1"/>
  <c r="AC166" i="1" s="1"/>
  <c r="W167" i="1"/>
  <c r="AE167" i="1" s="1"/>
  <c r="X167" i="1"/>
  <c r="Y167" i="1"/>
  <c r="Z167" i="1"/>
  <c r="AA167" i="1"/>
  <c r="W168" i="1"/>
  <c r="AE168" i="1" s="1"/>
  <c r="X168" i="1"/>
  <c r="Y168" i="1"/>
  <c r="Z168" i="1"/>
  <c r="AA168" i="1"/>
  <c r="AB168" i="1"/>
  <c r="AC168" i="1" s="1"/>
  <c r="W169" i="1"/>
  <c r="AE169" i="1" s="1"/>
  <c r="X169" i="1"/>
  <c r="Y169" i="1"/>
  <c r="Z169" i="1"/>
  <c r="AA169" i="1"/>
  <c r="W170" i="1"/>
  <c r="AE170" i="1" s="1"/>
  <c r="X170" i="1"/>
  <c r="Y170" i="1"/>
  <c r="Z170" i="1"/>
  <c r="AA170" i="1"/>
  <c r="W171" i="1"/>
  <c r="AE171" i="1" s="1"/>
  <c r="X171" i="1"/>
  <c r="Y171" i="1"/>
  <c r="Z171" i="1"/>
  <c r="AA171" i="1"/>
  <c r="W172" i="1"/>
  <c r="AE172" i="1" s="1"/>
  <c r="X172" i="1"/>
  <c r="Y172" i="1"/>
  <c r="Z172" i="1"/>
  <c r="AA172" i="1"/>
  <c r="W173" i="1"/>
  <c r="AE173" i="1" s="1"/>
  <c r="X173" i="1"/>
  <c r="Y173" i="1"/>
  <c r="Z173" i="1"/>
  <c r="AA173" i="1"/>
  <c r="AB173" i="1"/>
  <c r="AC173" i="1" s="1"/>
  <c r="W174" i="1"/>
  <c r="AE174" i="1" s="1"/>
  <c r="X174" i="1"/>
  <c r="Y174" i="1"/>
  <c r="Z174" i="1"/>
  <c r="AA174" i="1"/>
  <c r="W175" i="1"/>
  <c r="AE175" i="1" s="1"/>
  <c r="X175" i="1"/>
  <c r="Y175" i="1"/>
  <c r="Z175" i="1"/>
  <c r="AA175" i="1"/>
  <c r="W176" i="1"/>
  <c r="AE176" i="1" s="1"/>
  <c r="X176" i="1"/>
  <c r="Y176" i="1"/>
  <c r="Z176" i="1"/>
  <c r="AA176" i="1"/>
  <c r="W177" i="1"/>
  <c r="AE177" i="1" s="1"/>
  <c r="X177" i="1"/>
  <c r="Y177" i="1"/>
  <c r="Z177" i="1"/>
  <c r="AA177" i="1"/>
  <c r="AB177" i="1"/>
  <c r="AC177" i="1" s="1"/>
  <c r="W178" i="1"/>
  <c r="AE178" i="1" s="1"/>
  <c r="X178" i="1"/>
  <c r="Y178" i="1"/>
  <c r="Z178" i="1"/>
  <c r="AA178" i="1"/>
  <c r="AB178" i="1"/>
  <c r="AC178" i="1" s="1"/>
  <c r="W179" i="1"/>
  <c r="AE179" i="1" s="1"/>
  <c r="X179" i="1"/>
  <c r="Y179" i="1"/>
  <c r="Z179" i="1"/>
  <c r="AA179" i="1"/>
  <c r="W180" i="1"/>
  <c r="AE180" i="1" s="1"/>
  <c r="X180" i="1"/>
  <c r="Y180" i="1"/>
  <c r="Z180" i="1"/>
  <c r="AA180" i="1"/>
  <c r="W181" i="1"/>
  <c r="AE181" i="1" s="1"/>
  <c r="X181" i="1"/>
  <c r="Y181" i="1"/>
  <c r="Z181" i="1"/>
  <c r="AA181" i="1"/>
  <c r="AB181" i="1"/>
  <c r="AC181" i="1" s="1"/>
  <c r="W182" i="1"/>
  <c r="AE182" i="1" s="1"/>
  <c r="X182" i="1"/>
  <c r="Y182" i="1"/>
  <c r="Z182" i="1"/>
  <c r="AA182" i="1"/>
  <c r="AB182" i="1"/>
  <c r="AC182" i="1" s="1"/>
  <c r="W183" i="1"/>
  <c r="AE183" i="1" s="1"/>
  <c r="X183" i="1"/>
  <c r="Y183" i="1"/>
  <c r="Z183" i="1"/>
  <c r="AA183" i="1"/>
  <c r="W184" i="1"/>
  <c r="AE184" i="1" s="1"/>
  <c r="X184" i="1"/>
  <c r="Y184" i="1"/>
  <c r="Z184" i="1"/>
  <c r="AA184" i="1"/>
  <c r="AB184" i="1"/>
  <c r="AC184" i="1" s="1"/>
  <c r="W4" i="1"/>
  <c r="AB4" i="1" s="1"/>
  <c r="AC4" i="1" s="1"/>
  <c r="X4" i="1"/>
  <c r="Y4" i="1"/>
  <c r="Z4" i="1"/>
  <c r="AA4" i="1"/>
  <c r="W5" i="1"/>
  <c r="AB5" i="1" s="1"/>
  <c r="AC5" i="1" s="1"/>
  <c r="X5" i="1"/>
  <c r="Y5" i="1"/>
  <c r="Z5" i="1"/>
  <c r="AA5" i="1"/>
  <c r="W6" i="1"/>
  <c r="AB6" i="1" s="1"/>
  <c r="AC6" i="1" s="1"/>
  <c r="X6" i="1"/>
  <c r="Y6" i="1"/>
  <c r="Z6" i="1"/>
  <c r="AA6" i="1"/>
  <c r="W7" i="1"/>
  <c r="AB7" i="1" s="1"/>
  <c r="AC7" i="1" s="1"/>
  <c r="X7" i="1"/>
  <c r="Y7" i="1"/>
  <c r="Z7" i="1"/>
  <c r="AA7" i="1"/>
  <c r="W8" i="1"/>
  <c r="AB8" i="1" s="1"/>
  <c r="AC8" i="1" s="1"/>
  <c r="X8" i="1"/>
  <c r="Y8" i="1"/>
  <c r="Z8" i="1"/>
  <c r="AA8" i="1"/>
  <c r="W9" i="1"/>
  <c r="AB9" i="1" s="1"/>
  <c r="AC9" i="1" s="1"/>
  <c r="X9" i="1"/>
  <c r="Y9" i="1"/>
  <c r="Z9" i="1"/>
  <c r="AA9" i="1"/>
  <c r="W10" i="1"/>
  <c r="AB10" i="1" s="1"/>
  <c r="AC10" i="1" s="1"/>
  <c r="X10" i="1"/>
  <c r="Y10" i="1"/>
  <c r="Z10" i="1"/>
  <c r="AA10" i="1"/>
  <c r="W11" i="1"/>
  <c r="AB11" i="1" s="1"/>
  <c r="AC11" i="1" s="1"/>
  <c r="X11" i="1"/>
  <c r="Y11" i="1"/>
  <c r="Z11" i="1"/>
  <c r="AA11" i="1"/>
  <c r="W12" i="1"/>
  <c r="AB12" i="1" s="1"/>
  <c r="AC12" i="1" s="1"/>
  <c r="X12" i="1"/>
  <c r="Y12" i="1"/>
  <c r="Z12" i="1"/>
  <c r="AA12" i="1"/>
  <c r="W13" i="1"/>
  <c r="AB13" i="1" s="1"/>
  <c r="AC13" i="1" s="1"/>
  <c r="X13" i="1"/>
  <c r="Y13" i="1"/>
  <c r="Z13" i="1"/>
  <c r="AA13" i="1"/>
  <c r="W14" i="1"/>
  <c r="AB14" i="1" s="1"/>
  <c r="AC14" i="1" s="1"/>
  <c r="X14" i="1"/>
  <c r="Y14" i="1"/>
  <c r="Z14" i="1"/>
  <c r="AA14" i="1"/>
  <c r="W15" i="1"/>
  <c r="AB15" i="1" s="1"/>
  <c r="AC15" i="1" s="1"/>
  <c r="X15" i="1"/>
  <c r="Y15" i="1"/>
  <c r="Z15" i="1"/>
  <c r="AA15" i="1"/>
  <c r="W16" i="1"/>
  <c r="AB16" i="1" s="1"/>
  <c r="AC16" i="1" s="1"/>
  <c r="X16" i="1"/>
  <c r="Y16" i="1"/>
  <c r="Z16" i="1"/>
  <c r="AA16" i="1"/>
  <c r="W17" i="1"/>
  <c r="AB17" i="1" s="1"/>
  <c r="AC17" i="1" s="1"/>
  <c r="X17" i="1"/>
  <c r="Y17" i="1"/>
  <c r="Z17" i="1"/>
  <c r="AA17" i="1"/>
  <c r="W18" i="1"/>
  <c r="AB18" i="1" s="1"/>
  <c r="AC18" i="1" s="1"/>
  <c r="X18" i="1"/>
  <c r="Y18" i="1"/>
  <c r="Z18" i="1"/>
  <c r="AA18" i="1"/>
  <c r="W19" i="1"/>
  <c r="AB19" i="1" s="1"/>
  <c r="AC19" i="1" s="1"/>
  <c r="X19" i="1"/>
  <c r="Y19" i="1"/>
  <c r="Z19" i="1"/>
  <c r="AA19" i="1"/>
  <c r="W20" i="1"/>
  <c r="AB20" i="1" s="1"/>
  <c r="AC20" i="1" s="1"/>
  <c r="X20" i="1"/>
  <c r="Y20" i="1"/>
  <c r="Z20" i="1"/>
  <c r="AA20" i="1"/>
  <c r="W21" i="1"/>
  <c r="AB21" i="1" s="1"/>
  <c r="AC21" i="1" s="1"/>
  <c r="X21" i="1"/>
  <c r="Y21" i="1"/>
  <c r="Z21" i="1"/>
  <c r="AA21" i="1"/>
  <c r="W22" i="1"/>
  <c r="AB22" i="1" s="1"/>
  <c r="AC22" i="1" s="1"/>
  <c r="X22" i="1"/>
  <c r="Y22" i="1"/>
  <c r="Z22" i="1"/>
  <c r="AA22" i="1"/>
  <c r="W23" i="1"/>
  <c r="AB23" i="1" s="1"/>
  <c r="AC23" i="1" s="1"/>
  <c r="X23" i="1"/>
  <c r="Y23" i="1"/>
  <c r="Z23" i="1"/>
  <c r="AA23" i="1"/>
  <c r="W24" i="1"/>
  <c r="AB24" i="1" s="1"/>
  <c r="AC24" i="1" s="1"/>
  <c r="X24" i="1"/>
  <c r="Y24" i="1"/>
  <c r="Z24" i="1"/>
  <c r="AA24" i="1"/>
  <c r="W25" i="1"/>
  <c r="AB25" i="1" s="1"/>
  <c r="AC25" i="1" s="1"/>
  <c r="X25" i="1"/>
  <c r="Y25" i="1"/>
  <c r="Z25" i="1"/>
  <c r="AA25" i="1"/>
  <c r="W26" i="1"/>
  <c r="AB26" i="1" s="1"/>
  <c r="AC26" i="1" s="1"/>
  <c r="X26" i="1"/>
  <c r="Y26" i="1"/>
  <c r="Z26" i="1"/>
  <c r="AA26" i="1"/>
  <c r="W27" i="1"/>
  <c r="AB27" i="1" s="1"/>
  <c r="AC27" i="1" s="1"/>
  <c r="X27" i="1"/>
  <c r="Y27" i="1"/>
  <c r="Z27" i="1"/>
  <c r="AA27" i="1"/>
  <c r="W28" i="1"/>
  <c r="AB28" i="1" s="1"/>
  <c r="AC28" i="1" s="1"/>
  <c r="X28" i="1"/>
  <c r="Y28" i="1"/>
  <c r="Z28" i="1"/>
  <c r="AA28" i="1"/>
  <c r="W29" i="1"/>
  <c r="AB29" i="1" s="1"/>
  <c r="AC29" i="1" s="1"/>
  <c r="X29" i="1"/>
  <c r="Y29" i="1"/>
  <c r="Z29" i="1"/>
  <c r="AA29" i="1"/>
  <c r="AB170" i="1" l="1"/>
  <c r="AC170" i="1" s="1"/>
  <c r="AB180" i="1"/>
  <c r="AC180" i="1" s="1"/>
  <c r="AB162" i="1"/>
  <c r="AC162" i="1" s="1"/>
  <c r="AB157" i="1"/>
  <c r="AC157" i="1" s="1"/>
  <c r="AB126" i="1"/>
  <c r="AC126" i="1" s="1"/>
  <c r="AB144" i="1"/>
  <c r="AC144" i="1" s="1"/>
  <c r="AB120" i="1"/>
  <c r="AC120" i="1" s="1"/>
  <c r="AB108" i="1"/>
  <c r="AC108" i="1" s="1"/>
  <c r="AB93" i="1"/>
  <c r="AC93" i="1" s="1"/>
  <c r="AB87" i="1"/>
  <c r="AC87" i="1" s="1"/>
  <c r="AB81" i="1"/>
  <c r="AC81" i="1" s="1"/>
  <c r="AB172" i="1"/>
  <c r="AC172" i="1" s="1"/>
  <c r="AB154" i="1"/>
  <c r="AC154" i="1" s="1"/>
  <c r="AB149" i="1"/>
  <c r="AC149" i="1" s="1"/>
  <c r="AB69" i="1"/>
  <c r="AC69" i="1" s="1"/>
  <c r="AB63" i="1"/>
  <c r="AC63" i="1" s="1"/>
  <c r="AB57" i="1"/>
  <c r="AC57" i="1" s="1"/>
  <c r="O161" i="1"/>
  <c r="O156" i="1"/>
  <c r="AB164" i="1"/>
  <c r="AC164" i="1" s="1"/>
  <c r="AB146" i="1"/>
  <c r="AC146" i="1" s="1"/>
  <c r="AB141" i="1"/>
  <c r="AC141" i="1" s="1"/>
  <c r="O150" i="1"/>
  <c r="AB174" i="1"/>
  <c r="AC174" i="1" s="1"/>
  <c r="AB169" i="1"/>
  <c r="AC169" i="1" s="1"/>
  <c r="AB128" i="1"/>
  <c r="AC128" i="1" s="1"/>
  <c r="O145" i="1"/>
  <c r="O95" i="1"/>
  <c r="O77" i="1"/>
  <c r="O76" i="1"/>
  <c r="AB176" i="1"/>
  <c r="AC176" i="1" s="1"/>
  <c r="AB158" i="1"/>
  <c r="AC158" i="1" s="1"/>
  <c r="AB153" i="1"/>
  <c r="AC153" i="1" s="1"/>
  <c r="O69" i="1"/>
  <c r="O68" i="1"/>
  <c r="O62" i="1"/>
  <c r="AB73" i="1"/>
  <c r="AC73" i="1" s="1"/>
  <c r="AB30" i="1"/>
  <c r="AC30" i="1" s="1"/>
  <c r="O58" i="1"/>
  <c r="AB160" i="1"/>
  <c r="AC160" i="1" s="1"/>
  <c r="AB142" i="1"/>
  <c r="AC142" i="1" s="1"/>
  <c r="AB137" i="1"/>
  <c r="AC137" i="1" s="1"/>
  <c r="AB61" i="1"/>
  <c r="AC61" i="1" s="1"/>
  <c r="AB55" i="1"/>
  <c r="AC55" i="1" s="1"/>
  <c r="O57" i="1"/>
  <c r="AB165" i="1"/>
  <c r="AC165" i="1" s="1"/>
  <c r="O16" i="1"/>
  <c r="AB152" i="1"/>
  <c r="AC152" i="1" s="1"/>
  <c r="AB134" i="1"/>
  <c r="AC134" i="1" s="1"/>
  <c r="AB129" i="1"/>
  <c r="AC129" i="1" s="1"/>
  <c r="O14" i="1"/>
  <c r="O181" i="1"/>
  <c r="O170" i="1"/>
  <c r="O160" i="1"/>
  <c r="O155" i="1"/>
  <c r="O148" i="1"/>
  <c r="O144" i="1"/>
  <c r="O138" i="1"/>
  <c r="O134" i="1"/>
  <c r="O114" i="1"/>
  <c r="O83" i="1"/>
  <c r="O61" i="1"/>
  <c r="O13" i="1"/>
  <c r="O171" i="1"/>
  <c r="O139" i="1"/>
  <c r="O115" i="1"/>
  <c r="AE111" i="1"/>
  <c r="AE107" i="1"/>
  <c r="AE103" i="1"/>
  <c r="AE99" i="1"/>
  <c r="O180" i="1"/>
  <c r="O169" i="1"/>
  <c r="O158" i="1"/>
  <c r="O153" i="1"/>
  <c r="O147" i="1"/>
  <c r="O141" i="1"/>
  <c r="O137" i="1"/>
  <c r="O118" i="1"/>
  <c r="O113" i="1"/>
  <c r="O82" i="1"/>
  <c r="O75" i="1"/>
  <c r="O64" i="1"/>
  <c r="O60" i="1"/>
  <c r="O43" i="1"/>
  <c r="O11" i="1"/>
  <c r="O183" i="1"/>
  <c r="O135" i="1"/>
  <c r="AB183" i="1"/>
  <c r="AC183" i="1" s="1"/>
  <c r="AB179" i="1"/>
  <c r="AC179" i="1" s="1"/>
  <c r="AB175" i="1"/>
  <c r="AC175" i="1" s="1"/>
  <c r="AB171" i="1"/>
  <c r="AC171" i="1" s="1"/>
  <c r="AB167" i="1"/>
  <c r="AC167" i="1" s="1"/>
  <c r="AB163" i="1"/>
  <c r="AC163" i="1" s="1"/>
  <c r="AB159" i="1"/>
  <c r="AC159" i="1" s="1"/>
  <c r="AB155" i="1"/>
  <c r="AC155" i="1" s="1"/>
  <c r="AB151" i="1"/>
  <c r="AC151" i="1" s="1"/>
  <c r="AB147" i="1"/>
  <c r="AC147" i="1" s="1"/>
  <c r="AB143" i="1"/>
  <c r="AC143" i="1" s="1"/>
  <c r="AB139" i="1"/>
  <c r="AC139" i="1" s="1"/>
  <c r="AB135" i="1"/>
  <c r="AC135" i="1" s="1"/>
  <c r="AB131" i="1"/>
  <c r="AC131" i="1" s="1"/>
  <c r="AB127" i="1"/>
  <c r="AC127" i="1" s="1"/>
  <c r="AB125" i="1"/>
  <c r="AC125" i="1" s="1"/>
  <c r="AB123" i="1"/>
  <c r="AC123" i="1" s="1"/>
  <c r="AB121" i="1"/>
  <c r="AC121" i="1" s="1"/>
  <c r="AB119" i="1"/>
  <c r="AC119" i="1" s="1"/>
  <c r="AB117" i="1"/>
  <c r="AC117" i="1" s="1"/>
  <c r="AB115" i="1"/>
  <c r="AC115" i="1" s="1"/>
  <c r="AB91" i="1"/>
  <c r="AC91" i="1" s="1"/>
  <c r="AB83" i="1"/>
  <c r="AC83" i="1" s="1"/>
  <c r="AB75" i="1"/>
  <c r="AC75" i="1" s="1"/>
  <c r="AB67" i="1"/>
  <c r="AC67" i="1" s="1"/>
  <c r="AB59" i="1"/>
  <c r="AC59" i="1" s="1"/>
  <c r="AB51" i="1"/>
  <c r="AC51" i="1" s="1"/>
  <c r="O184" i="1"/>
  <c r="O172" i="1"/>
  <c r="O168" i="1"/>
  <c r="O157" i="1"/>
  <c r="O151" i="1"/>
  <c r="O146" i="1"/>
  <c r="O140" i="1"/>
  <c r="O136" i="1"/>
  <c r="O116" i="1"/>
  <c r="O110" i="1"/>
  <c r="O79" i="1"/>
  <c r="O74" i="1"/>
  <c r="O63" i="1"/>
  <c r="O59" i="1"/>
  <c r="O29" i="1"/>
  <c r="O9" i="1"/>
  <c r="AE113" i="1"/>
  <c r="AE109" i="1"/>
  <c r="AE105" i="1"/>
  <c r="AE101" i="1"/>
  <c r="AB48" i="1"/>
  <c r="AC48" i="1" s="1"/>
  <c r="AE48" i="1"/>
  <c r="AE114" i="1"/>
  <c r="AE110" i="1"/>
  <c r="AE106" i="1"/>
  <c r="AE102" i="1"/>
  <c r="AB98" i="1"/>
  <c r="AC98" i="1" s="1"/>
  <c r="AB96" i="1"/>
  <c r="AC96" i="1" s="1"/>
  <c r="AB94" i="1"/>
  <c r="AC94" i="1" s="1"/>
  <c r="AB92" i="1"/>
  <c r="AC92" i="1" s="1"/>
  <c r="AB90" i="1"/>
  <c r="AC90" i="1" s="1"/>
  <c r="AB88" i="1"/>
  <c r="AC88" i="1" s="1"/>
  <c r="AB86" i="1"/>
  <c r="AC86" i="1" s="1"/>
  <c r="AB84" i="1"/>
  <c r="AC84" i="1" s="1"/>
  <c r="AB82" i="1"/>
  <c r="AC82" i="1" s="1"/>
  <c r="AB80" i="1"/>
  <c r="AC80" i="1" s="1"/>
  <c r="AB78" i="1"/>
  <c r="AC78" i="1" s="1"/>
  <c r="AB76" i="1"/>
  <c r="AC76" i="1" s="1"/>
  <c r="AB74" i="1"/>
  <c r="AC74" i="1" s="1"/>
  <c r="AB72" i="1"/>
  <c r="AC72" i="1" s="1"/>
  <c r="AB70" i="1"/>
  <c r="AC70" i="1" s="1"/>
  <c r="AB68" i="1"/>
  <c r="AC68" i="1" s="1"/>
  <c r="AB66" i="1"/>
  <c r="AC66" i="1" s="1"/>
  <c r="AB64" i="1"/>
  <c r="AC64" i="1" s="1"/>
  <c r="AB62" i="1"/>
  <c r="AC62" i="1" s="1"/>
  <c r="AB60" i="1"/>
  <c r="AC60" i="1" s="1"/>
  <c r="AB58" i="1"/>
  <c r="AC58" i="1" s="1"/>
  <c r="AB56" i="1"/>
  <c r="AC56" i="1" s="1"/>
  <c r="AB54" i="1"/>
  <c r="AC54" i="1" s="1"/>
  <c r="AB52" i="1"/>
  <c r="AC52" i="1" s="1"/>
  <c r="AB50" i="1"/>
  <c r="AC50" i="1" s="1"/>
  <c r="AB47" i="1"/>
  <c r="AC47" i="1" s="1"/>
  <c r="AE47" i="1"/>
  <c r="AB49" i="1"/>
  <c r="AC49" i="1" s="1"/>
  <c r="AE49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J68" i="1"/>
  <c r="F154" i="1" l="1"/>
  <c r="F164" i="1"/>
  <c r="F165" i="1"/>
  <c r="F142" i="1"/>
  <c r="F162" i="1"/>
  <c r="F133" i="1"/>
  <c r="F143" i="1"/>
  <c r="F166" i="1"/>
  <c r="F152" i="1"/>
  <c r="F149" i="1"/>
  <c r="F167" i="1"/>
  <c r="F159" i="1"/>
  <c r="F163" i="1"/>
  <c r="C46" i="10" l="1"/>
  <c r="C50" i="10"/>
  <c r="C51" i="10"/>
  <c r="C56" i="10"/>
  <c r="C57" i="10"/>
  <c r="C58" i="10"/>
  <c r="C59" i="10"/>
  <c r="C60" i="10"/>
  <c r="C62" i="10"/>
  <c r="C67" i="10"/>
  <c r="C68" i="10"/>
  <c r="C69" i="10"/>
  <c r="C72" i="10"/>
  <c r="C73" i="10"/>
  <c r="C74" i="10"/>
  <c r="C75" i="10"/>
  <c r="C3" i="10"/>
  <c r="C5" i="10"/>
  <c r="C7" i="10"/>
  <c r="C10" i="10"/>
  <c r="C13" i="10"/>
  <c r="C14" i="10"/>
  <c r="C17" i="10"/>
  <c r="C19" i="10"/>
  <c r="C20" i="10"/>
  <c r="C22" i="10"/>
  <c r="C23" i="10"/>
  <c r="C24" i="10"/>
  <c r="C25" i="10"/>
  <c r="C26" i="10"/>
  <c r="C27" i="10"/>
  <c r="C28" i="10"/>
  <c r="C29" i="10"/>
  <c r="C31" i="10"/>
  <c r="C32" i="10"/>
  <c r="C33" i="10"/>
  <c r="C35" i="10"/>
  <c r="C36" i="10"/>
  <c r="C37" i="10"/>
  <c r="C38" i="10"/>
  <c r="C39" i="10"/>
  <c r="C40" i="10"/>
  <c r="C42" i="10"/>
  <c r="C44" i="10"/>
  <c r="C45" i="10"/>
  <c r="C2" i="10"/>
  <c r="A71" i="10"/>
  <c r="C71" i="10" s="1"/>
  <c r="A70" i="10"/>
  <c r="C70" i="10" s="1"/>
  <c r="A66" i="10"/>
  <c r="C66" i="10" s="1"/>
  <c r="A65" i="10"/>
  <c r="C65" i="10" s="1"/>
  <c r="A64" i="10"/>
  <c r="C64" i="10" s="1"/>
  <c r="A63" i="10"/>
  <c r="C63" i="10" s="1"/>
  <c r="A61" i="10"/>
  <c r="C61" i="10" s="1"/>
  <c r="A55" i="10"/>
  <c r="C55" i="10" s="1"/>
  <c r="A54" i="10"/>
  <c r="C54" i="10" s="1"/>
  <c r="A53" i="10"/>
  <c r="C53" i="10" s="1"/>
  <c r="A52" i="10"/>
  <c r="C52" i="10" s="1"/>
  <c r="A49" i="10"/>
  <c r="C49" i="10" s="1"/>
  <c r="A48" i="10"/>
  <c r="C48" i="10" s="1"/>
  <c r="A47" i="10"/>
  <c r="C47" i="10" s="1"/>
  <c r="A43" i="10"/>
  <c r="C43" i="10" s="1"/>
  <c r="A41" i="10"/>
  <c r="C41" i="10" s="1"/>
  <c r="A34" i="10"/>
  <c r="C34" i="10" s="1"/>
  <c r="A30" i="10"/>
  <c r="C30" i="10" s="1"/>
  <c r="A21" i="10"/>
  <c r="C21" i="10" s="1"/>
  <c r="A18" i="10"/>
  <c r="C18" i="10" s="1"/>
  <c r="A16" i="10"/>
  <c r="C16" i="10" s="1"/>
  <c r="A15" i="10"/>
  <c r="C15" i="10" s="1"/>
  <c r="A12" i="10"/>
  <c r="C12" i="10" s="1"/>
  <c r="A11" i="10"/>
  <c r="C11" i="10" s="1"/>
  <c r="A9" i="10"/>
  <c r="C9" i="10" s="1"/>
  <c r="A8" i="10"/>
  <c r="C8" i="10" s="1"/>
  <c r="A6" i="10"/>
  <c r="C6" i="10" s="1"/>
  <c r="A4" i="10"/>
  <c r="C4" i="10" s="1"/>
  <c r="J155" i="1" l="1"/>
  <c r="J153" i="1"/>
  <c r="J151" i="1"/>
  <c r="J150" i="1"/>
  <c r="J148" i="1"/>
  <c r="J147" i="1"/>
  <c r="J146" i="1"/>
  <c r="J145" i="1"/>
  <c r="J144" i="1"/>
  <c r="J141" i="1"/>
  <c r="J137" i="1"/>
  <c r="J136" i="1"/>
  <c r="J135" i="1"/>
  <c r="J134" i="1"/>
  <c r="J115" i="1"/>
  <c r="J113" i="1"/>
  <c r="J101" i="1"/>
  <c r="J95" i="1"/>
  <c r="J66" i="1"/>
  <c r="J60" i="1"/>
  <c r="J76" i="1"/>
  <c r="J64" i="1"/>
  <c r="J74" i="1"/>
  <c r="J62" i="1"/>
  <c r="J61" i="1"/>
  <c r="J58" i="1"/>
  <c r="J33" i="1"/>
  <c r="F173" i="1" l="1"/>
  <c r="F135" i="1"/>
  <c r="F136" i="1"/>
  <c r="F137" i="1"/>
  <c r="F138" i="1"/>
  <c r="F139" i="1"/>
  <c r="F140" i="1"/>
  <c r="F141" i="1"/>
  <c r="F144" i="1"/>
  <c r="F145" i="1"/>
  <c r="F146" i="1"/>
  <c r="F147" i="1"/>
  <c r="F148" i="1"/>
  <c r="F150" i="1"/>
  <c r="F151" i="1"/>
  <c r="F153" i="1"/>
  <c r="F155" i="1"/>
  <c r="F156" i="1"/>
  <c r="F157" i="1"/>
  <c r="F158" i="1"/>
  <c r="F160" i="1"/>
  <c r="F161" i="1"/>
  <c r="F168" i="1"/>
  <c r="F169" i="1"/>
  <c r="F170" i="1"/>
  <c r="F171" i="1"/>
  <c r="F172" i="1"/>
  <c r="F134" i="1"/>
  <c r="AA3" i="1" l="1"/>
  <c r="Z3" i="1"/>
  <c r="Y3" i="1"/>
  <c r="X3" i="1"/>
  <c r="W3" i="1"/>
  <c r="O3" i="1" s="1"/>
  <c r="AE3" i="1" l="1"/>
  <c r="AB3" i="1"/>
  <c r="AC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tlantic" type="6" refreshedVersion="4" background="1" saveData="1">
    <textPr codePage="852" sourceFile="C:\Users\blahut\Desktop\megalandslide_database_statistics\atlantic.txt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atlantic1" type="6" refreshedVersion="4" background="1" saveData="1">
    <textPr codePage="852" sourceFile="C:\Users\blahut\Desktop\megalandslide_database_statistics\atlantic.txt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indian" type="6" refreshedVersion="4" background="1" saveData="1">
    <textPr codePage="852" sourceFile="C:\Users\blahut\Desktop\megalandslide_database_statistics\indian.txt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pacific" type="6" refreshedVersion="4" background="1" saveData="1">
    <textPr codePage="852" sourceFile="C:\Users\blahut\Desktop\megalandslide_database_statistics\pacific.txt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<sst xmlns="http://schemas.openxmlformats.org/spreadsheetml/2006/main" count="1662" uniqueCount="462">
  <si>
    <t>Name</t>
  </si>
  <si>
    <t>Area</t>
  </si>
  <si>
    <t>Length</t>
  </si>
  <si>
    <t>Width</t>
  </si>
  <si>
    <t>Archip</t>
  </si>
  <si>
    <t>Perimeter</t>
  </si>
  <si>
    <t>Hmax</t>
  </si>
  <si>
    <t>Hmin</t>
  </si>
  <si>
    <t>DeltaH</t>
  </si>
  <si>
    <t>Completnes</t>
  </si>
  <si>
    <t>Tinor</t>
  </si>
  <si>
    <t>CANA</t>
  </si>
  <si>
    <t>YES</t>
  </si>
  <si>
    <t>El Golfo B</t>
  </si>
  <si>
    <t>El Golfo A</t>
  </si>
  <si>
    <t>El Julan</t>
  </si>
  <si>
    <t>San Andres</t>
  </si>
  <si>
    <t>Las Playas II</t>
  </si>
  <si>
    <t>Punta del Norte</t>
  </si>
  <si>
    <t>Playa de la Veta</t>
  </si>
  <si>
    <t>Cumbre Nueva</t>
  </si>
  <si>
    <t>Santa Cruz</t>
  </si>
  <si>
    <t>Roques de Garcia</t>
  </si>
  <si>
    <t>Icod</t>
  </si>
  <si>
    <t>Orotava</t>
  </si>
  <si>
    <t>Abona</t>
  </si>
  <si>
    <t>Guimar</t>
  </si>
  <si>
    <t>Horgazales basin</t>
  </si>
  <si>
    <t>Roque Nublo</t>
  </si>
  <si>
    <t>AZOR</t>
  </si>
  <si>
    <t>Pico North B</t>
  </si>
  <si>
    <t>Pico North A</t>
  </si>
  <si>
    <t>Sao Miguel</t>
  </si>
  <si>
    <t>Sciara del Fuoco</t>
  </si>
  <si>
    <t>AEOL</t>
  </si>
  <si>
    <t>CVER</t>
  </si>
  <si>
    <t>Sao Vicente</t>
  </si>
  <si>
    <t>Tope de Coroa 1</t>
  </si>
  <si>
    <t>Tope de Coroa 2</t>
  </si>
  <si>
    <t>Mt Curry</t>
  </si>
  <si>
    <t>SSAN</t>
  </si>
  <si>
    <t>Tristan da Cunha</t>
  </si>
  <si>
    <t>TRDC</t>
  </si>
  <si>
    <t>Santa Lucia</t>
  </si>
  <si>
    <t>LANT</t>
  </si>
  <si>
    <t>Martinique D1</t>
  </si>
  <si>
    <t>Martinique D2</t>
  </si>
  <si>
    <t>St Vincent</t>
  </si>
  <si>
    <t>Dominica</t>
  </si>
  <si>
    <t>Montserrat Deposit 3</t>
  </si>
  <si>
    <t>NW Madeira</t>
  </si>
  <si>
    <t>MADE</t>
  </si>
  <si>
    <t>NNW Madeira</t>
  </si>
  <si>
    <t>NE Madeira</t>
  </si>
  <si>
    <t>SE Madeira</t>
  </si>
  <si>
    <t>SE Desertas</t>
  </si>
  <si>
    <t>S Porto Santo</t>
  </si>
  <si>
    <t>N Porto Santo</t>
  </si>
  <si>
    <t>Fogo I</t>
  </si>
  <si>
    <t>Montserrat Deposit 1</t>
  </si>
  <si>
    <t>Martinique D3</t>
  </si>
  <si>
    <t>sN1</t>
  </si>
  <si>
    <t>REUN</t>
  </si>
  <si>
    <t>wN1a</t>
  </si>
  <si>
    <t>nN1</t>
  </si>
  <si>
    <t>eF1</t>
  </si>
  <si>
    <t>sF1</t>
  </si>
  <si>
    <t>sN3</t>
  </si>
  <si>
    <t>sN4</t>
  </si>
  <si>
    <t>sN5</t>
  </si>
  <si>
    <t>sF3</t>
  </si>
  <si>
    <t>sF4</t>
  </si>
  <si>
    <t>eF2</t>
  </si>
  <si>
    <t>eF3</t>
  </si>
  <si>
    <t>eF4</t>
  </si>
  <si>
    <t>eF5</t>
  </si>
  <si>
    <t>eF6</t>
  </si>
  <si>
    <t>eF7</t>
  </si>
  <si>
    <t>nN4</t>
  </si>
  <si>
    <t>nN5</t>
  </si>
  <si>
    <t>nN6</t>
  </si>
  <si>
    <t>nN7</t>
  </si>
  <si>
    <t>wN5</t>
  </si>
  <si>
    <t>wN6</t>
  </si>
  <si>
    <t>wN7</t>
  </si>
  <si>
    <t>wN8</t>
  </si>
  <si>
    <t>wN10</t>
  </si>
  <si>
    <t>wN9</t>
  </si>
  <si>
    <t>wN12</t>
  </si>
  <si>
    <t>Great Sitkin</t>
  </si>
  <si>
    <t>ALEU</t>
  </si>
  <si>
    <t>Kanaga</t>
  </si>
  <si>
    <t>East Gareloi</t>
  </si>
  <si>
    <t>Northwest Gareloi</t>
  </si>
  <si>
    <t>Sajaka I</t>
  </si>
  <si>
    <t>Segula</t>
  </si>
  <si>
    <t>AUSI</t>
  </si>
  <si>
    <t>Rurutu E</t>
  </si>
  <si>
    <t>Tubuai S</t>
  </si>
  <si>
    <t>Raivavae SE</t>
  </si>
  <si>
    <t>Tahiti Nui N</t>
  </si>
  <si>
    <t>SOCI</t>
  </si>
  <si>
    <t>Tahiti Nui S</t>
  </si>
  <si>
    <t>Raiatea NE</t>
  </si>
  <si>
    <t>Tahaa W</t>
  </si>
  <si>
    <t>Tahaa E</t>
  </si>
  <si>
    <t>Bora Bora W</t>
  </si>
  <si>
    <t>Bora Bora NE</t>
  </si>
  <si>
    <t>Tupai E</t>
  </si>
  <si>
    <t>Nuuanu</t>
  </si>
  <si>
    <t>HAWA</t>
  </si>
  <si>
    <t>Kaena</t>
  </si>
  <si>
    <t>North Kauai</t>
  </si>
  <si>
    <t>South Kauai</t>
  </si>
  <si>
    <t>Waianae</t>
  </si>
  <si>
    <t>Clark</t>
  </si>
  <si>
    <t>Pololu</t>
  </si>
  <si>
    <t>Punaluu</t>
  </si>
  <si>
    <t>Hilina</t>
  </si>
  <si>
    <t>Papau</t>
  </si>
  <si>
    <t>BISM</t>
  </si>
  <si>
    <t>Bam</t>
  </si>
  <si>
    <t>Ulawun</t>
  </si>
  <si>
    <t>Manam</t>
  </si>
  <si>
    <t>Ritter 1888</t>
  </si>
  <si>
    <t>Sakar</t>
  </si>
  <si>
    <t>Elongation ratio</t>
  </si>
  <si>
    <t>DeltaH (km)</t>
  </si>
  <si>
    <t>Mean width (km)</t>
  </si>
  <si>
    <t>Gravelli coeff.</t>
  </si>
  <si>
    <t>Shape alpha</t>
  </si>
  <si>
    <t>Mean slope</t>
  </si>
  <si>
    <t>General slope</t>
  </si>
  <si>
    <t>14 - 15</t>
  </si>
  <si>
    <t>12.0 - 15</t>
  </si>
  <si>
    <t>Dávila et al. 2011</t>
  </si>
  <si>
    <t>0.733±3</t>
  </si>
  <si>
    <t>NA</t>
  </si>
  <si>
    <t>1.3±0.06</t>
  </si>
  <si>
    <t>Deplus et al. 2001</t>
  </si>
  <si>
    <t>Holocene</t>
  </si>
  <si>
    <t>&gt;0.6</t>
  </si>
  <si>
    <t>0.15-0.18</t>
  </si>
  <si>
    <t>&lt;100</t>
  </si>
  <si>
    <t>0.33-0.4</t>
  </si>
  <si>
    <t>&lt;10</t>
  </si>
  <si>
    <t>0.02-0.068</t>
  </si>
  <si>
    <t>León et al. 2016 and 2017</t>
  </si>
  <si>
    <t>0.039 - 0.087</t>
  </si>
  <si>
    <t>&gt;0.08</t>
  </si>
  <si>
    <t>130-160</t>
  </si>
  <si>
    <t>Pleistocene</t>
  </si>
  <si>
    <t>Masson et al. 2002</t>
  </si>
  <si>
    <t>0.78 - 0.84</t>
  </si>
  <si>
    <t>0.01-0.1</t>
  </si>
  <si>
    <t>0.15 - 0.17</t>
  </si>
  <si>
    <t>Becerril et al. 2016</t>
  </si>
  <si>
    <t>0.145 - 0.176</t>
  </si>
  <si>
    <t>Brunet et al. 2016, Coussens et al. 2016</t>
  </si>
  <si>
    <t>0.124-0.129</t>
  </si>
  <si>
    <t>&gt;25</t>
  </si>
  <si>
    <t>Deplus et al. 2001, Coussens et al. 2016</t>
  </si>
  <si>
    <t>0.024 - 0.026</t>
  </si>
  <si>
    <t>0.03-0.045</t>
  </si>
  <si>
    <t>11.0-14.0</t>
  </si>
  <si>
    <t>8.0-12.0</t>
  </si>
  <si>
    <t>1.42-2</t>
  </si>
  <si>
    <t>&gt;100</t>
  </si>
  <si>
    <t>0.23-0.6</t>
  </si>
  <si>
    <t>0.23-0.5</t>
  </si>
  <si>
    <t>0.2-0.43</t>
  </si>
  <si>
    <t>0.03-0.2</t>
  </si>
  <si>
    <t>2.1-2.2</t>
  </si>
  <si>
    <t>2000-3000</t>
  </si>
  <si>
    <t>0.518 - 0.541</t>
  </si>
  <si>
    <t>&lt;0.005</t>
  </si>
  <si>
    <t>Costa et al. 2014</t>
  </si>
  <si>
    <t>&gt;0.07</t>
  </si>
  <si>
    <t>4.0-10</t>
  </si>
  <si>
    <t>0.8 - 1</t>
  </si>
  <si>
    <t>0.254-0.306</t>
  </si>
  <si>
    <t>0.1-0.2</t>
  </si>
  <si>
    <t>9.0 - 11.5</t>
  </si>
  <si>
    <t>0.176 - 0.545</t>
  </si>
  <si>
    <t>Sibrant et al. 2015</t>
  </si>
  <si>
    <t>0.507-0.750</t>
  </si>
  <si>
    <t>Masson et al. 2008</t>
  </si>
  <si>
    <t>0.29-0.32</t>
  </si>
  <si>
    <t>0.02-0.29</t>
  </si>
  <si>
    <t>0.71-1.9</t>
  </si>
  <si>
    <t>0.6-1.16</t>
  </si>
  <si>
    <t>0.45-0.79</t>
  </si>
  <si>
    <t>0.1-0.5</t>
  </si>
  <si>
    <t>&lt;1</t>
  </si>
  <si>
    <t>0.85-0.87±0.15</t>
  </si>
  <si>
    <t>0.650 - 0.850</t>
  </si>
  <si>
    <t>0.2 - 0.4</t>
  </si>
  <si>
    <t>&gt;0.5</t>
  </si>
  <si>
    <t>&lt;0.1</t>
  </si>
  <si>
    <t>2.9-3.1</t>
  </si>
  <si>
    <t>1±0.1</t>
  </si>
  <si>
    <t>0.032-0.22</t>
  </si>
  <si>
    <t>0.032-0.34</t>
  </si>
  <si>
    <t>&gt;2</t>
  </si>
  <si>
    <t>0.2-0.66</t>
  </si>
  <si>
    <t>0.22-0.37</t>
  </si>
  <si>
    <t>0.19-0.35</t>
  </si>
  <si>
    <t>0.26-0.35</t>
  </si>
  <si>
    <t>0.048-0.29</t>
  </si>
  <si>
    <t>Source topo/age/volume</t>
  </si>
  <si>
    <t>Age (Ma)</t>
  </si>
  <si>
    <t>Volume (km3)</t>
  </si>
  <si>
    <t>Island</t>
  </si>
  <si>
    <t>Gareloi</t>
  </si>
  <si>
    <t>Raivavae</t>
  </si>
  <si>
    <t>Rurutu</t>
  </si>
  <si>
    <t>Tubuai</t>
  </si>
  <si>
    <t>Pico</t>
  </si>
  <si>
    <t>Ritter</t>
  </si>
  <si>
    <t>Hierro</t>
  </si>
  <si>
    <t>Fogo</t>
  </si>
  <si>
    <t>Martinique</t>
  </si>
  <si>
    <t>Montserrat</t>
  </si>
  <si>
    <t>Madeira</t>
  </si>
  <si>
    <t>Porto Santo</t>
  </si>
  <si>
    <t>Desertas</t>
  </si>
  <si>
    <t>Reunion</t>
  </si>
  <si>
    <t>Bora Bora</t>
  </si>
  <si>
    <t>Raiatea</t>
  </si>
  <si>
    <t>Tahaa</t>
  </si>
  <si>
    <t>Tahiti</t>
  </si>
  <si>
    <t>Tupai</t>
  </si>
  <si>
    <t>Zavodovski</t>
  </si>
  <si>
    <t>Stromboli</t>
  </si>
  <si>
    <t>Gran Canaria</t>
  </si>
  <si>
    <t>Tenerife</t>
  </si>
  <si>
    <t>La Palma</t>
  </si>
  <si>
    <t>Oahu</t>
  </si>
  <si>
    <t>Hawaii</t>
  </si>
  <si>
    <t>Lanai</t>
  </si>
  <si>
    <t>Kauai</t>
  </si>
  <si>
    <t>Molokai</t>
  </si>
  <si>
    <t>Wailau</t>
  </si>
  <si>
    <t>Island age (Ma)</t>
  </si>
  <si>
    <t>Leat et al. 2010</t>
  </si>
  <si>
    <t>0.2-1.4</t>
  </si>
  <si>
    <t>2.8-4.2</t>
  </si>
  <si>
    <t>10-12 and 0.65-1.65</t>
  </si>
  <si>
    <t>2.4-3.4</t>
  </si>
  <si>
    <t>3.1-4.4</t>
  </si>
  <si>
    <t>0.015-0.1</t>
  </si>
  <si>
    <t>0-0.43</t>
  </si>
  <si>
    <t>2.6-3.7</t>
  </si>
  <si>
    <t>1.8-1.9</t>
  </si>
  <si>
    <t>Island age max (Ma)</t>
  </si>
  <si>
    <t>Age average (Ma)</t>
  </si>
  <si>
    <t>H/L</t>
  </si>
  <si>
    <r>
      <t>V (km</t>
    </r>
    <r>
      <rPr>
        <b/>
        <vertAlign val="superscript"/>
        <sz val="11"/>
        <color theme="1"/>
        <rFont val="Calibri"/>
        <family val="2"/>
        <charset val="238"/>
        <scheme val="minor"/>
      </rPr>
      <t>3</t>
    </r>
    <r>
      <rPr>
        <b/>
        <sz val="11"/>
        <color theme="1"/>
        <rFont val="Calibri"/>
        <family val="2"/>
        <charset val="238"/>
        <scheme val="minor"/>
      </rPr>
      <t>)</t>
    </r>
  </si>
  <si>
    <t>W - gHM (J)</t>
  </si>
  <si>
    <t>L/H</t>
  </si>
  <si>
    <t>10000-12000</t>
  </si>
  <si>
    <t>Augustine NW</t>
  </si>
  <si>
    <t>NO</t>
  </si>
  <si>
    <t>Augustine N</t>
  </si>
  <si>
    <t>Augustine W</t>
  </si>
  <si>
    <t>Montserrat Deposit 9</t>
  </si>
  <si>
    <t>Montserrat Deposit 2</t>
  </si>
  <si>
    <t>Santorini 2</t>
  </si>
  <si>
    <t>CYCL</t>
  </si>
  <si>
    <t>wN2</t>
  </si>
  <si>
    <t>Crown S</t>
  </si>
  <si>
    <t>Montserrat Deposit 8</t>
  </si>
  <si>
    <t>Santorini 1</t>
  </si>
  <si>
    <t>Montserrat Deposit 4</t>
  </si>
  <si>
    <t>wN11</t>
  </si>
  <si>
    <t>Tazo</t>
  </si>
  <si>
    <t>wN4b</t>
  </si>
  <si>
    <t>Karkar SW</t>
  </si>
  <si>
    <t>Montserrat Deposit 5</t>
  </si>
  <si>
    <t>Karkar S</t>
  </si>
  <si>
    <t>sF2</t>
  </si>
  <si>
    <t>Jandia</t>
  </si>
  <si>
    <t>Kadovar</t>
  </si>
  <si>
    <t>Crown N</t>
  </si>
  <si>
    <t>sF5</t>
  </si>
  <si>
    <t>Pico Southwest</t>
  </si>
  <si>
    <t>Garove</t>
  </si>
  <si>
    <t>wN4a</t>
  </si>
  <si>
    <t>nN3</t>
  </si>
  <si>
    <t>Kiska</t>
  </si>
  <si>
    <t>Dakataua</t>
  </si>
  <si>
    <t>East Canary Ridge</t>
  </si>
  <si>
    <t>Pico South</t>
  </si>
  <si>
    <t>eA1</t>
  </si>
  <si>
    <t>Bobrof</t>
  </si>
  <si>
    <t>wN1b</t>
  </si>
  <si>
    <t>nN2</t>
  </si>
  <si>
    <t>wN3b</t>
  </si>
  <si>
    <t>Bora Bora SW</t>
  </si>
  <si>
    <t>North Gareloi</t>
  </si>
  <si>
    <t>wN3a</t>
  </si>
  <si>
    <t>sN2</t>
  </si>
  <si>
    <t>Sao Nicolau N</t>
  </si>
  <si>
    <t>Santiago</t>
  </si>
  <si>
    <t>SW Desertas</t>
  </si>
  <si>
    <t>Sao Nicolau NE</t>
  </si>
  <si>
    <t>Sao Antao N</t>
  </si>
  <si>
    <t>Sao Antao NE</t>
  </si>
  <si>
    <t>Raivavae E</t>
  </si>
  <si>
    <t>Raivavae SW</t>
  </si>
  <si>
    <t>Anaga</t>
  </si>
  <si>
    <t>Sao Nicolau S</t>
  </si>
  <si>
    <t>Tubuai N</t>
  </si>
  <si>
    <t>Rimatara SW</t>
  </si>
  <si>
    <t>Raiatea S</t>
  </si>
  <si>
    <t>Sao Nicolau NW</t>
  </si>
  <si>
    <t>Rurutu N</t>
  </si>
  <si>
    <t>Hana</t>
  </si>
  <si>
    <t>Kaalualu</t>
  </si>
  <si>
    <t>Teno</t>
  </si>
  <si>
    <t>Rurutu W</t>
  </si>
  <si>
    <t>Rurutu SW</t>
  </si>
  <si>
    <t>North Kona</t>
  </si>
  <si>
    <t>Alika - 2</t>
  </si>
  <si>
    <t>Alika - 1</t>
  </si>
  <si>
    <t>Tubuai W</t>
  </si>
  <si>
    <t>Rimatara SE</t>
  </si>
  <si>
    <t>KaLae - W</t>
  </si>
  <si>
    <t>South Kona</t>
  </si>
  <si>
    <t>KaLae - E</t>
  </si>
  <si>
    <t>Fogo II</t>
  </si>
  <si>
    <t>Augustine</t>
  </si>
  <si>
    <t>Santorini</t>
  </si>
  <si>
    <t>Crown</t>
  </si>
  <si>
    <t>Karkar</t>
  </si>
  <si>
    <t>Sao Nicolau</t>
  </si>
  <si>
    <t>Sao Antao</t>
  </si>
  <si>
    <t>Rimatara</t>
  </si>
  <si>
    <t>Fuerteventura</t>
  </si>
  <si>
    <t>New Britain</t>
  </si>
  <si>
    <t>Lanzarote</t>
  </si>
  <si>
    <t>Maui</t>
  </si>
  <si>
    <t>Krastel et al. 2001</t>
  </si>
  <si>
    <t>less than 0.002</t>
  </si>
  <si>
    <t>late Pleistocene</t>
  </si>
  <si>
    <t>sidescan sonar (GLORIA)</t>
  </si>
  <si>
    <t>middle to late Holocene</t>
  </si>
  <si>
    <t>Tanaga</t>
  </si>
  <si>
    <t>Late Holocene</t>
  </si>
  <si>
    <t>1.5-2.0</t>
  </si>
  <si>
    <t>0.7-1.25</t>
  </si>
  <si>
    <t>0.4-1</t>
  </si>
  <si>
    <t>1.0-1.7</t>
  </si>
  <si>
    <t>1.5-1.7</t>
  </si>
  <si>
    <t>0.4-0.6</t>
  </si>
  <si>
    <t>0.3-0.4</t>
  </si>
  <si>
    <t>high-resolution bathymetry</t>
  </si>
  <si>
    <t>9.4-8.6</t>
  </si>
  <si>
    <t>6.3-6.0</t>
  </si>
  <si>
    <t>4.7-4.1</t>
  </si>
  <si>
    <t>0.6 - 2.0</t>
  </si>
  <si>
    <t>0.88-1.04</t>
  </si>
  <si>
    <t>Gee et al. 2001/Hunt et al. 2014</t>
  </si>
  <si>
    <t>0.5-0.3</t>
  </si>
  <si>
    <t>Agaete</t>
  </si>
  <si>
    <t>Gomera</t>
  </si>
  <si>
    <t>Galdar</t>
  </si>
  <si>
    <t>Acosta et al. 2003/Hunt et al. 2014</t>
  </si>
  <si>
    <t>Gomera I</t>
  </si>
  <si>
    <t>Gomera II</t>
  </si>
  <si>
    <t>Gomera III</t>
  </si>
  <si>
    <t>Gomera IV</t>
  </si>
  <si>
    <t>Gomera V</t>
  </si>
  <si>
    <t>Gomera VI</t>
  </si>
  <si>
    <t>Gomera VII</t>
  </si>
  <si>
    <t>Gomera VIII</t>
  </si>
  <si>
    <t>Carracedo et al. 1999; Holcomb and Searle 1991/Hunt et al. 2014</t>
  </si>
  <si>
    <t xml:space="preserve">0.125 - 0.536 </t>
  </si>
  <si>
    <t>&gt;0.9</t>
  </si>
  <si>
    <t>Holcomb and Searle 1991</t>
  </si>
  <si>
    <t>Urgeles et al. 1999</t>
  </si>
  <si>
    <t>Masson et al. 2002/Hunt et al. 2011</t>
  </si>
  <si>
    <t>Masson et al. 2002/Boulesteix et al. 2013</t>
  </si>
  <si>
    <t>Casillas et al. 2010/Ancochea et al. 2006</t>
  </si>
  <si>
    <t>Masson et al. 2002/Hunt et al. 2014</t>
  </si>
  <si>
    <t>Waythomas et al. 2006/Begét and Kienle 1992</t>
  </si>
  <si>
    <t>Silver et al. 2009</t>
  </si>
  <si>
    <t>Coombs et al. 2007/Smith et al. 1978</t>
  </si>
  <si>
    <t>Quartau et al. 2018</t>
  </si>
  <si>
    <t>LeBas et al. 2007</t>
  </si>
  <si>
    <t>Coombs et al. 2007</t>
  </si>
  <si>
    <t>Krastel et al. 2001/Hunt et al. 2014</t>
  </si>
  <si>
    <t>Krastel et al. 2001/Acosta et al. 2003</t>
  </si>
  <si>
    <t>Moore et al. 1994</t>
  </si>
  <si>
    <t>Moore et al. 1994/McMurtry 2004</t>
  </si>
  <si>
    <t>Moore et al. 1994/USGS 2002</t>
  </si>
  <si>
    <t>USGS 2002; Moore et al. 1989</t>
  </si>
  <si>
    <t>USGS 2002; Moore et al. 1989/McMurtry 2004</t>
  </si>
  <si>
    <t>USGS 2002; Moore et al. 1989; Lipman 1988; McMurty 2004</t>
  </si>
  <si>
    <t>USGS 2002; Moore et al. 1989; Moore et al. 1994/McMurtry 2004</t>
  </si>
  <si>
    <t>USGS 2002; Moore et al. 1989/USGS 2002</t>
  </si>
  <si>
    <t>Brunet et al. 2016</t>
  </si>
  <si>
    <t>Coussens et al. 2016</t>
  </si>
  <si>
    <t>USGS 2002; Moore et al. 1989/McMurtry 2004/McMurtry 2004</t>
  </si>
  <si>
    <t>Omira et al. 2016</t>
  </si>
  <si>
    <t>Lenat and Labazuy 2008</t>
  </si>
  <si>
    <t>Day et al. 2015</t>
  </si>
  <si>
    <t>Hooft et al. 2017</t>
  </si>
  <si>
    <t>Clouard et al. 2001</t>
  </si>
  <si>
    <t>Hildenbrand et al. 2006</t>
  </si>
  <si>
    <t>multibeam echosounder</t>
  </si>
  <si>
    <t>single beam and multibeam echosounder (Simrad EM12)</t>
  </si>
  <si>
    <t>multibeam echosounders (Kongsberg EM3000 and EM3002); backscatter mosaics (EMODNET, EMEPC, SEDMAR)</t>
  </si>
  <si>
    <t>sidescan sonar (GLORIA); multibeam echosounders (Hydrosweep; Simrad EM12S-120)</t>
  </si>
  <si>
    <t>subaerial part only</t>
  </si>
  <si>
    <t>multibeam echosounders; backscatter mosaics (EMODNET)</t>
  </si>
  <si>
    <t>multibeam echosounder (MBES); backscatter data</t>
  </si>
  <si>
    <t>sidescan sonar (TOBI); swath bathymetry (Simrad EM12)</t>
  </si>
  <si>
    <t>sidescan sonar (TOBI 3.5/30 kHz); multibeam echosounder (Simrad EM12)</t>
  </si>
  <si>
    <t>multibeam echosounder (Kongsberg EM120, 12 kHz)</t>
  </si>
  <si>
    <t xml:space="preserve">swath bathymetry and backscatter data (Simrad EM12D), 3.5 kHz echo sounder </t>
  </si>
  <si>
    <t>multibeam bathymetry and backscatter data (Atlas Hydrosweep; Simrad EM 12)</t>
  </si>
  <si>
    <t>multibeam echosounder (Simrad Kongsberg EM122, 12 kHz)</t>
  </si>
  <si>
    <t>multibeam echosounder (Simrad EM12)</t>
  </si>
  <si>
    <t>sidescan sonar (Hawaii MR1); multibeam echosounder (Simrad EM-120)</t>
  </si>
  <si>
    <t>sidescan sonars (GLORIA; TOBI 30 kHz); multibeam echosounder (Simrad EM12)</t>
  </si>
  <si>
    <t>multibeam echosounder (Simrad EM12D) and deep-tow sonar (SAR)</t>
  </si>
  <si>
    <t>multibeam echosounders (Hydrosweep; Simrad EM12)</t>
  </si>
  <si>
    <t>multibeam echosounder (Simrad EM 120)</t>
  </si>
  <si>
    <t>Archipelago</t>
  </si>
  <si>
    <t>topography data origin</t>
  </si>
  <si>
    <t>Canary Islands</t>
  </si>
  <si>
    <t>Aleutians</t>
  </si>
  <si>
    <t>Bismarc Arc</t>
  </si>
  <si>
    <t>Society Islands</t>
  </si>
  <si>
    <t>Lesser Antilles</t>
  </si>
  <si>
    <t>Cape Verde</t>
  </si>
  <si>
    <t>South Sandwitch Islands</t>
  </si>
  <si>
    <t>Azores</t>
  </si>
  <si>
    <t>Austral Islands</t>
  </si>
  <si>
    <t>Cyclades</t>
  </si>
  <si>
    <t>Aeolian Islands</t>
  </si>
  <si>
    <t>sidescan sonar (TOBI); multibeam echosounder</t>
  </si>
  <si>
    <t>Type</t>
  </si>
  <si>
    <t>debris avalanche</t>
  </si>
  <si>
    <t>Clouard and Bonneville 2004</t>
  </si>
  <si>
    <t>not classified</t>
  </si>
  <si>
    <t>superficial landslide</t>
  </si>
  <si>
    <t>slump</t>
  </si>
  <si>
    <t>sand rubble flow</t>
  </si>
  <si>
    <t>Tolokiwa</t>
  </si>
  <si>
    <t>150-520</t>
  </si>
  <si>
    <t>sidescan sonar (GLORIA); multibeam echosounder (Simrad EM300)</t>
  </si>
  <si>
    <t>landslide</t>
  </si>
  <si>
    <t>slump/debris avalanche</t>
  </si>
  <si>
    <t>debris flow/debris avalanche</t>
  </si>
  <si>
    <t>debris flow</t>
  </si>
  <si>
    <r>
      <rPr>
        <sz val="11"/>
        <color theme="1"/>
        <rFont val="Calibri"/>
        <family val="2"/>
        <charset val="238"/>
      </rPr>
      <t>&lt;</t>
    </r>
    <r>
      <rPr>
        <sz val="11"/>
        <color theme="1"/>
        <rFont val="Calibri"/>
        <family val="2"/>
        <scheme val="minor"/>
      </rPr>
      <t>3</t>
    </r>
  </si>
  <si>
    <t>debris avalanche/landslide</t>
  </si>
  <si>
    <t>&lt;0.2</t>
  </si>
  <si>
    <t>Romagnoli et al. 2009</t>
  </si>
  <si>
    <t>https://www.irsm.cas.cz/ext/giantlandslides/index.php?page=giantlandslides_db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</si>
</sst>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  <font>
      <sz val="11"/>
      <color rgb="FF1F497D"/>
      <name val="Calibri"/>
      <family val="2"/>
      <charset val="238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0" fontId="5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17" fontId="0" fillId="0" borderId="0" xfId="0" applyNumberFormat="1" applyFill="1" applyAlignment="1">
      <alignment horizontal="left"/>
    </xf>
    <xf numFmtId="16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Border="1"/>
    <xf numFmtId="0" fontId="3" fillId="0" borderId="0" xfId="0" applyFont="1"/>
    <xf numFmtId="164" fontId="0" fillId="0" borderId="0" xfId="0" applyNumberFormat="1"/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1" fontId="5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2" fontId="5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left"/>
    </xf>
    <xf numFmtId="2" fontId="0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/>
    <xf numFmtId="2" fontId="0" fillId="0" borderId="0" xfId="0" applyNumberFormat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4" fontId="0" fillId="0" borderId="0" xfId="0" applyNumberFormat="1"/>
    <xf numFmtId="0" fontId="8" fillId="0" borderId="0" xfId="0" applyFont="1"/>
    <xf numFmtId="0" fontId="0" fillId="0" borderId="0" xfId="0" applyFill="1" applyAlignment="1"/>
    <xf numFmtId="0" fontId="9" fillId="0" borderId="0" xfId="0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 applyFill="1" applyAlignment="1">
      <alignment horizontal="left"/>
    </xf>
    <xf numFmtId="1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left"/>
    </xf>
    <xf numFmtId="0" fontId="2" fillId="0" borderId="0" xfId="0" applyFont="1"/>
    <xf numFmtId="164" fontId="0" fillId="0" borderId="0" xfId="0" applyNumberFormat="1" applyFill="1" applyAlignment="1">
      <alignment horizontal="right"/>
    </xf>
    <xf numFmtId="3" fontId="0" fillId="0" borderId="0" xfId="0" applyNumberFormat="1" applyFill="1"/>
    <xf numFmtId="0" fontId="7" fillId="0" borderId="0" xfId="0" applyFont="1" applyFill="1" applyAlignment="1">
      <alignment vertical="center"/>
    </xf>
    <xf numFmtId="164" fontId="0" fillId="0" borderId="0" xfId="0" applyNumberFormat="1" applyFill="1"/>
    <xf numFmtId="0" fontId="1" fillId="0" borderId="0" xfId="0" applyFont="1"/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List1!$L$3:$L$115</c:f>
              <c:numCache>
                <c:formatCode>General</c:formatCode>
                <c:ptCount val="113"/>
                <c:pt idx="0" formatCode="0">
                  <c:v>8.5</c:v>
                </c:pt>
                <c:pt idx="6" formatCode="0">
                  <c:v>0.6</c:v>
                </c:pt>
                <c:pt idx="8" formatCode="0">
                  <c:v>9</c:v>
                </c:pt>
                <c:pt idx="10" formatCode="0">
                  <c:v>25</c:v>
                </c:pt>
                <c:pt idx="11" formatCode="0">
                  <c:v>59</c:v>
                </c:pt>
                <c:pt idx="13" formatCode="0">
                  <c:v>2.9</c:v>
                </c:pt>
                <c:pt idx="26" formatCode="0">
                  <c:v>7</c:v>
                </c:pt>
                <c:pt idx="40" formatCode="0">
                  <c:v>4.2</c:v>
                </c:pt>
                <c:pt idx="54" formatCode="0">
                  <c:v>50</c:v>
                </c:pt>
                <c:pt idx="55" formatCode="0">
                  <c:v>60</c:v>
                </c:pt>
                <c:pt idx="56" formatCode="0">
                  <c:v>80</c:v>
                </c:pt>
                <c:pt idx="57" formatCode="0">
                  <c:v>34</c:v>
                </c:pt>
                <c:pt idx="58" formatCode="0">
                  <c:v>84</c:v>
                </c:pt>
                <c:pt idx="59" formatCode="0">
                  <c:v>234</c:v>
                </c:pt>
                <c:pt idx="60" formatCode="0">
                  <c:v>130</c:v>
                </c:pt>
                <c:pt idx="61" formatCode="0">
                  <c:v>50</c:v>
                </c:pt>
                <c:pt idx="65" formatCode="0">
                  <c:v>95</c:v>
                </c:pt>
                <c:pt idx="66" formatCode="0">
                  <c:v>650</c:v>
                </c:pt>
                <c:pt idx="71" formatCode="0">
                  <c:v>500</c:v>
                </c:pt>
                <c:pt idx="72" formatCode="0">
                  <c:v>335</c:v>
                </c:pt>
                <c:pt idx="73" formatCode="0">
                  <c:v>1000</c:v>
                </c:pt>
                <c:pt idx="74" formatCode="0">
                  <c:v>120</c:v>
                </c:pt>
                <c:pt idx="76" formatCode="0">
                  <c:v>145</c:v>
                </c:pt>
                <c:pt idx="79" formatCode="0">
                  <c:v>50</c:v>
                </c:pt>
                <c:pt idx="80" formatCode="0">
                  <c:v>150</c:v>
                </c:pt>
                <c:pt idx="92" formatCode="0">
                  <c:v>11000</c:v>
                </c:pt>
                <c:pt idx="107" formatCode="0">
                  <c:v>2500</c:v>
                </c:pt>
                <c:pt idx="110" formatCode="0">
                  <c:v>25</c:v>
                </c:pt>
                <c:pt idx="111" formatCode="0">
                  <c:v>13</c:v>
                </c:pt>
                <c:pt idx="112" formatCode="0">
                  <c:v>2</c:v>
                </c:pt>
              </c:numCache>
            </c:numRef>
          </c:xVal>
          <c:yVal>
            <c:numRef>
              <c:f>List1!$AB$3:$AB$115</c:f>
              <c:numCache>
                <c:formatCode>0.00</c:formatCode>
                <c:ptCount val="113"/>
                <c:pt idx="0">
                  <c:v>0.11816666666666667</c:v>
                </c:pt>
                <c:pt idx="1">
                  <c:v>4.8333333333333336E-3</c:v>
                </c:pt>
                <c:pt idx="2">
                  <c:v>4.0000000000000001E-3</c:v>
                </c:pt>
                <c:pt idx="3">
                  <c:v>3.3333333333333331E-3</c:v>
                </c:pt>
                <c:pt idx="4">
                  <c:v>3.5142857142857142E-2</c:v>
                </c:pt>
                <c:pt idx="5">
                  <c:v>7.5176470588235289E-2</c:v>
                </c:pt>
                <c:pt idx="6">
                  <c:v>0.109125</c:v>
                </c:pt>
                <c:pt idx="7">
                  <c:v>4.9423728813559324E-2</c:v>
                </c:pt>
                <c:pt idx="8">
                  <c:v>8.1785714285714281E-2</c:v>
                </c:pt>
                <c:pt idx="9">
                  <c:v>6.8671232876712326E-2</c:v>
                </c:pt>
                <c:pt idx="10">
                  <c:v>6.7103448275862065E-2</c:v>
                </c:pt>
                <c:pt idx="11">
                  <c:v>4.4500000000000005E-2</c:v>
                </c:pt>
                <c:pt idx="12">
                  <c:v>4.984848484848485E-2</c:v>
                </c:pt>
                <c:pt idx="13">
                  <c:v>0.12870370370370371</c:v>
                </c:pt>
                <c:pt idx="14">
                  <c:v>8.8045454545454552E-2</c:v>
                </c:pt>
                <c:pt idx="15">
                  <c:v>0.13504347826086957</c:v>
                </c:pt>
                <c:pt idx="16">
                  <c:v>0.11102702702702702</c:v>
                </c:pt>
                <c:pt idx="17">
                  <c:v>0.13138235294117645</c:v>
                </c:pt>
                <c:pt idx="18">
                  <c:v>0.1878181818181818</c:v>
                </c:pt>
                <c:pt idx="19">
                  <c:v>0.12852</c:v>
                </c:pt>
                <c:pt idx="20">
                  <c:v>0.15183333333333332</c:v>
                </c:pt>
                <c:pt idx="21">
                  <c:v>0.13222222222222221</c:v>
                </c:pt>
                <c:pt idx="22">
                  <c:v>0.13040625</c:v>
                </c:pt>
                <c:pt idx="23">
                  <c:v>0.14774074074074073</c:v>
                </c:pt>
                <c:pt idx="24">
                  <c:v>0.12951515151515153</c:v>
                </c:pt>
                <c:pt idx="25">
                  <c:v>7.8105263157894733E-2</c:v>
                </c:pt>
                <c:pt idx="26">
                  <c:v>7.8714285714285723E-2</c:v>
                </c:pt>
                <c:pt idx="27">
                  <c:v>9.9714285714285714E-2</c:v>
                </c:pt>
                <c:pt idx="28">
                  <c:v>9.1518518518518527E-2</c:v>
                </c:pt>
                <c:pt idx="29">
                  <c:v>0.13784615384615384</c:v>
                </c:pt>
                <c:pt idx="30">
                  <c:v>5.3913043478260869E-2</c:v>
                </c:pt>
                <c:pt idx="31">
                  <c:v>0.13700000000000001</c:v>
                </c:pt>
                <c:pt idx="32">
                  <c:v>0.1043125</c:v>
                </c:pt>
                <c:pt idx="33">
                  <c:v>7.1999999999999995E-2</c:v>
                </c:pt>
                <c:pt idx="34">
                  <c:v>0.112625</c:v>
                </c:pt>
                <c:pt idx="35">
                  <c:v>0.19025</c:v>
                </c:pt>
                <c:pt idx="36">
                  <c:v>0.122125</c:v>
                </c:pt>
                <c:pt idx="37">
                  <c:v>6.7916666666666667E-2</c:v>
                </c:pt>
                <c:pt idx="38">
                  <c:v>0.14199999999999999</c:v>
                </c:pt>
                <c:pt idx="39">
                  <c:v>6.1257142857142864E-2</c:v>
                </c:pt>
                <c:pt idx="40">
                  <c:v>2.5546666666666665E-2</c:v>
                </c:pt>
                <c:pt idx="41">
                  <c:v>0.188</c:v>
                </c:pt>
                <c:pt idx="42">
                  <c:v>8.0350000000000005E-2</c:v>
                </c:pt>
                <c:pt idx="43">
                  <c:v>7.0904761904761915E-2</c:v>
                </c:pt>
                <c:pt idx="44">
                  <c:v>3.9875000000000001E-2</c:v>
                </c:pt>
                <c:pt idx="45">
                  <c:v>0.13725000000000001</c:v>
                </c:pt>
                <c:pt idx="46">
                  <c:v>9.1709677419354832E-2</c:v>
                </c:pt>
                <c:pt idx="47">
                  <c:v>7.1926829268292677E-2</c:v>
                </c:pt>
                <c:pt idx="48">
                  <c:v>0.10894117647058824</c:v>
                </c:pt>
                <c:pt idx="49">
                  <c:v>6.8613636363636363E-2</c:v>
                </c:pt>
                <c:pt idx="50">
                  <c:v>9.1771428571428573E-2</c:v>
                </c:pt>
                <c:pt idx="51">
                  <c:v>0.10007142857142858</c:v>
                </c:pt>
                <c:pt idx="52">
                  <c:v>8.5800000000000001E-2</c:v>
                </c:pt>
                <c:pt idx="53">
                  <c:v>0.10871428571428572</c:v>
                </c:pt>
                <c:pt idx="54">
                  <c:v>0.10661904761904761</c:v>
                </c:pt>
                <c:pt idx="55">
                  <c:v>5.6521739130434782E-2</c:v>
                </c:pt>
                <c:pt idx="56">
                  <c:v>7.2184615384615389E-2</c:v>
                </c:pt>
                <c:pt idx="57">
                  <c:v>6.8181818181818177E-2</c:v>
                </c:pt>
                <c:pt idx="58">
                  <c:v>7.3147058823529412E-2</c:v>
                </c:pt>
                <c:pt idx="59">
                  <c:v>7.5383561643835612E-2</c:v>
                </c:pt>
                <c:pt idx="60">
                  <c:v>6.9842857142857151E-2</c:v>
                </c:pt>
                <c:pt idx="61">
                  <c:v>8.036666666666667E-2</c:v>
                </c:pt>
                <c:pt idx="62">
                  <c:v>0.18105263157894735</c:v>
                </c:pt>
                <c:pt idx="63">
                  <c:v>7.6193548387096771E-2</c:v>
                </c:pt>
                <c:pt idx="64">
                  <c:v>8.5440677966101705E-2</c:v>
                </c:pt>
                <c:pt idx="65">
                  <c:v>7.6164556962025315E-2</c:v>
                </c:pt>
                <c:pt idx="66">
                  <c:v>7.7168674698795181E-2</c:v>
                </c:pt>
                <c:pt idx="67">
                  <c:v>7.3820895522388061E-2</c:v>
                </c:pt>
                <c:pt idx="68">
                  <c:v>5.7052631578947376E-2</c:v>
                </c:pt>
                <c:pt idx="69">
                  <c:v>0.10855102040816327</c:v>
                </c:pt>
                <c:pt idx="70">
                  <c:v>0.105</c:v>
                </c:pt>
                <c:pt idx="71">
                  <c:v>6.2822222222222224E-2</c:v>
                </c:pt>
                <c:pt idx="72">
                  <c:v>5.3229508196721308E-2</c:v>
                </c:pt>
                <c:pt idx="73">
                  <c:v>6.0474226804123711E-2</c:v>
                </c:pt>
                <c:pt idx="74">
                  <c:v>4.3593333333333331E-2</c:v>
                </c:pt>
                <c:pt idx="75">
                  <c:v>9.8063829787234047E-2</c:v>
                </c:pt>
                <c:pt idx="76">
                  <c:v>0.11051923076923077</c:v>
                </c:pt>
                <c:pt idx="77">
                  <c:v>7.3941176470588232E-2</c:v>
                </c:pt>
                <c:pt idx="78">
                  <c:v>0.12417857142857143</c:v>
                </c:pt>
                <c:pt idx="79">
                  <c:v>9.8924528301886805E-2</c:v>
                </c:pt>
                <c:pt idx="80">
                  <c:v>0.16543333333333335</c:v>
                </c:pt>
                <c:pt idx="81">
                  <c:v>0.11278571428571428</c:v>
                </c:pt>
                <c:pt idx="82">
                  <c:v>0.11386111111111112</c:v>
                </c:pt>
                <c:pt idx="83">
                  <c:v>0.11034615384615386</c:v>
                </c:pt>
                <c:pt idx="84">
                  <c:v>0.1158148148148148</c:v>
                </c:pt>
                <c:pt idx="85">
                  <c:v>0.10315384615384615</c:v>
                </c:pt>
                <c:pt idx="86">
                  <c:v>6.5242424242424241E-2</c:v>
                </c:pt>
                <c:pt idx="87">
                  <c:v>6.286046511627906E-2</c:v>
                </c:pt>
                <c:pt idx="88">
                  <c:v>2.4409090909090912E-2</c:v>
                </c:pt>
                <c:pt idx="89">
                  <c:v>4.2714285714285712E-2</c:v>
                </c:pt>
                <c:pt idx="90">
                  <c:v>0.05</c:v>
                </c:pt>
                <c:pt idx="91">
                  <c:v>4.4509090909090908E-2</c:v>
                </c:pt>
                <c:pt idx="92">
                  <c:v>6.1423423423423419E-2</c:v>
                </c:pt>
                <c:pt idx="93">
                  <c:v>0.14346875000000001</c:v>
                </c:pt>
                <c:pt idx="94">
                  <c:v>6.3853658536585367E-2</c:v>
                </c:pt>
                <c:pt idx="95">
                  <c:v>5.3395833333333337E-2</c:v>
                </c:pt>
                <c:pt idx="96">
                  <c:v>0.1516875</c:v>
                </c:pt>
                <c:pt idx="97">
                  <c:v>9.2189189189189197E-2</c:v>
                </c:pt>
                <c:pt idx="98">
                  <c:v>4.6240506329113924E-2</c:v>
                </c:pt>
                <c:pt idx="99">
                  <c:v>4.0744680851063829E-2</c:v>
                </c:pt>
                <c:pt idx="100">
                  <c:v>4.8924528301886795E-2</c:v>
                </c:pt>
                <c:pt idx="101">
                  <c:v>4.0375000000000001E-2</c:v>
                </c:pt>
                <c:pt idx="102">
                  <c:v>3.468461538461539E-2</c:v>
                </c:pt>
                <c:pt idx="103">
                  <c:v>2.8424083769633509E-2</c:v>
                </c:pt>
                <c:pt idx="104">
                  <c:v>4.8315789473684208E-2</c:v>
                </c:pt>
                <c:pt idx="105">
                  <c:v>3.8940119760479043E-2</c:v>
                </c:pt>
                <c:pt idx="106">
                  <c:v>3.7336448598130845E-2</c:v>
                </c:pt>
                <c:pt idx="107">
                  <c:v>2.3137037037037036E-2</c:v>
                </c:pt>
                <c:pt idx="108">
                  <c:v>3.7364705882352946E-2</c:v>
                </c:pt>
                <c:pt idx="109">
                  <c:v>3.6932038834951456E-2</c:v>
                </c:pt>
                <c:pt idx="110">
                  <c:v>4.657777777777778E-2</c:v>
                </c:pt>
                <c:pt idx="111">
                  <c:v>5.9913043478260875E-2</c:v>
                </c:pt>
                <c:pt idx="112">
                  <c:v>3.4615384615384617E-2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8-D94F-A9FF-00D63732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88960"/>
        <c:axId val="106491264"/>
      </c:scatterChart>
      <c:valAx>
        <c:axId val="106488960"/>
        <c:scaling>
          <c:logBase val="10"/>
          <c:orientation val="minMax"/>
          <c:min val="0.1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V (km3)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6491264"/>
        <c:crossesAt val="1.0000000000000002E-3"/>
        <c:crossBetween val="midCat"/>
      </c:valAx>
      <c:valAx>
        <c:axId val="106491264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H</a:t>
                </a:r>
                <a:r>
                  <a:rPr lang="cs-CZ" baseline="-25000"/>
                  <a:t>max</a:t>
                </a:r>
                <a:r>
                  <a:rPr lang="cs-CZ"/>
                  <a:t>/L</a:t>
                </a:r>
                <a:r>
                  <a:rPr lang="cs-CZ" baseline="-25000"/>
                  <a:t>max (km)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6488960"/>
        <c:crossesAt val="1.0000000000000003E-4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 b="1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ln w="19050">
                <a:solidFill>
                  <a:schemeClr val="tx1"/>
                </a:solidFill>
              </a:ln>
            </c:spPr>
          </c:marker>
          <c:xVal>
            <c:numRef>
              <c:f>List1!$L$3:$L$115</c:f>
              <c:numCache>
                <c:formatCode>General</c:formatCode>
                <c:ptCount val="113"/>
                <c:pt idx="0" formatCode="0">
                  <c:v>8.5</c:v>
                </c:pt>
                <c:pt idx="6" formatCode="0">
                  <c:v>0.6</c:v>
                </c:pt>
                <c:pt idx="8" formatCode="0">
                  <c:v>9</c:v>
                </c:pt>
                <c:pt idx="10" formatCode="0">
                  <c:v>25</c:v>
                </c:pt>
                <c:pt idx="11" formatCode="0">
                  <c:v>59</c:v>
                </c:pt>
                <c:pt idx="13" formatCode="0">
                  <c:v>2.9</c:v>
                </c:pt>
                <c:pt idx="26" formatCode="0">
                  <c:v>7</c:v>
                </c:pt>
                <c:pt idx="40" formatCode="0">
                  <c:v>4.2</c:v>
                </c:pt>
                <c:pt idx="54" formatCode="0">
                  <c:v>50</c:v>
                </c:pt>
                <c:pt idx="55" formatCode="0">
                  <c:v>60</c:v>
                </c:pt>
                <c:pt idx="56" formatCode="0">
                  <c:v>80</c:v>
                </c:pt>
                <c:pt idx="57" formatCode="0">
                  <c:v>34</c:v>
                </c:pt>
                <c:pt idx="58" formatCode="0">
                  <c:v>84</c:v>
                </c:pt>
                <c:pt idx="59" formatCode="0">
                  <c:v>234</c:v>
                </c:pt>
                <c:pt idx="60" formatCode="0">
                  <c:v>130</c:v>
                </c:pt>
                <c:pt idx="61" formatCode="0">
                  <c:v>50</c:v>
                </c:pt>
                <c:pt idx="65" formatCode="0">
                  <c:v>95</c:v>
                </c:pt>
                <c:pt idx="66" formatCode="0">
                  <c:v>650</c:v>
                </c:pt>
                <c:pt idx="71" formatCode="0">
                  <c:v>500</c:v>
                </c:pt>
                <c:pt idx="72" formatCode="0">
                  <c:v>335</c:v>
                </c:pt>
                <c:pt idx="73" formatCode="0">
                  <c:v>1000</c:v>
                </c:pt>
                <c:pt idx="74" formatCode="0">
                  <c:v>120</c:v>
                </c:pt>
                <c:pt idx="76" formatCode="0">
                  <c:v>145</c:v>
                </c:pt>
                <c:pt idx="79" formatCode="0">
                  <c:v>50</c:v>
                </c:pt>
                <c:pt idx="80" formatCode="0">
                  <c:v>150</c:v>
                </c:pt>
                <c:pt idx="92" formatCode="0">
                  <c:v>11000</c:v>
                </c:pt>
                <c:pt idx="107" formatCode="0">
                  <c:v>2500</c:v>
                </c:pt>
                <c:pt idx="110" formatCode="0">
                  <c:v>25</c:v>
                </c:pt>
                <c:pt idx="111" formatCode="0">
                  <c:v>13</c:v>
                </c:pt>
                <c:pt idx="112" formatCode="0">
                  <c:v>2</c:v>
                </c:pt>
              </c:numCache>
            </c:numRef>
          </c:xVal>
          <c:yVal>
            <c:numRef>
              <c:f>List1!$N$3:$N$115</c:f>
              <c:numCache>
                <c:formatCode>#,##0</c:formatCode>
                <c:ptCount val="113"/>
                <c:pt idx="0">
                  <c:v>30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34</c:v>
                </c:pt>
                <c:pt idx="6">
                  <c:v>32</c:v>
                </c:pt>
                <c:pt idx="7">
                  <c:v>59</c:v>
                </c:pt>
                <c:pt idx="8">
                  <c:v>42</c:v>
                </c:pt>
                <c:pt idx="9">
                  <c:v>73</c:v>
                </c:pt>
                <c:pt idx="10">
                  <c:v>58</c:v>
                </c:pt>
                <c:pt idx="11">
                  <c:v>48</c:v>
                </c:pt>
                <c:pt idx="12">
                  <c:v>33</c:v>
                </c:pt>
                <c:pt idx="13">
                  <c:v>27</c:v>
                </c:pt>
                <c:pt idx="14">
                  <c:v>44</c:v>
                </c:pt>
                <c:pt idx="15">
                  <c:v>23</c:v>
                </c:pt>
                <c:pt idx="16">
                  <c:v>37</c:v>
                </c:pt>
                <c:pt idx="17">
                  <c:v>34</c:v>
                </c:pt>
                <c:pt idx="18">
                  <c:v>22</c:v>
                </c:pt>
                <c:pt idx="19">
                  <c:v>25</c:v>
                </c:pt>
                <c:pt idx="20">
                  <c:v>30</c:v>
                </c:pt>
                <c:pt idx="21">
                  <c:v>36</c:v>
                </c:pt>
                <c:pt idx="22">
                  <c:v>32</c:v>
                </c:pt>
                <c:pt idx="23">
                  <c:v>27</c:v>
                </c:pt>
                <c:pt idx="24">
                  <c:v>33</c:v>
                </c:pt>
                <c:pt idx="25">
                  <c:v>57</c:v>
                </c:pt>
                <c:pt idx="26">
                  <c:v>28</c:v>
                </c:pt>
                <c:pt idx="27">
                  <c:v>21</c:v>
                </c:pt>
                <c:pt idx="28">
                  <c:v>27</c:v>
                </c:pt>
                <c:pt idx="29">
                  <c:v>13</c:v>
                </c:pt>
                <c:pt idx="30">
                  <c:v>69</c:v>
                </c:pt>
                <c:pt idx="31">
                  <c:v>10</c:v>
                </c:pt>
                <c:pt idx="32">
                  <c:v>16</c:v>
                </c:pt>
                <c:pt idx="33">
                  <c:v>7</c:v>
                </c:pt>
                <c:pt idx="34">
                  <c:v>16</c:v>
                </c:pt>
                <c:pt idx="35">
                  <c:v>4</c:v>
                </c:pt>
                <c:pt idx="36">
                  <c:v>8</c:v>
                </c:pt>
                <c:pt idx="37">
                  <c:v>12</c:v>
                </c:pt>
                <c:pt idx="38">
                  <c:v>7</c:v>
                </c:pt>
                <c:pt idx="39">
                  <c:v>35</c:v>
                </c:pt>
                <c:pt idx="40">
                  <c:v>75</c:v>
                </c:pt>
                <c:pt idx="41">
                  <c:v>11</c:v>
                </c:pt>
                <c:pt idx="42">
                  <c:v>20</c:v>
                </c:pt>
                <c:pt idx="43">
                  <c:v>21</c:v>
                </c:pt>
                <c:pt idx="44">
                  <c:v>32</c:v>
                </c:pt>
                <c:pt idx="45">
                  <c:v>20</c:v>
                </c:pt>
                <c:pt idx="46">
                  <c:v>31</c:v>
                </c:pt>
                <c:pt idx="47">
                  <c:v>41</c:v>
                </c:pt>
                <c:pt idx="48">
                  <c:v>17</c:v>
                </c:pt>
                <c:pt idx="49">
                  <c:v>44</c:v>
                </c:pt>
                <c:pt idx="50">
                  <c:v>35</c:v>
                </c:pt>
                <c:pt idx="51">
                  <c:v>28</c:v>
                </c:pt>
                <c:pt idx="52">
                  <c:v>35</c:v>
                </c:pt>
                <c:pt idx="53">
                  <c:v>7</c:v>
                </c:pt>
                <c:pt idx="54">
                  <c:v>42</c:v>
                </c:pt>
                <c:pt idx="55">
                  <c:v>92</c:v>
                </c:pt>
                <c:pt idx="56">
                  <c:v>65</c:v>
                </c:pt>
                <c:pt idx="57">
                  <c:v>55</c:v>
                </c:pt>
                <c:pt idx="58">
                  <c:v>68</c:v>
                </c:pt>
                <c:pt idx="59">
                  <c:v>73</c:v>
                </c:pt>
                <c:pt idx="60">
                  <c:v>70</c:v>
                </c:pt>
                <c:pt idx="61">
                  <c:v>60</c:v>
                </c:pt>
                <c:pt idx="62">
                  <c:v>19</c:v>
                </c:pt>
                <c:pt idx="63">
                  <c:v>62</c:v>
                </c:pt>
                <c:pt idx="64">
                  <c:v>59</c:v>
                </c:pt>
                <c:pt idx="65">
                  <c:v>79</c:v>
                </c:pt>
                <c:pt idx="66">
                  <c:v>83</c:v>
                </c:pt>
                <c:pt idx="67">
                  <c:v>67</c:v>
                </c:pt>
                <c:pt idx="68">
                  <c:v>38</c:v>
                </c:pt>
                <c:pt idx="69">
                  <c:v>49</c:v>
                </c:pt>
                <c:pt idx="70">
                  <c:v>41</c:v>
                </c:pt>
                <c:pt idx="71">
                  <c:v>90</c:v>
                </c:pt>
                <c:pt idx="72">
                  <c:v>122</c:v>
                </c:pt>
                <c:pt idx="73">
                  <c:v>97</c:v>
                </c:pt>
                <c:pt idx="74">
                  <c:v>150</c:v>
                </c:pt>
                <c:pt idx="75">
                  <c:v>47</c:v>
                </c:pt>
                <c:pt idx="76">
                  <c:v>52</c:v>
                </c:pt>
                <c:pt idx="77">
                  <c:v>85</c:v>
                </c:pt>
                <c:pt idx="78">
                  <c:v>28</c:v>
                </c:pt>
                <c:pt idx="79">
                  <c:v>53</c:v>
                </c:pt>
                <c:pt idx="80">
                  <c:v>30</c:v>
                </c:pt>
                <c:pt idx="81">
                  <c:v>28</c:v>
                </c:pt>
                <c:pt idx="82">
                  <c:v>36</c:v>
                </c:pt>
                <c:pt idx="83">
                  <c:v>26</c:v>
                </c:pt>
                <c:pt idx="84">
                  <c:v>27</c:v>
                </c:pt>
                <c:pt idx="85">
                  <c:v>26</c:v>
                </c:pt>
                <c:pt idx="86">
                  <c:v>66</c:v>
                </c:pt>
                <c:pt idx="87">
                  <c:v>43</c:v>
                </c:pt>
                <c:pt idx="88">
                  <c:v>22</c:v>
                </c:pt>
                <c:pt idx="89">
                  <c:v>7</c:v>
                </c:pt>
                <c:pt idx="90">
                  <c:v>98</c:v>
                </c:pt>
                <c:pt idx="91">
                  <c:v>110</c:v>
                </c:pt>
                <c:pt idx="92">
                  <c:v>111</c:v>
                </c:pt>
                <c:pt idx="93">
                  <c:v>32</c:v>
                </c:pt>
                <c:pt idx="94">
                  <c:v>82</c:v>
                </c:pt>
                <c:pt idx="95">
                  <c:v>96</c:v>
                </c:pt>
                <c:pt idx="96">
                  <c:v>32</c:v>
                </c:pt>
                <c:pt idx="97">
                  <c:v>37</c:v>
                </c:pt>
                <c:pt idx="98">
                  <c:v>158</c:v>
                </c:pt>
                <c:pt idx="99">
                  <c:v>141</c:v>
                </c:pt>
                <c:pt idx="100">
                  <c:v>106</c:v>
                </c:pt>
                <c:pt idx="101">
                  <c:v>120</c:v>
                </c:pt>
                <c:pt idx="102">
                  <c:v>130</c:v>
                </c:pt>
                <c:pt idx="103">
                  <c:v>191</c:v>
                </c:pt>
                <c:pt idx="104">
                  <c:v>95</c:v>
                </c:pt>
                <c:pt idx="105">
                  <c:v>167</c:v>
                </c:pt>
                <c:pt idx="106">
                  <c:v>107</c:v>
                </c:pt>
                <c:pt idx="107">
                  <c:v>270</c:v>
                </c:pt>
                <c:pt idx="108">
                  <c:v>85</c:v>
                </c:pt>
                <c:pt idx="109">
                  <c:v>103</c:v>
                </c:pt>
                <c:pt idx="110">
                  <c:v>90</c:v>
                </c:pt>
                <c:pt idx="111">
                  <c:v>69</c:v>
                </c:pt>
                <c:pt idx="11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3-734A-99A7-A5722456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4048"/>
        <c:axId val="107665280"/>
      </c:scatterChart>
      <c:valAx>
        <c:axId val="107634048"/>
        <c:scaling>
          <c:logBase val="10"/>
          <c:orientation val="minMax"/>
          <c:min val="0.1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V (km3)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7665280"/>
        <c:crossesAt val="1.0000000000000002E-3"/>
        <c:crossBetween val="midCat"/>
      </c:valAx>
      <c:valAx>
        <c:axId val="107665280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</a:t>
                </a:r>
                <a:r>
                  <a:rPr lang="cs-CZ" baseline="-25000"/>
                  <a:t>max (km)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7634048"/>
        <c:crossesAt val="1.0000000000000003E-4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 b="1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ln w="19050">
                <a:solidFill>
                  <a:schemeClr val="tx1"/>
                </a:solidFill>
              </a:ln>
            </c:spPr>
          </c:marker>
          <c:xVal>
            <c:numRef>
              <c:f>List1!$L$3:$L$115</c:f>
              <c:numCache>
                <c:formatCode>General</c:formatCode>
                <c:ptCount val="113"/>
                <c:pt idx="0" formatCode="0">
                  <c:v>8.5</c:v>
                </c:pt>
                <c:pt idx="6" formatCode="0">
                  <c:v>0.6</c:v>
                </c:pt>
                <c:pt idx="8" formatCode="0">
                  <c:v>9</c:v>
                </c:pt>
                <c:pt idx="10" formatCode="0">
                  <c:v>25</c:v>
                </c:pt>
                <c:pt idx="11" formatCode="0">
                  <c:v>59</c:v>
                </c:pt>
                <c:pt idx="13" formatCode="0">
                  <c:v>2.9</c:v>
                </c:pt>
                <c:pt idx="26" formatCode="0">
                  <c:v>7</c:v>
                </c:pt>
                <c:pt idx="40" formatCode="0">
                  <c:v>4.2</c:v>
                </c:pt>
                <c:pt idx="54" formatCode="0">
                  <c:v>50</c:v>
                </c:pt>
                <c:pt idx="55" formatCode="0">
                  <c:v>60</c:v>
                </c:pt>
                <c:pt idx="56" formatCode="0">
                  <c:v>80</c:v>
                </c:pt>
                <c:pt idx="57" formatCode="0">
                  <c:v>34</c:v>
                </c:pt>
                <c:pt idx="58" formatCode="0">
                  <c:v>84</c:v>
                </c:pt>
                <c:pt idx="59" formatCode="0">
                  <c:v>234</c:v>
                </c:pt>
                <c:pt idx="60" formatCode="0">
                  <c:v>130</c:v>
                </c:pt>
                <c:pt idx="61" formatCode="0">
                  <c:v>50</c:v>
                </c:pt>
                <c:pt idx="65" formatCode="0">
                  <c:v>95</c:v>
                </c:pt>
                <c:pt idx="66" formatCode="0">
                  <c:v>650</c:v>
                </c:pt>
                <c:pt idx="71" formatCode="0">
                  <c:v>500</c:v>
                </c:pt>
                <c:pt idx="72" formatCode="0">
                  <c:v>335</c:v>
                </c:pt>
                <c:pt idx="73" formatCode="0">
                  <c:v>1000</c:v>
                </c:pt>
                <c:pt idx="74" formatCode="0">
                  <c:v>120</c:v>
                </c:pt>
                <c:pt idx="76" formatCode="0">
                  <c:v>145</c:v>
                </c:pt>
                <c:pt idx="79" formatCode="0">
                  <c:v>50</c:v>
                </c:pt>
                <c:pt idx="80" formatCode="0">
                  <c:v>150</c:v>
                </c:pt>
                <c:pt idx="92" formatCode="0">
                  <c:v>11000</c:v>
                </c:pt>
                <c:pt idx="107" formatCode="0">
                  <c:v>2500</c:v>
                </c:pt>
                <c:pt idx="110" formatCode="0">
                  <c:v>25</c:v>
                </c:pt>
                <c:pt idx="111" formatCode="0">
                  <c:v>13</c:v>
                </c:pt>
                <c:pt idx="112" formatCode="0">
                  <c:v>2</c:v>
                </c:pt>
              </c:numCache>
            </c:numRef>
          </c:xVal>
          <c:yVal>
            <c:numRef>
              <c:f>List1!$W$3:$W$115</c:f>
              <c:numCache>
                <c:formatCode>0.0</c:formatCode>
                <c:ptCount val="113"/>
                <c:pt idx="0">
                  <c:v>3.5449999999999999</c:v>
                </c:pt>
                <c:pt idx="1">
                  <c:v>2.9000000000000001E-2</c:v>
                </c:pt>
                <c:pt idx="2">
                  <c:v>2.8000000000000001E-2</c:v>
                </c:pt>
                <c:pt idx="3">
                  <c:v>0.03</c:v>
                </c:pt>
                <c:pt idx="4">
                  <c:v>0.49199999999999999</c:v>
                </c:pt>
                <c:pt idx="5">
                  <c:v>2.556</c:v>
                </c:pt>
                <c:pt idx="6">
                  <c:v>3.492</c:v>
                </c:pt>
                <c:pt idx="7">
                  <c:v>2.9159999999999999</c:v>
                </c:pt>
                <c:pt idx="8">
                  <c:v>3.4350000000000001</c:v>
                </c:pt>
                <c:pt idx="9">
                  <c:v>5.0129999999999999</c:v>
                </c:pt>
                <c:pt idx="10">
                  <c:v>3.8919999999999999</c:v>
                </c:pt>
                <c:pt idx="11">
                  <c:v>2.1360000000000001</c:v>
                </c:pt>
                <c:pt idx="12">
                  <c:v>1.645</c:v>
                </c:pt>
                <c:pt idx="13">
                  <c:v>3.4750000000000001</c:v>
                </c:pt>
                <c:pt idx="14">
                  <c:v>3.8740000000000001</c:v>
                </c:pt>
                <c:pt idx="15">
                  <c:v>3.1059999999999999</c:v>
                </c:pt>
                <c:pt idx="16">
                  <c:v>4.1079999999999997</c:v>
                </c:pt>
                <c:pt idx="17">
                  <c:v>4.4669999999999996</c:v>
                </c:pt>
                <c:pt idx="18">
                  <c:v>4.1319999999999997</c:v>
                </c:pt>
                <c:pt idx="19">
                  <c:v>3.2130000000000001</c:v>
                </c:pt>
                <c:pt idx="20">
                  <c:v>4.5549999999999997</c:v>
                </c:pt>
                <c:pt idx="21">
                  <c:v>4.76</c:v>
                </c:pt>
                <c:pt idx="22">
                  <c:v>4.173</c:v>
                </c:pt>
                <c:pt idx="23">
                  <c:v>3.9889999999999999</c:v>
                </c:pt>
                <c:pt idx="24">
                  <c:v>4.274</c:v>
                </c:pt>
                <c:pt idx="25">
                  <c:v>4.452</c:v>
                </c:pt>
                <c:pt idx="26">
                  <c:v>2.2040000000000002</c:v>
                </c:pt>
                <c:pt idx="27">
                  <c:v>2.0939999999999999</c:v>
                </c:pt>
                <c:pt idx="28">
                  <c:v>2.4710000000000001</c:v>
                </c:pt>
                <c:pt idx="29">
                  <c:v>1.792</c:v>
                </c:pt>
                <c:pt idx="30">
                  <c:v>3.72</c:v>
                </c:pt>
                <c:pt idx="31">
                  <c:v>1.37</c:v>
                </c:pt>
                <c:pt idx="32">
                  <c:v>1.669</c:v>
                </c:pt>
                <c:pt idx="33">
                  <c:v>0.504</c:v>
                </c:pt>
                <c:pt idx="34">
                  <c:v>1.802</c:v>
                </c:pt>
                <c:pt idx="35">
                  <c:v>0.76100000000000001</c:v>
                </c:pt>
                <c:pt idx="36">
                  <c:v>0.97699999999999998</c:v>
                </c:pt>
                <c:pt idx="37">
                  <c:v>0.81499999999999995</c:v>
                </c:pt>
                <c:pt idx="38">
                  <c:v>0.99399999999999999</c:v>
                </c:pt>
                <c:pt idx="39">
                  <c:v>2.1440000000000001</c:v>
                </c:pt>
                <c:pt idx="40">
                  <c:v>1.9159999999999999</c:v>
                </c:pt>
                <c:pt idx="41">
                  <c:v>2.0680000000000001</c:v>
                </c:pt>
                <c:pt idx="42">
                  <c:v>1.607</c:v>
                </c:pt>
                <c:pt idx="43">
                  <c:v>1.4890000000000001</c:v>
                </c:pt>
                <c:pt idx="44">
                  <c:v>1.276</c:v>
                </c:pt>
                <c:pt idx="45">
                  <c:v>2.7450000000000001</c:v>
                </c:pt>
                <c:pt idx="46">
                  <c:v>2.843</c:v>
                </c:pt>
                <c:pt idx="47">
                  <c:v>2.9489999999999998</c:v>
                </c:pt>
                <c:pt idx="48">
                  <c:v>1.8520000000000001</c:v>
                </c:pt>
                <c:pt idx="49">
                  <c:v>3.0190000000000001</c:v>
                </c:pt>
                <c:pt idx="50">
                  <c:v>3.2120000000000002</c:v>
                </c:pt>
                <c:pt idx="51">
                  <c:v>2.802</c:v>
                </c:pt>
                <c:pt idx="52">
                  <c:v>3.0030000000000001</c:v>
                </c:pt>
                <c:pt idx="53">
                  <c:v>0.76100000000000001</c:v>
                </c:pt>
                <c:pt idx="54">
                  <c:v>4.4779999999999998</c:v>
                </c:pt>
                <c:pt idx="55">
                  <c:v>5.2</c:v>
                </c:pt>
                <c:pt idx="56">
                  <c:v>4.6920000000000002</c:v>
                </c:pt>
                <c:pt idx="57">
                  <c:v>3.75</c:v>
                </c:pt>
                <c:pt idx="58">
                  <c:v>4.9740000000000002</c:v>
                </c:pt>
                <c:pt idx="59">
                  <c:v>5.5030000000000001</c:v>
                </c:pt>
                <c:pt idx="60">
                  <c:v>4.8890000000000002</c:v>
                </c:pt>
                <c:pt idx="61">
                  <c:v>4.8220000000000001</c:v>
                </c:pt>
                <c:pt idx="62">
                  <c:v>3.44</c:v>
                </c:pt>
                <c:pt idx="63">
                  <c:v>4.7240000000000002</c:v>
                </c:pt>
                <c:pt idx="64">
                  <c:v>5.0410000000000004</c:v>
                </c:pt>
                <c:pt idx="65">
                  <c:v>6.0170000000000003</c:v>
                </c:pt>
                <c:pt idx="66">
                  <c:v>6.4050000000000002</c:v>
                </c:pt>
                <c:pt idx="67">
                  <c:v>4.9459999999999997</c:v>
                </c:pt>
                <c:pt idx="68">
                  <c:v>2.1680000000000001</c:v>
                </c:pt>
                <c:pt idx="69">
                  <c:v>5.319</c:v>
                </c:pt>
                <c:pt idx="70">
                  <c:v>4.3049999999999997</c:v>
                </c:pt>
                <c:pt idx="71">
                  <c:v>5.6539999999999999</c:v>
                </c:pt>
                <c:pt idx="72">
                  <c:v>6.4939999999999998</c:v>
                </c:pt>
                <c:pt idx="73">
                  <c:v>5.8659999999999997</c:v>
                </c:pt>
                <c:pt idx="74">
                  <c:v>6.5389999999999997</c:v>
                </c:pt>
                <c:pt idx="75">
                  <c:v>4.609</c:v>
                </c:pt>
                <c:pt idx="76">
                  <c:v>5.7469999999999999</c:v>
                </c:pt>
                <c:pt idx="77">
                  <c:v>6.2850000000000001</c:v>
                </c:pt>
                <c:pt idx="78">
                  <c:v>3.4769999999999999</c:v>
                </c:pt>
                <c:pt idx="79">
                  <c:v>5.2430000000000003</c:v>
                </c:pt>
                <c:pt idx="80">
                  <c:v>4.9630000000000001</c:v>
                </c:pt>
                <c:pt idx="81">
                  <c:v>3.1579999999999999</c:v>
                </c:pt>
                <c:pt idx="82">
                  <c:v>4.0990000000000002</c:v>
                </c:pt>
                <c:pt idx="83">
                  <c:v>2.8690000000000002</c:v>
                </c:pt>
                <c:pt idx="84">
                  <c:v>3.1269999999999998</c:v>
                </c:pt>
                <c:pt idx="85">
                  <c:v>2.6819999999999999</c:v>
                </c:pt>
                <c:pt idx="86">
                  <c:v>4.306</c:v>
                </c:pt>
                <c:pt idx="87">
                  <c:v>2.7029999999999998</c:v>
                </c:pt>
                <c:pt idx="88">
                  <c:v>0.53700000000000003</c:v>
                </c:pt>
                <c:pt idx="89">
                  <c:v>0.29899999999999999</c:v>
                </c:pt>
                <c:pt idx="90">
                  <c:v>4.9000000000000004</c:v>
                </c:pt>
                <c:pt idx="91">
                  <c:v>4.8959999999999999</c:v>
                </c:pt>
                <c:pt idx="92">
                  <c:v>6.8179999999999996</c:v>
                </c:pt>
                <c:pt idx="93">
                  <c:v>4.5910000000000002</c:v>
                </c:pt>
                <c:pt idx="94">
                  <c:v>5.2359999999999998</c:v>
                </c:pt>
                <c:pt idx="95">
                  <c:v>5.1260000000000003</c:v>
                </c:pt>
                <c:pt idx="96">
                  <c:v>4.8540000000000001</c:v>
                </c:pt>
                <c:pt idx="97">
                  <c:v>3.411</c:v>
                </c:pt>
                <c:pt idx="98">
                  <c:v>7.306</c:v>
                </c:pt>
                <c:pt idx="99">
                  <c:v>5.7450000000000001</c:v>
                </c:pt>
                <c:pt idx="100">
                  <c:v>5.1859999999999999</c:v>
                </c:pt>
                <c:pt idx="101">
                  <c:v>4.8449999999999998</c:v>
                </c:pt>
                <c:pt idx="102">
                  <c:v>4.5090000000000003</c:v>
                </c:pt>
                <c:pt idx="103">
                  <c:v>5.4290000000000003</c:v>
                </c:pt>
                <c:pt idx="104">
                  <c:v>4.59</c:v>
                </c:pt>
                <c:pt idx="105">
                  <c:v>6.5030000000000001</c:v>
                </c:pt>
                <c:pt idx="106">
                  <c:v>3.9950000000000001</c:v>
                </c:pt>
                <c:pt idx="107">
                  <c:v>6.2469999999999999</c:v>
                </c:pt>
                <c:pt idx="108">
                  <c:v>3.1760000000000002</c:v>
                </c:pt>
                <c:pt idx="109">
                  <c:v>3.8039999999999998</c:v>
                </c:pt>
                <c:pt idx="110">
                  <c:v>4.1920000000000002</c:v>
                </c:pt>
                <c:pt idx="111">
                  <c:v>4.1340000000000003</c:v>
                </c:pt>
                <c:pt idx="11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4-3A45-9C10-069C20E8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2400"/>
        <c:axId val="113311744"/>
      </c:scatterChart>
      <c:valAx>
        <c:axId val="108582400"/>
        <c:scaling>
          <c:logBase val="10"/>
          <c:orientation val="minMax"/>
          <c:min val="0.1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V (km3)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3311744"/>
        <c:crossesAt val="1.0000000000000002E-2"/>
        <c:crossBetween val="midCat"/>
      </c:valAx>
      <c:valAx>
        <c:axId val="113311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 baseline="0"/>
                  <a:t>H</a:t>
                </a:r>
                <a:r>
                  <a:rPr lang="cs-CZ" baseline="-25000"/>
                  <a:t>max (km)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8582400"/>
        <c:crossesAt val="1.0000000000000003E-4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 b="1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ln w="1905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662237704083737"/>
                  <c:y val="-5.9555136274610655E-2"/>
                </c:manualLayout>
              </c:layout>
              <c:numFmt formatCode="General" sourceLinked="0"/>
            </c:trendlineLbl>
          </c:trendline>
          <c:xVal>
            <c:numRef>
              <c:f>List1!$L$3:$L$115</c:f>
              <c:numCache>
                <c:formatCode>General</c:formatCode>
                <c:ptCount val="113"/>
                <c:pt idx="0" formatCode="0">
                  <c:v>8.5</c:v>
                </c:pt>
                <c:pt idx="6" formatCode="0">
                  <c:v>0.6</c:v>
                </c:pt>
                <c:pt idx="8" formatCode="0">
                  <c:v>9</c:v>
                </c:pt>
                <c:pt idx="10" formatCode="0">
                  <c:v>25</c:v>
                </c:pt>
                <c:pt idx="11" formatCode="0">
                  <c:v>59</c:v>
                </c:pt>
                <c:pt idx="13" formatCode="0">
                  <c:v>2.9</c:v>
                </c:pt>
                <c:pt idx="26" formatCode="0">
                  <c:v>7</c:v>
                </c:pt>
                <c:pt idx="40" formatCode="0">
                  <c:v>4.2</c:v>
                </c:pt>
                <c:pt idx="54" formatCode="0">
                  <c:v>50</c:v>
                </c:pt>
                <c:pt idx="55" formatCode="0">
                  <c:v>60</c:v>
                </c:pt>
                <c:pt idx="56" formatCode="0">
                  <c:v>80</c:v>
                </c:pt>
                <c:pt idx="57" formatCode="0">
                  <c:v>34</c:v>
                </c:pt>
                <c:pt idx="58" formatCode="0">
                  <c:v>84</c:v>
                </c:pt>
                <c:pt idx="59" formatCode="0">
                  <c:v>234</c:v>
                </c:pt>
                <c:pt idx="60" formatCode="0">
                  <c:v>130</c:v>
                </c:pt>
                <c:pt idx="61" formatCode="0">
                  <c:v>50</c:v>
                </c:pt>
                <c:pt idx="65" formatCode="0">
                  <c:v>95</c:v>
                </c:pt>
                <c:pt idx="66" formatCode="0">
                  <c:v>650</c:v>
                </c:pt>
                <c:pt idx="71" formatCode="0">
                  <c:v>500</c:v>
                </c:pt>
                <c:pt idx="72" formatCode="0">
                  <c:v>335</c:v>
                </c:pt>
                <c:pt idx="73" formatCode="0">
                  <c:v>1000</c:v>
                </c:pt>
                <c:pt idx="74" formatCode="0">
                  <c:v>120</c:v>
                </c:pt>
                <c:pt idx="76" formatCode="0">
                  <c:v>145</c:v>
                </c:pt>
                <c:pt idx="79" formatCode="0">
                  <c:v>50</c:v>
                </c:pt>
                <c:pt idx="80" formatCode="0">
                  <c:v>150</c:v>
                </c:pt>
                <c:pt idx="92" formatCode="0">
                  <c:v>11000</c:v>
                </c:pt>
                <c:pt idx="107" formatCode="0">
                  <c:v>2500</c:v>
                </c:pt>
                <c:pt idx="110" formatCode="0">
                  <c:v>25</c:v>
                </c:pt>
                <c:pt idx="111" formatCode="0">
                  <c:v>13</c:v>
                </c:pt>
                <c:pt idx="112" formatCode="0">
                  <c:v>2</c:v>
                </c:pt>
              </c:numCache>
            </c:numRef>
          </c:xVal>
          <c:yVal>
            <c:numRef>
              <c:f>List1!$M$3:$M$115</c:f>
              <c:numCache>
                <c:formatCode>#,##0</c:formatCode>
                <c:ptCount val="113"/>
                <c:pt idx="0">
                  <c:v>306</c:v>
                </c:pt>
                <c:pt idx="1">
                  <c:v>39</c:v>
                </c:pt>
                <c:pt idx="2">
                  <c:v>29</c:v>
                </c:pt>
                <c:pt idx="3">
                  <c:v>81</c:v>
                </c:pt>
                <c:pt idx="4">
                  <c:v>267</c:v>
                </c:pt>
                <c:pt idx="5">
                  <c:v>293</c:v>
                </c:pt>
                <c:pt idx="6">
                  <c:v>274</c:v>
                </c:pt>
                <c:pt idx="7">
                  <c:v>683</c:v>
                </c:pt>
                <c:pt idx="8">
                  <c:v>576</c:v>
                </c:pt>
                <c:pt idx="9">
                  <c:v>2264</c:v>
                </c:pt>
                <c:pt idx="10">
                  <c:v>755</c:v>
                </c:pt>
                <c:pt idx="11">
                  <c:v>527</c:v>
                </c:pt>
                <c:pt idx="12">
                  <c:v>601</c:v>
                </c:pt>
                <c:pt idx="13">
                  <c:v>284</c:v>
                </c:pt>
                <c:pt idx="14">
                  <c:v>535</c:v>
                </c:pt>
                <c:pt idx="15">
                  <c:v>162</c:v>
                </c:pt>
                <c:pt idx="16">
                  <c:v>307</c:v>
                </c:pt>
                <c:pt idx="17">
                  <c:v>546</c:v>
                </c:pt>
                <c:pt idx="18">
                  <c:v>186</c:v>
                </c:pt>
                <c:pt idx="19">
                  <c:v>170</c:v>
                </c:pt>
                <c:pt idx="20">
                  <c:v>247</c:v>
                </c:pt>
                <c:pt idx="21">
                  <c:v>333</c:v>
                </c:pt>
                <c:pt idx="22">
                  <c:v>215</c:v>
                </c:pt>
                <c:pt idx="23">
                  <c:v>202</c:v>
                </c:pt>
                <c:pt idx="24">
                  <c:v>266</c:v>
                </c:pt>
                <c:pt idx="25">
                  <c:v>1360</c:v>
                </c:pt>
                <c:pt idx="26">
                  <c:v>321</c:v>
                </c:pt>
                <c:pt idx="27">
                  <c:v>162</c:v>
                </c:pt>
                <c:pt idx="28">
                  <c:v>261</c:v>
                </c:pt>
                <c:pt idx="29">
                  <c:v>63</c:v>
                </c:pt>
                <c:pt idx="30">
                  <c:v>1268</c:v>
                </c:pt>
                <c:pt idx="31">
                  <c:v>66</c:v>
                </c:pt>
                <c:pt idx="32">
                  <c:v>92</c:v>
                </c:pt>
                <c:pt idx="33">
                  <c:v>29</c:v>
                </c:pt>
                <c:pt idx="34">
                  <c:v>261</c:v>
                </c:pt>
                <c:pt idx="35">
                  <c:v>24</c:v>
                </c:pt>
                <c:pt idx="36">
                  <c:v>47</c:v>
                </c:pt>
                <c:pt idx="37">
                  <c:v>122</c:v>
                </c:pt>
                <c:pt idx="38">
                  <c:v>32</c:v>
                </c:pt>
                <c:pt idx="39">
                  <c:v>725</c:v>
                </c:pt>
                <c:pt idx="40">
                  <c:v>782</c:v>
                </c:pt>
                <c:pt idx="41">
                  <c:v>108</c:v>
                </c:pt>
                <c:pt idx="42">
                  <c:v>293</c:v>
                </c:pt>
                <c:pt idx="43">
                  <c:v>77</c:v>
                </c:pt>
                <c:pt idx="44">
                  <c:v>436</c:v>
                </c:pt>
                <c:pt idx="45">
                  <c:v>365</c:v>
                </c:pt>
                <c:pt idx="46">
                  <c:v>276</c:v>
                </c:pt>
                <c:pt idx="47">
                  <c:v>571</c:v>
                </c:pt>
                <c:pt idx="48">
                  <c:v>420</c:v>
                </c:pt>
                <c:pt idx="49">
                  <c:v>604</c:v>
                </c:pt>
                <c:pt idx="50">
                  <c:v>285</c:v>
                </c:pt>
                <c:pt idx="51">
                  <c:v>184</c:v>
                </c:pt>
                <c:pt idx="52">
                  <c:v>760</c:v>
                </c:pt>
                <c:pt idx="53">
                  <c:v>24</c:v>
                </c:pt>
                <c:pt idx="54">
                  <c:v>723</c:v>
                </c:pt>
                <c:pt idx="55">
                  <c:v>1265</c:v>
                </c:pt>
                <c:pt idx="56">
                  <c:v>1086</c:v>
                </c:pt>
                <c:pt idx="57">
                  <c:v>797</c:v>
                </c:pt>
                <c:pt idx="58">
                  <c:v>1186</c:v>
                </c:pt>
                <c:pt idx="59">
                  <c:v>1948</c:v>
                </c:pt>
                <c:pt idx="60">
                  <c:v>2044</c:v>
                </c:pt>
                <c:pt idx="61">
                  <c:v>1151</c:v>
                </c:pt>
                <c:pt idx="62">
                  <c:v>53</c:v>
                </c:pt>
                <c:pt idx="63">
                  <c:v>2213</c:v>
                </c:pt>
                <c:pt idx="64">
                  <c:v>1979</c:v>
                </c:pt>
                <c:pt idx="65">
                  <c:v>1191</c:v>
                </c:pt>
                <c:pt idx="66">
                  <c:v>3435</c:v>
                </c:pt>
                <c:pt idx="67">
                  <c:v>1762</c:v>
                </c:pt>
                <c:pt idx="68">
                  <c:v>994</c:v>
                </c:pt>
                <c:pt idx="69">
                  <c:v>1125</c:v>
                </c:pt>
                <c:pt idx="70">
                  <c:v>385</c:v>
                </c:pt>
                <c:pt idx="71">
                  <c:v>2779</c:v>
                </c:pt>
                <c:pt idx="72">
                  <c:v>2002</c:v>
                </c:pt>
                <c:pt idx="73">
                  <c:v>2717</c:v>
                </c:pt>
                <c:pt idx="74">
                  <c:v>4487</c:v>
                </c:pt>
                <c:pt idx="75">
                  <c:v>406</c:v>
                </c:pt>
                <c:pt idx="76">
                  <c:v>1049</c:v>
                </c:pt>
                <c:pt idx="77">
                  <c:v>2298</c:v>
                </c:pt>
                <c:pt idx="78">
                  <c:v>493</c:v>
                </c:pt>
                <c:pt idx="79">
                  <c:v>1639</c:v>
                </c:pt>
                <c:pt idx="80">
                  <c:v>631</c:v>
                </c:pt>
                <c:pt idx="81">
                  <c:v>328</c:v>
                </c:pt>
                <c:pt idx="82">
                  <c:v>591</c:v>
                </c:pt>
                <c:pt idx="83">
                  <c:v>246</c:v>
                </c:pt>
                <c:pt idx="84">
                  <c:v>363</c:v>
                </c:pt>
                <c:pt idx="85">
                  <c:v>369</c:v>
                </c:pt>
                <c:pt idx="86">
                  <c:v>1938</c:v>
                </c:pt>
                <c:pt idx="87">
                  <c:v>949</c:v>
                </c:pt>
                <c:pt idx="88">
                  <c:v>100</c:v>
                </c:pt>
                <c:pt idx="89">
                  <c:v>25</c:v>
                </c:pt>
                <c:pt idx="90">
                  <c:v>2091</c:v>
                </c:pt>
                <c:pt idx="91">
                  <c:v>1917</c:v>
                </c:pt>
                <c:pt idx="92">
                  <c:v>6913</c:v>
                </c:pt>
                <c:pt idx="93">
                  <c:v>837</c:v>
                </c:pt>
                <c:pt idx="94">
                  <c:v>1222</c:v>
                </c:pt>
                <c:pt idx="95">
                  <c:v>1236</c:v>
                </c:pt>
                <c:pt idx="96">
                  <c:v>2306</c:v>
                </c:pt>
                <c:pt idx="97">
                  <c:v>335</c:v>
                </c:pt>
                <c:pt idx="98">
                  <c:v>4759</c:v>
                </c:pt>
                <c:pt idx="99">
                  <c:v>3389</c:v>
                </c:pt>
                <c:pt idx="100">
                  <c:v>3418</c:v>
                </c:pt>
                <c:pt idx="101">
                  <c:v>12361</c:v>
                </c:pt>
                <c:pt idx="102">
                  <c:v>9088</c:v>
                </c:pt>
                <c:pt idx="103">
                  <c:v>8207</c:v>
                </c:pt>
                <c:pt idx="104">
                  <c:v>5996</c:v>
                </c:pt>
                <c:pt idx="105">
                  <c:v>8976</c:v>
                </c:pt>
                <c:pt idx="106">
                  <c:v>4803</c:v>
                </c:pt>
                <c:pt idx="107">
                  <c:v>29241</c:v>
                </c:pt>
                <c:pt idx="108">
                  <c:v>6847</c:v>
                </c:pt>
                <c:pt idx="109">
                  <c:v>3538</c:v>
                </c:pt>
                <c:pt idx="110">
                  <c:v>2014</c:v>
                </c:pt>
                <c:pt idx="111">
                  <c:v>852</c:v>
                </c:pt>
                <c:pt idx="11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F-6A4D-860C-052BBE48A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61664"/>
        <c:axId val="113363584"/>
      </c:scatterChart>
      <c:valAx>
        <c:axId val="113361664"/>
        <c:scaling>
          <c:logBase val="10"/>
          <c:orientation val="minMax"/>
          <c:min val="0.1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V (km3)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3363584"/>
        <c:crossesAt val="1.0000000000000002E-2"/>
        <c:crossBetween val="midCat"/>
      </c:valAx>
      <c:valAx>
        <c:axId val="113363584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 baseline="0"/>
                  <a:t>A (km2)</a:t>
                </a:r>
                <a:endParaRPr lang="cs-CZ" baseline="-25000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3361664"/>
        <c:crossesAt val="1.0000000000000003E-4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 b="1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9564091531117392"/>
                  <c:y val="-0.14398681082037904"/>
                </c:manualLayout>
              </c:layout>
              <c:numFmt formatCode="General" sourceLinked="0"/>
            </c:trendlineLbl>
          </c:trendline>
          <c:xVal>
            <c:numRef>
              <c:f>List1!$F$3:$F$115</c:f>
              <c:numCache>
                <c:formatCode>General</c:formatCode>
                <c:ptCount val="113"/>
                <c:pt idx="0" formatCode="0.0">
                  <c:v>0.1</c:v>
                </c:pt>
                <c:pt idx="11">
                  <c:v>5.5</c:v>
                </c:pt>
                <c:pt idx="14" formatCode="0.0">
                  <c:v>6.5</c:v>
                </c:pt>
                <c:pt idx="15" formatCode="0.0">
                  <c:v>6.5</c:v>
                </c:pt>
                <c:pt idx="16" formatCode="0.0">
                  <c:v>6.5</c:v>
                </c:pt>
                <c:pt idx="19" formatCode="0.0">
                  <c:v>12</c:v>
                </c:pt>
                <c:pt idx="20" formatCode="0.0">
                  <c:v>12</c:v>
                </c:pt>
                <c:pt idx="21" formatCode="0.0">
                  <c:v>12</c:v>
                </c:pt>
                <c:pt idx="22" formatCode="0.0">
                  <c:v>12</c:v>
                </c:pt>
                <c:pt idx="23" formatCode="0.0">
                  <c:v>9.3000000000000007</c:v>
                </c:pt>
                <c:pt idx="24" formatCode="0.0">
                  <c:v>9.3000000000000007</c:v>
                </c:pt>
                <c:pt idx="25" formatCode="0.0">
                  <c:v>9.3000000000000007</c:v>
                </c:pt>
                <c:pt idx="45" formatCode="0.0">
                  <c:v>9.4</c:v>
                </c:pt>
                <c:pt idx="46" formatCode="0.0">
                  <c:v>9.4</c:v>
                </c:pt>
                <c:pt idx="47" formatCode="0.0">
                  <c:v>9.4</c:v>
                </c:pt>
                <c:pt idx="48" formatCode="0.0">
                  <c:v>9.4</c:v>
                </c:pt>
                <c:pt idx="49" formatCode="0.0">
                  <c:v>9.4</c:v>
                </c:pt>
                <c:pt idx="50" formatCode="0.0">
                  <c:v>9.4</c:v>
                </c:pt>
                <c:pt idx="51" formatCode="0.0">
                  <c:v>9.4</c:v>
                </c:pt>
                <c:pt idx="52" formatCode="0.0">
                  <c:v>9.4</c:v>
                </c:pt>
                <c:pt idx="53" formatCode="0.0">
                  <c:v>9.4</c:v>
                </c:pt>
                <c:pt idx="54" formatCode="0.0">
                  <c:v>15</c:v>
                </c:pt>
                <c:pt idx="55" formatCode="0.0">
                  <c:v>15</c:v>
                </c:pt>
                <c:pt idx="56" formatCode="0.0">
                  <c:v>15</c:v>
                </c:pt>
                <c:pt idx="57" formatCode="0.0">
                  <c:v>15</c:v>
                </c:pt>
                <c:pt idx="58" formatCode="0.0">
                  <c:v>1.1000000000000001</c:v>
                </c:pt>
                <c:pt idx="59" formatCode="0.0">
                  <c:v>1.1000000000000001</c:v>
                </c:pt>
                <c:pt idx="60" formatCode="0.0">
                  <c:v>1.1000000000000001</c:v>
                </c:pt>
                <c:pt idx="61" formatCode="0.0">
                  <c:v>1.1000000000000001</c:v>
                </c:pt>
                <c:pt idx="62" formatCode="0.0">
                  <c:v>1.1000000000000001</c:v>
                </c:pt>
                <c:pt idx="63" formatCode="0.0">
                  <c:v>1.1000000000000001</c:v>
                </c:pt>
                <c:pt idx="64" formatCode="0.0">
                  <c:v>1.1000000000000001</c:v>
                </c:pt>
                <c:pt idx="65" formatCode="0.0">
                  <c:v>1.7</c:v>
                </c:pt>
                <c:pt idx="66" formatCode="0.0">
                  <c:v>1.7</c:v>
                </c:pt>
                <c:pt idx="67" formatCode="0.0">
                  <c:v>1.7</c:v>
                </c:pt>
                <c:pt idx="69" formatCode="0.0">
                  <c:v>12</c:v>
                </c:pt>
                <c:pt idx="70" formatCode="0.0">
                  <c:v>12</c:v>
                </c:pt>
                <c:pt idx="71" formatCode="0.0">
                  <c:v>12</c:v>
                </c:pt>
                <c:pt idx="72" formatCode="0.0">
                  <c:v>12</c:v>
                </c:pt>
                <c:pt idx="73" formatCode="0.0">
                  <c:v>12</c:v>
                </c:pt>
                <c:pt idx="74" formatCode="0.0">
                  <c:v>12</c:v>
                </c:pt>
                <c:pt idx="75" formatCode="0.0">
                  <c:v>12</c:v>
                </c:pt>
                <c:pt idx="76" formatCode="0.0">
                  <c:v>3</c:v>
                </c:pt>
                <c:pt idx="77" formatCode="0.0">
                  <c:v>3</c:v>
                </c:pt>
                <c:pt idx="79" formatCode="0.0">
                  <c:v>7.5</c:v>
                </c:pt>
                <c:pt idx="80" formatCode="0.0">
                  <c:v>7.5</c:v>
                </c:pt>
                <c:pt idx="87" formatCode="0.0">
                  <c:v>6.6</c:v>
                </c:pt>
                <c:pt idx="90" formatCode="0.0">
                  <c:v>0.43</c:v>
                </c:pt>
                <c:pt idx="91" formatCode="0.0">
                  <c:v>0.43</c:v>
                </c:pt>
                <c:pt idx="92" formatCode="0.0">
                  <c:v>0.43</c:v>
                </c:pt>
                <c:pt idx="93" formatCode="0.0">
                  <c:v>0.43</c:v>
                </c:pt>
                <c:pt idx="94" formatCode="0.0">
                  <c:v>0.43</c:v>
                </c:pt>
                <c:pt idx="95" formatCode="0.0">
                  <c:v>0.43</c:v>
                </c:pt>
                <c:pt idx="96" formatCode="0.0">
                  <c:v>0.43</c:v>
                </c:pt>
                <c:pt idx="97" formatCode="0.0">
                  <c:v>0.43</c:v>
                </c:pt>
                <c:pt idx="98" formatCode="0.0">
                  <c:v>0.43</c:v>
                </c:pt>
                <c:pt idx="99" formatCode="0.0">
                  <c:v>0.43</c:v>
                </c:pt>
                <c:pt idx="100" formatCode="0.0">
                  <c:v>0.43</c:v>
                </c:pt>
                <c:pt idx="101" formatCode="0.0">
                  <c:v>5.0999999999999996</c:v>
                </c:pt>
                <c:pt idx="102" formatCode="0.0">
                  <c:v>5.0999999999999996</c:v>
                </c:pt>
                <c:pt idx="103" formatCode="0.0">
                  <c:v>1.3</c:v>
                </c:pt>
                <c:pt idx="105" formatCode="0.0">
                  <c:v>1.9</c:v>
                </c:pt>
                <c:pt idx="106" formatCode="0.0">
                  <c:v>3.7</c:v>
                </c:pt>
                <c:pt idx="107" formatCode="0.0">
                  <c:v>3.7</c:v>
                </c:pt>
                <c:pt idx="108" formatCode="0.0">
                  <c:v>3.7</c:v>
                </c:pt>
              </c:numCache>
            </c:numRef>
          </c:xVal>
          <c:yVal>
            <c:numRef>
              <c:f>List1!$J$3:$J$115</c:f>
              <c:numCache>
                <c:formatCode>General</c:formatCode>
                <c:ptCount val="113"/>
                <c:pt idx="0" formatCode="0.00">
                  <c:v>5.0000000000000001E-3</c:v>
                </c:pt>
                <c:pt idx="26" formatCode="0.00">
                  <c:v>7.0000000000000007E-2</c:v>
                </c:pt>
                <c:pt idx="30" formatCode="0.00">
                  <c:v>0.62850000000000006</c:v>
                </c:pt>
                <c:pt idx="40" formatCode="0.00">
                  <c:v>1E-4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9</c:v>
                </c:pt>
                <c:pt idx="54" formatCode="0.00">
                  <c:v>14.5</c:v>
                </c:pt>
                <c:pt idx="55" formatCode="0.00">
                  <c:v>13.5</c:v>
                </c:pt>
                <c:pt idx="56" formatCode="0.00">
                  <c:v>14.5</c:v>
                </c:pt>
                <c:pt idx="57" formatCode="0.00">
                  <c:v>10.25</c:v>
                </c:pt>
                <c:pt idx="58" formatCode="0.00">
                  <c:v>6.3E-2</c:v>
                </c:pt>
                <c:pt idx="59" formatCode="0.00">
                  <c:v>6.3E-2</c:v>
                </c:pt>
                <c:pt idx="60" formatCode="0.00">
                  <c:v>0.4</c:v>
                </c:pt>
                <c:pt idx="61" formatCode="0.00">
                  <c:v>0.16049999999999998</c:v>
                </c:pt>
                <c:pt idx="63" formatCode="0.00">
                  <c:v>0.36050000000000004</c:v>
                </c:pt>
                <c:pt idx="64" formatCode="0.00">
                  <c:v>0.96</c:v>
                </c:pt>
                <c:pt idx="65" formatCode="0.00">
                  <c:v>0.33050000000000002</c:v>
                </c:pt>
                <c:pt idx="66" formatCode="0.00">
                  <c:v>0.9</c:v>
                </c:pt>
                <c:pt idx="67">
                  <c:v>0</c:v>
                </c:pt>
                <c:pt idx="69" formatCode="0.00">
                  <c:v>0.73299999999999998</c:v>
                </c:pt>
                <c:pt idx="70">
                  <c:v>4.4000000000000004</c:v>
                </c:pt>
                <c:pt idx="71" formatCode="0.00">
                  <c:v>0.81</c:v>
                </c:pt>
                <c:pt idx="72" formatCode="0.00">
                  <c:v>0.16</c:v>
                </c:pt>
                <c:pt idx="73" formatCode="0.00">
                  <c:v>0.52950000000000008</c:v>
                </c:pt>
                <c:pt idx="74" formatCode="0.00">
                  <c:v>1.3</c:v>
                </c:pt>
                <c:pt idx="75">
                  <c:v>6.15</c:v>
                </c:pt>
                <c:pt idx="76" formatCode="0.00">
                  <c:v>0.08</c:v>
                </c:pt>
                <c:pt idx="79" formatCode="0.00">
                  <c:v>0.3</c:v>
                </c:pt>
                <c:pt idx="80" formatCode="0.00">
                  <c:v>0.5</c:v>
                </c:pt>
                <c:pt idx="87" formatCode="0.00">
                  <c:v>6.5</c:v>
                </c:pt>
                <c:pt idx="92" formatCode="0.00">
                  <c:v>5.5E-2</c:v>
                </c:pt>
                <c:pt idx="97" formatCode="0.00">
                  <c:v>5.0000000000000001E-3</c:v>
                </c:pt>
                <c:pt idx="98" formatCode="0.00">
                  <c:v>0.28000000000000003</c:v>
                </c:pt>
                <c:pt idx="99" formatCode="0.00">
                  <c:v>0.15</c:v>
                </c:pt>
                <c:pt idx="101" formatCode="0.00">
                  <c:v>5</c:v>
                </c:pt>
                <c:pt idx="102" formatCode="0.00">
                  <c:v>5</c:v>
                </c:pt>
                <c:pt idx="103" formatCode="0.00">
                  <c:v>1.3</c:v>
                </c:pt>
                <c:pt idx="105" formatCode="0.00">
                  <c:v>1</c:v>
                </c:pt>
                <c:pt idx="106" formatCode="0.00">
                  <c:v>3.6</c:v>
                </c:pt>
                <c:pt idx="107" formatCode="0.00">
                  <c:v>2.15</c:v>
                </c:pt>
                <c:pt idx="108" formatCode="0.00">
                  <c:v>3</c:v>
                </c:pt>
                <c:pt idx="109" formatCode="0.00">
                  <c:v>0.2</c:v>
                </c:pt>
                <c:pt idx="110" formatCode="0.00">
                  <c:v>0.1265</c:v>
                </c:pt>
                <c:pt idx="111" formatCode="0.00">
                  <c:v>2.5000000000000001E-2</c:v>
                </c:pt>
                <c:pt idx="112" formatCode="0.00">
                  <c:v>3.7499999999999999E-2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1-394C-B965-63133FE7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7696"/>
        <c:axId val="120161792"/>
      </c:scatterChart>
      <c:valAx>
        <c:axId val="120077696"/>
        <c:scaling>
          <c:logBase val="10"/>
          <c:orientation val="minMax"/>
          <c:min val="0.1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Island age max (Ma)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0161792"/>
        <c:crossesAt val="1.0000000000000002E-3"/>
        <c:crossBetween val="midCat"/>
      </c:valAx>
      <c:valAx>
        <c:axId val="120161792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Landslide</a:t>
                </a:r>
                <a:r>
                  <a:rPr lang="cs-CZ" baseline="0"/>
                  <a:t> age (Ma)</a:t>
                </a:r>
                <a:endParaRPr lang="cs-CZ" baseline="-25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0077696"/>
        <c:crossesAt val="1.0000000000000003E-4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 b="1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4.1628965314181761E-2"/>
                  <c:y val="-0.111693285202403"/>
                </c:manualLayout>
              </c:layout>
              <c:numFmt formatCode="General" sourceLinked="0"/>
            </c:trendlineLbl>
          </c:trendline>
          <c:xVal>
            <c:numRef>
              <c:f>List1!$O$3:$O$115</c:f>
              <c:numCache>
                <c:formatCode>General</c:formatCode>
                <c:ptCount val="113"/>
                <c:pt idx="0">
                  <c:v>7.3873966968750003E+17</c:v>
                </c:pt>
                <c:pt idx="6">
                  <c:v>5.1366708899999992E+16</c:v>
                </c:pt>
                <c:pt idx="8">
                  <c:v>7.5792373312499981E+17</c:v>
                </c:pt>
                <c:pt idx="10">
                  <c:v>2.3854432875000003E+18</c:v>
                </c:pt>
                <c:pt idx="11">
                  <c:v>3.0896516429999995E+18</c:v>
                </c:pt>
                <c:pt idx="13">
                  <c:v>2.470637690625E+17</c:v>
                </c:pt>
                <c:pt idx="26">
                  <c:v>3.7823863350000006E+17</c:v>
                </c:pt>
                <c:pt idx="40">
                  <c:v>1.972881729E+17</c:v>
                </c:pt>
                <c:pt idx="54">
                  <c:v>5.4892163624999987E+18</c:v>
                </c:pt>
                <c:pt idx="55">
                  <c:v>7.649109E+18</c:v>
                </c:pt>
                <c:pt idx="56">
                  <c:v>9.20246652E+18</c:v>
                </c:pt>
                <c:pt idx="57">
                  <c:v>3.1258378124999997E+18</c:v>
                </c:pt>
                <c:pt idx="58">
                  <c:v>1.0243333736999999E+19</c:v>
                </c:pt>
                <c:pt idx="59">
                  <c:v>3.1569785120249999E+19</c:v>
                </c:pt>
                <c:pt idx="60">
                  <c:v>1.5581872458750003E+19</c:v>
                </c:pt>
                <c:pt idx="61">
                  <c:v>5.9108980124999987E+18</c:v>
                </c:pt>
                <c:pt idx="65">
                  <c:v>1.4013927695625001E+19</c:v>
                </c:pt>
                <c:pt idx="66">
                  <c:v>1.0206779821875E+20</c:v>
                </c:pt>
                <c:pt idx="71">
                  <c:v>6.9307792124999991E+19</c:v>
                </c:pt>
                <c:pt idx="72">
                  <c:v>5.3335128648749998E+19</c:v>
                </c:pt>
                <c:pt idx="73">
                  <c:v>1.4381305575000002E+20</c:v>
                </c:pt>
                <c:pt idx="74">
                  <c:v>1.9237509134999998E+19</c:v>
                </c:pt>
                <c:pt idx="76">
                  <c:v>2.0429863033124999E+19</c:v>
                </c:pt>
                <c:pt idx="79">
                  <c:v>6.4269677062500014E+18</c:v>
                </c:pt>
                <c:pt idx="80">
                  <c:v>1.825121536875E+19</c:v>
                </c:pt>
                <c:pt idx="92">
                  <c:v>1.83867909225E+21</c:v>
                </c:pt>
                <c:pt idx="107">
                  <c:v>3.8288448656249992E+20</c:v>
                </c:pt>
                <c:pt idx="110">
                  <c:v>2.5693161000000005E+18</c:v>
                </c:pt>
                <c:pt idx="111">
                  <c:v>1.3175590252500001E+18</c:v>
                </c:pt>
                <c:pt idx="112">
                  <c:v>2.2064737499999996E+16</c:v>
                </c:pt>
              </c:numCache>
            </c:numRef>
          </c:xVal>
          <c:yVal>
            <c:numRef>
              <c:f>List1!$M$3:$M$115</c:f>
              <c:numCache>
                <c:formatCode>#,##0</c:formatCode>
                <c:ptCount val="113"/>
                <c:pt idx="0">
                  <c:v>306</c:v>
                </c:pt>
                <c:pt idx="1">
                  <c:v>39</c:v>
                </c:pt>
                <c:pt idx="2">
                  <c:v>29</c:v>
                </c:pt>
                <c:pt idx="3">
                  <c:v>81</c:v>
                </c:pt>
                <c:pt idx="4">
                  <c:v>267</c:v>
                </c:pt>
                <c:pt idx="5">
                  <c:v>293</c:v>
                </c:pt>
                <c:pt idx="6">
                  <c:v>274</c:v>
                </c:pt>
                <c:pt idx="7">
                  <c:v>683</c:v>
                </c:pt>
                <c:pt idx="8">
                  <c:v>576</c:v>
                </c:pt>
                <c:pt idx="9">
                  <c:v>2264</c:v>
                </c:pt>
                <c:pt idx="10">
                  <c:v>755</c:v>
                </c:pt>
                <c:pt idx="11">
                  <c:v>527</c:v>
                </c:pt>
                <c:pt idx="12">
                  <c:v>601</c:v>
                </c:pt>
                <c:pt idx="13">
                  <c:v>284</c:v>
                </c:pt>
                <c:pt idx="14">
                  <c:v>535</c:v>
                </c:pt>
                <c:pt idx="15">
                  <c:v>162</c:v>
                </c:pt>
                <c:pt idx="16">
                  <c:v>307</c:v>
                </c:pt>
                <c:pt idx="17">
                  <c:v>546</c:v>
                </c:pt>
                <c:pt idx="18">
                  <c:v>186</c:v>
                </c:pt>
                <c:pt idx="19">
                  <c:v>170</c:v>
                </c:pt>
                <c:pt idx="20">
                  <c:v>247</c:v>
                </c:pt>
                <c:pt idx="21">
                  <c:v>333</c:v>
                </c:pt>
                <c:pt idx="22">
                  <c:v>215</c:v>
                </c:pt>
                <c:pt idx="23">
                  <c:v>202</c:v>
                </c:pt>
                <c:pt idx="24">
                  <c:v>266</c:v>
                </c:pt>
                <c:pt idx="25">
                  <c:v>1360</c:v>
                </c:pt>
                <c:pt idx="26">
                  <c:v>321</c:v>
                </c:pt>
                <c:pt idx="27">
                  <c:v>162</c:v>
                </c:pt>
                <c:pt idx="28">
                  <c:v>261</c:v>
                </c:pt>
                <c:pt idx="29">
                  <c:v>63</c:v>
                </c:pt>
                <c:pt idx="30">
                  <c:v>1268</c:v>
                </c:pt>
                <c:pt idx="31">
                  <c:v>66</c:v>
                </c:pt>
                <c:pt idx="32">
                  <c:v>92</c:v>
                </c:pt>
                <c:pt idx="33">
                  <c:v>29</c:v>
                </c:pt>
                <c:pt idx="34">
                  <c:v>261</c:v>
                </c:pt>
                <c:pt idx="35">
                  <c:v>24</c:v>
                </c:pt>
                <c:pt idx="36">
                  <c:v>47</c:v>
                </c:pt>
                <c:pt idx="37">
                  <c:v>122</c:v>
                </c:pt>
                <c:pt idx="38">
                  <c:v>32</c:v>
                </c:pt>
                <c:pt idx="39">
                  <c:v>725</c:v>
                </c:pt>
                <c:pt idx="40">
                  <c:v>782</c:v>
                </c:pt>
                <c:pt idx="41">
                  <c:v>108</c:v>
                </c:pt>
                <c:pt idx="42">
                  <c:v>293</c:v>
                </c:pt>
                <c:pt idx="43">
                  <c:v>77</c:v>
                </c:pt>
                <c:pt idx="44">
                  <c:v>436</c:v>
                </c:pt>
                <c:pt idx="45">
                  <c:v>365</c:v>
                </c:pt>
                <c:pt idx="46">
                  <c:v>276</c:v>
                </c:pt>
                <c:pt idx="47">
                  <c:v>571</c:v>
                </c:pt>
                <c:pt idx="48">
                  <c:v>420</c:v>
                </c:pt>
                <c:pt idx="49">
                  <c:v>604</c:v>
                </c:pt>
                <c:pt idx="50">
                  <c:v>285</c:v>
                </c:pt>
                <c:pt idx="51">
                  <c:v>184</c:v>
                </c:pt>
                <c:pt idx="52">
                  <c:v>760</c:v>
                </c:pt>
                <c:pt idx="53">
                  <c:v>24</c:v>
                </c:pt>
                <c:pt idx="54">
                  <c:v>723</c:v>
                </c:pt>
                <c:pt idx="55">
                  <c:v>1265</c:v>
                </c:pt>
                <c:pt idx="56">
                  <c:v>1086</c:v>
                </c:pt>
                <c:pt idx="57">
                  <c:v>797</c:v>
                </c:pt>
                <c:pt idx="58">
                  <c:v>1186</c:v>
                </c:pt>
                <c:pt idx="59">
                  <c:v>1948</c:v>
                </c:pt>
                <c:pt idx="60">
                  <c:v>2044</c:v>
                </c:pt>
                <c:pt idx="61">
                  <c:v>1151</c:v>
                </c:pt>
                <c:pt idx="62">
                  <c:v>53</c:v>
                </c:pt>
                <c:pt idx="63">
                  <c:v>2213</c:v>
                </c:pt>
                <c:pt idx="64">
                  <c:v>1979</c:v>
                </c:pt>
                <c:pt idx="65">
                  <c:v>1191</c:v>
                </c:pt>
                <c:pt idx="66">
                  <c:v>3435</c:v>
                </c:pt>
                <c:pt idx="67">
                  <c:v>1762</c:v>
                </c:pt>
                <c:pt idx="68">
                  <c:v>994</c:v>
                </c:pt>
                <c:pt idx="69">
                  <c:v>1125</c:v>
                </c:pt>
                <c:pt idx="70">
                  <c:v>385</c:v>
                </c:pt>
                <c:pt idx="71">
                  <c:v>2779</c:v>
                </c:pt>
                <c:pt idx="72">
                  <c:v>2002</c:v>
                </c:pt>
                <c:pt idx="73">
                  <c:v>2717</c:v>
                </c:pt>
                <c:pt idx="74">
                  <c:v>4487</c:v>
                </c:pt>
                <c:pt idx="75">
                  <c:v>406</c:v>
                </c:pt>
                <c:pt idx="76">
                  <c:v>1049</c:v>
                </c:pt>
                <c:pt idx="77">
                  <c:v>2298</c:v>
                </c:pt>
                <c:pt idx="78">
                  <c:v>493</c:v>
                </c:pt>
                <c:pt idx="79">
                  <c:v>1639</c:v>
                </c:pt>
                <c:pt idx="80">
                  <c:v>631</c:v>
                </c:pt>
                <c:pt idx="81">
                  <c:v>328</c:v>
                </c:pt>
                <c:pt idx="82">
                  <c:v>591</c:v>
                </c:pt>
                <c:pt idx="83">
                  <c:v>246</c:v>
                </c:pt>
                <c:pt idx="84">
                  <c:v>363</c:v>
                </c:pt>
                <c:pt idx="85">
                  <c:v>369</c:v>
                </c:pt>
                <c:pt idx="86">
                  <c:v>1938</c:v>
                </c:pt>
                <c:pt idx="87">
                  <c:v>949</c:v>
                </c:pt>
                <c:pt idx="88">
                  <c:v>100</c:v>
                </c:pt>
                <c:pt idx="89">
                  <c:v>25</c:v>
                </c:pt>
                <c:pt idx="90">
                  <c:v>2091</c:v>
                </c:pt>
                <c:pt idx="91">
                  <c:v>1917</c:v>
                </c:pt>
                <c:pt idx="92">
                  <c:v>6913</c:v>
                </c:pt>
                <c:pt idx="93">
                  <c:v>837</c:v>
                </c:pt>
                <c:pt idx="94">
                  <c:v>1222</c:v>
                </c:pt>
                <c:pt idx="95">
                  <c:v>1236</c:v>
                </c:pt>
                <c:pt idx="96">
                  <c:v>2306</c:v>
                </c:pt>
                <c:pt idx="97">
                  <c:v>335</c:v>
                </c:pt>
                <c:pt idx="98">
                  <c:v>4759</c:v>
                </c:pt>
                <c:pt idx="99">
                  <c:v>3389</c:v>
                </c:pt>
                <c:pt idx="100">
                  <c:v>3418</c:v>
                </c:pt>
                <c:pt idx="101">
                  <c:v>12361</c:v>
                </c:pt>
                <c:pt idx="102">
                  <c:v>9088</c:v>
                </c:pt>
                <c:pt idx="103">
                  <c:v>8207</c:v>
                </c:pt>
                <c:pt idx="104">
                  <c:v>5996</c:v>
                </c:pt>
                <c:pt idx="105">
                  <c:v>8976</c:v>
                </c:pt>
                <c:pt idx="106">
                  <c:v>4803</c:v>
                </c:pt>
                <c:pt idx="107">
                  <c:v>29241</c:v>
                </c:pt>
                <c:pt idx="108">
                  <c:v>6847</c:v>
                </c:pt>
                <c:pt idx="109">
                  <c:v>3538</c:v>
                </c:pt>
                <c:pt idx="110">
                  <c:v>2014</c:v>
                </c:pt>
                <c:pt idx="111">
                  <c:v>852</c:v>
                </c:pt>
                <c:pt idx="11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D-1D47-AD46-1154A067E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7520"/>
        <c:axId val="120189696"/>
      </c:scatterChart>
      <c:valAx>
        <c:axId val="120187520"/>
        <c:scaling>
          <c:logBase val="10"/>
          <c:orientation val="minMax"/>
          <c:min val="100000000000000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Potential energy (J)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0189696"/>
        <c:crossesAt val="1.0000000000000002E-3"/>
        <c:crossBetween val="midCat"/>
      </c:valAx>
      <c:valAx>
        <c:axId val="120189696"/>
        <c:scaling>
          <c:logBase val="10"/>
          <c:orientation val="minMax"/>
          <c:min val="1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 baseline="0"/>
                  <a:t>A (km2)</a:t>
                </a:r>
                <a:endParaRPr lang="cs-CZ" baseline="-25000"/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0187520"/>
        <c:crossesAt val="1.0000000000000003E-4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 b="1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8.6347899041015336E-2"/>
                  <c:y val="-1.5013719979220226E-3"/>
                </c:manualLayout>
              </c:layout>
              <c:numFmt formatCode="General" sourceLinked="0"/>
            </c:trendlineLbl>
          </c:trendline>
          <c:xVal>
            <c:numRef>
              <c:f>List1!#REF!</c:f>
              <c:numCache>
                <c:formatCode>General</c:formatCode>
                <c:ptCount val="105"/>
                <c:pt idx="0">
                  <c:v>440640</c:v>
                </c:pt>
                <c:pt idx="1">
                  <c:v>368064</c:v>
                </c:pt>
                <c:pt idx="2">
                  <c:v>1161216</c:v>
                </c:pt>
                <c:pt idx="3">
                  <c:v>2101920</c:v>
                </c:pt>
                <c:pt idx="4">
                  <c:v>420864</c:v>
                </c:pt>
                <c:pt idx="5">
                  <c:v>7933056</c:v>
                </c:pt>
                <c:pt idx="6">
                  <c:v>951984</c:v>
                </c:pt>
                <c:pt idx="7">
                  <c:v>178848</c:v>
                </c:pt>
                <c:pt idx="8">
                  <c:v>226800</c:v>
                </c:pt>
                <c:pt idx="9">
                  <c:v>545280</c:v>
                </c:pt>
                <c:pt idx="10">
                  <c:v>431424</c:v>
                </c:pt>
                <c:pt idx="11">
                  <c:v>163296</c:v>
                </c:pt>
                <c:pt idx="12">
                  <c:v>4199616</c:v>
                </c:pt>
                <c:pt idx="13">
                  <c:v>2815200</c:v>
                </c:pt>
                <c:pt idx="14">
                  <c:v>37488</c:v>
                </c:pt>
                <c:pt idx="15">
                  <c:v>34944</c:v>
                </c:pt>
                <c:pt idx="16">
                  <c:v>57024</c:v>
                </c:pt>
                <c:pt idx="17">
                  <c:v>366336</c:v>
                </c:pt>
                <c:pt idx="18">
                  <c:v>494592</c:v>
                </c:pt>
                <c:pt idx="19">
                  <c:v>2104080</c:v>
                </c:pt>
                <c:pt idx="20">
                  <c:v>1457568</c:v>
                </c:pt>
                <c:pt idx="21">
                  <c:v>3314880</c:v>
                </c:pt>
                <c:pt idx="22">
                  <c:v>5586240</c:v>
                </c:pt>
                <c:pt idx="23">
                  <c:v>3388320</c:v>
                </c:pt>
                <c:pt idx="24">
                  <c:v>3871104</c:v>
                </c:pt>
                <c:pt idx="25">
                  <c:v>4516272</c:v>
                </c:pt>
                <c:pt idx="26">
                  <c:v>32306400</c:v>
                </c:pt>
                <c:pt idx="27">
                  <c:v>6867840</c:v>
                </c:pt>
                <c:pt idx="28">
                  <c:v>6825792</c:v>
                </c:pt>
                <c:pt idx="29">
                  <c:v>12005280</c:v>
                </c:pt>
                <c:pt idx="30">
                  <c:v>13685040</c:v>
                </c:pt>
                <c:pt idx="31">
                  <c:v>12650352</c:v>
                </c:pt>
                <c:pt idx="32">
                  <c:v>11723712</c:v>
                </c:pt>
                <c:pt idx="33">
                  <c:v>2646000</c:v>
                </c:pt>
                <c:pt idx="34">
                  <c:v>48336</c:v>
                </c:pt>
                <c:pt idx="35">
                  <c:v>6585888</c:v>
                </c:pt>
                <c:pt idx="36">
                  <c:v>5666592</c:v>
                </c:pt>
                <c:pt idx="37">
                  <c:v>5604528</c:v>
                </c:pt>
                <c:pt idx="38">
                  <c:v>4169616</c:v>
                </c:pt>
                <c:pt idx="39">
                  <c:v>908640</c:v>
                </c:pt>
                <c:pt idx="40">
                  <c:v>2618304</c:v>
                </c:pt>
                <c:pt idx="41">
                  <c:v>3094896</c:v>
                </c:pt>
                <c:pt idx="42">
                  <c:v>378963360</c:v>
                </c:pt>
                <c:pt idx="43">
                  <c:v>75241776</c:v>
                </c:pt>
                <c:pt idx="44">
                  <c:v>36832464</c:v>
                </c:pt>
                <c:pt idx="45">
                  <c:v>24668208</c:v>
                </c:pt>
                <c:pt idx="46">
                  <c:v>77626464</c:v>
                </c:pt>
                <c:pt idx="47">
                  <c:v>594960</c:v>
                </c:pt>
                <c:pt idx="48">
                  <c:v>36092256</c:v>
                </c:pt>
                <c:pt idx="49">
                  <c:v>22936752</c:v>
                </c:pt>
                <c:pt idx="50">
                  <c:v>54978528</c:v>
                </c:pt>
                <c:pt idx="51">
                  <c:v>43842432</c:v>
                </c:pt>
                <c:pt idx="52">
                  <c:v>71951616</c:v>
                </c:pt>
                <c:pt idx="53">
                  <c:v>51744</c:v>
                </c:pt>
                <c:pt idx="54">
                  <c:v>56064</c:v>
                </c:pt>
                <c:pt idx="55">
                  <c:v>14352</c:v>
                </c:pt>
                <c:pt idx="56">
                  <c:v>2821824</c:v>
                </c:pt>
                <c:pt idx="57">
                  <c:v>8700480</c:v>
                </c:pt>
                <c:pt idx="58">
                  <c:v>17491872</c:v>
                </c:pt>
                <c:pt idx="59">
                  <c:v>8319600</c:v>
                </c:pt>
                <c:pt idx="60">
                  <c:v>2280960</c:v>
                </c:pt>
                <c:pt idx="61">
                  <c:v>2528448</c:v>
                </c:pt>
                <c:pt idx="62">
                  <c:v>1016400</c:v>
                </c:pt>
                <c:pt idx="63">
                  <c:v>2009760</c:v>
                </c:pt>
                <c:pt idx="64">
                  <c:v>8199360</c:v>
                </c:pt>
                <c:pt idx="65">
                  <c:v>2386752</c:v>
                </c:pt>
                <c:pt idx="66">
                  <c:v>3251136</c:v>
                </c:pt>
                <c:pt idx="67">
                  <c:v>35568960</c:v>
                </c:pt>
                <c:pt idx="68">
                  <c:v>221760</c:v>
                </c:pt>
                <c:pt idx="69">
                  <c:v>532224</c:v>
                </c:pt>
                <c:pt idx="70">
                  <c:v>6616176</c:v>
                </c:pt>
                <c:pt idx="71">
                  <c:v>287232</c:v>
                </c:pt>
                <c:pt idx="72">
                  <c:v>403200</c:v>
                </c:pt>
                <c:pt idx="73">
                  <c:v>349920</c:v>
                </c:pt>
                <c:pt idx="74">
                  <c:v>1625040</c:v>
                </c:pt>
                <c:pt idx="75">
                  <c:v>470592</c:v>
                </c:pt>
                <c:pt idx="76">
                  <c:v>126672</c:v>
                </c:pt>
                <c:pt idx="77">
                  <c:v>539136</c:v>
                </c:pt>
                <c:pt idx="78">
                  <c:v>2203152</c:v>
                </c:pt>
                <c:pt idx="79">
                  <c:v>270720</c:v>
                </c:pt>
                <c:pt idx="80">
                  <c:v>715008</c:v>
                </c:pt>
                <c:pt idx="81">
                  <c:v>164160</c:v>
                </c:pt>
                <c:pt idx="82">
                  <c:v>829440</c:v>
                </c:pt>
                <c:pt idx="83">
                  <c:v>7612704</c:v>
                </c:pt>
                <c:pt idx="84">
                  <c:v>1872000</c:v>
                </c:pt>
                <c:pt idx="85">
                  <c:v>1435968</c:v>
                </c:pt>
                <c:pt idx="86">
                  <c:v>6821760</c:v>
                </c:pt>
                <c:pt idx="87">
                  <c:v>9423216</c:v>
                </c:pt>
                <c:pt idx="88">
                  <c:v>1106208</c:v>
                </c:pt>
                <c:pt idx="89">
                  <c:v>1857120</c:v>
                </c:pt>
                <c:pt idx="90">
                  <c:v>785664</c:v>
                </c:pt>
                <c:pt idx="91">
                  <c:v>720480</c:v>
                </c:pt>
                <c:pt idx="92">
                  <c:v>28008480</c:v>
                </c:pt>
                <c:pt idx="93">
                  <c:v>27631008</c:v>
                </c:pt>
                <c:pt idx="94">
                  <c:v>18788400</c:v>
                </c:pt>
                <c:pt idx="95">
                  <c:v>17050320</c:v>
                </c:pt>
                <c:pt idx="96">
                  <c:v>13185600</c:v>
                </c:pt>
                <c:pt idx="97">
                  <c:v>106656</c:v>
                </c:pt>
                <c:pt idx="98">
                  <c:v>485520</c:v>
                </c:pt>
                <c:pt idx="99">
                  <c:v>976752</c:v>
                </c:pt>
                <c:pt idx="100">
                  <c:v>110208</c:v>
                </c:pt>
                <c:pt idx="101">
                  <c:v>114048</c:v>
                </c:pt>
                <c:pt idx="102">
                  <c:v>504000</c:v>
                </c:pt>
                <c:pt idx="103">
                  <c:v>3790080</c:v>
                </c:pt>
                <c:pt idx="104">
                  <c:v>5322048</c:v>
                </c:pt>
              </c:numCache>
            </c:numRef>
          </c:xVal>
          <c:yVal>
            <c:numRef>
              <c:f>List1!$M$3:$M$115</c:f>
              <c:numCache>
                <c:formatCode>#,##0</c:formatCode>
                <c:ptCount val="113"/>
                <c:pt idx="0">
                  <c:v>306</c:v>
                </c:pt>
                <c:pt idx="1">
                  <c:v>39</c:v>
                </c:pt>
                <c:pt idx="2">
                  <c:v>29</c:v>
                </c:pt>
                <c:pt idx="3">
                  <c:v>81</c:v>
                </c:pt>
                <c:pt idx="4">
                  <c:v>267</c:v>
                </c:pt>
                <c:pt idx="5">
                  <c:v>293</c:v>
                </c:pt>
                <c:pt idx="6">
                  <c:v>274</c:v>
                </c:pt>
                <c:pt idx="7">
                  <c:v>683</c:v>
                </c:pt>
                <c:pt idx="8">
                  <c:v>576</c:v>
                </c:pt>
                <c:pt idx="9">
                  <c:v>2264</c:v>
                </c:pt>
                <c:pt idx="10">
                  <c:v>755</c:v>
                </c:pt>
                <c:pt idx="11">
                  <c:v>527</c:v>
                </c:pt>
                <c:pt idx="12">
                  <c:v>601</c:v>
                </c:pt>
                <c:pt idx="13">
                  <c:v>284</c:v>
                </c:pt>
                <c:pt idx="14">
                  <c:v>535</c:v>
                </c:pt>
                <c:pt idx="15">
                  <c:v>162</c:v>
                </c:pt>
                <c:pt idx="16">
                  <c:v>307</c:v>
                </c:pt>
                <c:pt idx="17">
                  <c:v>546</c:v>
                </c:pt>
                <c:pt idx="18">
                  <c:v>186</c:v>
                </c:pt>
                <c:pt idx="19">
                  <c:v>170</c:v>
                </c:pt>
                <c:pt idx="20">
                  <c:v>247</c:v>
                </c:pt>
                <c:pt idx="21">
                  <c:v>333</c:v>
                </c:pt>
                <c:pt idx="22">
                  <c:v>215</c:v>
                </c:pt>
                <c:pt idx="23">
                  <c:v>202</c:v>
                </c:pt>
                <c:pt idx="24">
                  <c:v>266</c:v>
                </c:pt>
                <c:pt idx="25">
                  <c:v>1360</c:v>
                </c:pt>
                <c:pt idx="26">
                  <c:v>321</c:v>
                </c:pt>
                <c:pt idx="27">
                  <c:v>162</c:v>
                </c:pt>
                <c:pt idx="28">
                  <c:v>261</c:v>
                </c:pt>
                <c:pt idx="29">
                  <c:v>63</c:v>
                </c:pt>
                <c:pt idx="30">
                  <c:v>1268</c:v>
                </c:pt>
                <c:pt idx="31">
                  <c:v>66</c:v>
                </c:pt>
                <c:pt idx="32">
                  <c:v>92</c:v>
                </c:pt>
                <c:pt idx="33">
                  <c:v>29</c:v>
                </c:pt>
                <c:pt idx="34">
                  <c:v>261</c:v>
                </c:pt>
                <c:pt idx="35">
                  <c:v>24</c:v>
                </c:pt>
                <c:pt idx="36">
                  <c:v>47</c:v>
                </c:pt>
                <c:pt idx="37">
                  <c:v>122</c:v>
                </c:pt>
                <c:pt idx="38">
                  <c:v>32</c:v>
                </c:pt>
                <c:pt idx="39">
                  <c:v>725</c:v>
                </c:pt>
                <c:pt idx="40">
                  <c:v>782</c:v>
                </c:pt>
                <c:pt idx="41">
                  <c:v>108</c:v>
                </c:pt>
                <c:pt idx="42">
                  <c:v>293</c:v>
                </c:pt>
                <c:pt idx="43">
                  <c:v>77</c:v>
                </c:pt>
                <c:pt idx="44">
                  <c:v>436</c:v>
                </c:pt>
                <c:pt idx="45">
                  <c:v>365</c:v>
                </c:pt>
                <c:pt idx="46">
                  <c:v>276</c:v>
                </c:pt>
                <c:pt idx="47">
                  <c:v>571</c:v>
                </c:pt>
                <c:pt idx="48">
                  <c:v>420</c:v>
                </c:pt>
                <c:pt idx="49">
                  <c:v>604</c:v>
                </c:pt>
                <c:pt idx="50">
                  <c:v>285</c:v>
                </c:pt>
                <c:pt idx="51">
                  <c:v>184</c:v>
                </c:pt>
                <c:pt idx="52">
                  <c:v>760</c:v>
                </c:pt>
                <c:pt idx="53">
                  <c:v>24</c:v>
                </c:pt>
                <c:pt idx="54">
                  <c:v>723</c:v>
                </c:pt>
                <c:pt idx="55">
                  <c:v>1265</c:v>
                </c:pt>
                <c:pt idx="56">
                  <c:v>1086</c:v>
                </c:pt>
                <c:pt idx="57">
                  <c:v>797</c:v>
                </c:pt>
                <c:pt idx="58">
                  <c:v>1186</c:v>
                </c:pt>
                <c:pt idx="59">
                  <c:v>1948</c:v>
                </c:pt>
                <c:pt idx="60">
                  <c:v>2044</c:v>
                </c:pt>
                <c:pt idx="61">
                  <c:v>1151</c:v>
                </c:pt>
                <c:pt idx="62">
                  <c:v>53</c:v>
                </c:pt>
                <c:pt idx="63">
                  <c:v>2213</c:v>
                </c:pt>
                <c:pt idx="64">
                  <c:v>1979</c:v>
                </c:pt>
                <c:pt idx="65">
                  <c:v>1191</c:v>
                </c:pt>
                <c:pt idx="66">
                  <c:v>3435</c:v>
                </c:pt>
                <c:pt idx="67">
                  <c:v>1762</c:v>
                </c:pt>
                <c:pt idx="68">
                  <c:v>994</c:v>
                </c:pt>
                <c:pt idx="69">
                  <c:v>1125</c:v>
                </c:pt>
                <c:pt idx="70">
                  <c:v>385</c:v>
                </c:pt>
                <c:pt idx="71">
                  <c:v>2779</c:v>
                </c:pt>
                <c:pt idx="72">
                  <c:v>2002</c:v>
                </c:pt>
                <c:pt idx="73">
                  <c:v>2717</c:v>
                </c:pt>
                <c:pt idx="74">
                  <c:v>4487</c:v>
                </c:pt>
                <c:pt idx="75">
                  <c:v>406</c:v>
                </c:pt>
                <c:pt idx="76">
                  <c:v>1049</c:v>
                </c:pt>
                <c:pt idx="77">
                  <c:v>2298</c:v>
                </c:pt>
                <c:pt idx="78">
                  <c:v>493</c:v>
                </c:pt>
                <c:pt idx="79">
                  <c:v>1639</c:v>
                </c:pt>
                <c:pt idx="80">
                  <c:v>631</c:v>
                </c:pt>
                <c:pt idx="81">
                  <c:v>328</c:v>
                </c:pt>
                <c:pt idx="82">
                  <c:v>591</c:v>
                </c:pt>
                <c:pt idx="83">
                  <c:v>246</c:v>
                </c:pt>
                <c:pt idx="84">
                  <c:v>363</c:v>
                </c:pt>
                <c:pt idx="85">
                  <c:v>369</c:v>
                </c:pt>
                <c:pt idx="86">
                  <c:v>1938</c:v>
                </c:pt>
                <c:pt idx="87">
                  <c:v>949</c:v>
                </c:pt>
                <c:pt idx="88">
                  <c:v>100</c:v>
                </c:pt>
                <c:pt idx="89">
                  <c:v>25</c:v>
                </c:pt>
                <c:pt idx="90">
                  <c:v>2091</c:v>
                </c:pt>
                <c:pt idx="91">
                  <c:v>1917</c:v>
                </c:pt>
                <c:pt idx="92">
                  <c:v>6913</c:v>
                </c:pt>
                <c:pt idx="93">
                  <c:v>837</c:v>
                </c:pt>
                <c:pt idx="94">
                  <c:v>1222</c:v>
                </c:pt>
                <c:pt idx="95">
                  <c:v>1236</c:v>
                </c:pt>
                <c:pt idx="96">
                  <c:v>2306</c:v>
                </c:pt>
                <c:pt idx="97">
                  <c:v>335</c:v>
                </c:pt>
                <c:pt idx="98">
                  <c:v>4759</c:v>
                </c:pt>
                <c:pt idx="99">
                  <c:v>3389</c:v>
                </c:pt>
                <c:pt idx="100">
                  <c:v>3418</c:v>
                </c:pt>
                <c:pt idx="101">
                  <c:v>12361</c:v>
                </c:pt>
                <c:pt idx="102">
                  <c:v>9088</c:v>
                </c:pt>
                <c:pt idx="103">
                  <c:v>8207</c:v>
                </c:pt>
                <c:pt idx="104">
                  <c:v>5996</c:v>
                </c:pt>
                <c:pt idx="105">
                  <c:v>8976</c:v>
                </c:pt>
                <c:pt idx="106">
                  <c:v>4803</c:v>
                </c:pt>
                <c:pt idx="107">
                  <c:v>29241</c:v>
                </c:pt>
                <c:pt idx="108">
                  <c:v>6847</c:v>
                </c:pt>
                <c:pt idx="109">
                  <c:v>3538</c:v>
                </c:pt>
                <c:pt idx="110">
                  <c:v>2014</c:v>
                </c:pt>
                <c:pt idx="111">
                  <c:v>852</c:v>
                </c:pt>
                <c:pt idx="11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B-3143-863F-1C71DA96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37536"/>
        <c:axId val="120339456"/>
      </c:scatterChart>
      <c:valAx>
        <c:axId val="120337536"/>
        <c:scaling>
          <c:logBase val="10"/>
          <c:orientation val="minMax"/>
          <c:min val="100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Potential energy (kJ)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0339456"/>
        <c:crossesAt val="1.0000000000000002E-3"/>
        <c:crossBetween val="midCat"/>
      </c:valAx>
      <c:valAx>
        <c:axId val="120339456"/>
        <c:scaling>
          <c:logBase val="10"/>
          <c:orientation val="minMax"/>
          <c:min val="1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 baseline="0"/>
                  <a:t>A (km2)</a:t>
                </a:r>
                <a:endParaRPr lang="cs-CZ" baseline="-25000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0337536"/>
        <c:crossesAt val="1.0000000000000003E-4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 b="1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4.1628965314181761E-2"/>
                  <c:y val="-0.111693285202403"/>
                </c:manualLayout>
              </c:layout>
              <c:numFmt formatCode="General" sourceLinked="0"/>
            </c:trendlineLbl>
          </c:trendline>
          <c:xVal>
            <c:numRef>
              <c:f>List2!$G$2:$G$30</c:f>
              <c:numCache>
                <c:formatCode>General</c:formatCode>
                <c:ptCount val="2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2</c:v>
                </c:pt>
                <c:pt idx="19">
                  <c:v>2.2000000000000002</c:v>
                </c:pt>
                <c:pt idx="20">
                  <c:v>3</c:v>
                </c:pt>
                <c:pt idx="21">
                  <c:v>3.6</c:v>
                </c:pt>
                <c:pt idx="22">
                  <c:v>5</c:v>
                </c:pt>
                <c:pt idx="23">
                  <c:v>6.5</c:v>
                </c:pt>
                <c:pt idx="24">
                  <c:v>10</c:v>
                </c:pt>
                <c:pt idx="25">
                  <c:v>10.3</c:v>
                </c:pt>
                <c:pt idx="26">
                  <c:v>12.5</c:v>
                </c:pt>
                <c:pt idx="27">
                  <c:v>13.5</c:v>
                </c:pt>
                <c:pt idx="28">
                  <c:v>14.5</c:v>
                </c:pt>
              </c:numCache>
            </c:numRef>
          </c:xVal>
          <c:yVal>
            <c:numRef>
              <c:f>List2!$H$2:$H$30</c:f>
              <c:numCache>
                <c:formatCode>General</c:formatCode>
                <c:ptCount val="29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92-1A43-90D1-0CDD5B79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8304"/>
        <c:axId val="120420224"/>
      </c:scatterChart>
      <c:valAx>
        <c:axId val="120418304"/>
        <c:scaling>
          <c:orientation val="minMax"/>
          <c:max val="15"/>
          <c:min val="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Age (Ma)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0420224"/>
        <c:crossesAt val="0"/>
        <c:crossBetween val="midCat"/>
        <c:majorUnit val="1"/>
        <c:minorUnit val="1"/>
      </c:valAx>
      <c:valAx>
        <c:axId val="120420224"/>
        <c:scaling>
          <c:orientation val="minMax"/>
          <c:max val="15"/>
          <c:min val="0"/>
        </c:scaling>
        <c:delete val="0"/>
        <c:axPos val="l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Count</a:t>
                </a:r>
                <a:endParaRPr lang="en-US" baseline="-250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0418304"/>
        <c:crossesAt val="0"/>
        <c:crossBetween val="midCat"/>
        <c:majorUnit val="1"/>
        <c:minorUnit val="0.1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600" b="1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4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46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1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1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31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31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328" cy="6005840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328" cy="6005840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328" cy="6005840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05840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657225"/>
    <xdr:ext cx="9292328" cy="6005840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477000" y="819150"/>
    <xdr:ext cx="9299599" cy="6005840"/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lantic" connectionId="1" xr16:uid="{00000000-0016-0000-0000-000003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cific" connectionId="4" xr16:uid="{00000000-0016-0000-0000-000002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an" connectionId="3" xr16:uid="{00000000-0016-0000-0000-00000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lantic_1" connectionId="2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4"/>
  <sheetViews>
    <sheetView tabSelected="1" zoomScale="85" zoomScaleNormal="85" workbookViewId="0">
      <pane xSplit="2" ySplit="2" topLeftCell="I3" activePane="bottomRight" state="frozen"/>
      <selection pane="topRight" activeCell="C1" sqref="C1"/>
      <selection pane="bottomLeft" activeCell="A2" sqref="A2"/>
      <selection pane="bottomRight" activeCell="A18" sqref="A18"/>
    </sheetView>
  </sheetViews>
  <sheetFormatPr baseColWidth="10" defaultColWidth="8.83203125" defaultRowHeight="15" x14ac:dyDescent="0.2"/>
  <cols>
    <col min="1" max="1" width="26.5" customWidth="1"/>
    <col min="2" max="2" width="13.5" style="4" customWidth="1"/>
    <col min="3" max="3" width="28.6640625" style="16" customWidth="1"/>
    <col min="4" max="4" width="22" style="16" customWidth="1"/>
    <col min="5" max="5" width="13.33203125" style="4" customWidth="1"/>
    <col min="6" max="6" width="14.5" style="16" customWidth="1"/>
    <col min="7" max="7" width="59.5" customWidth="1"/>
    <col min="8" max="8" width="83" style="16" customWidth="1"/>
    <col min="9" max="9" width="26.5" style="3" customWidth="1"/>
    <col min="10" max="10" width="19.1640625" style="16" customWidth="1"/>
    <col min="11" max="11" width="15" customWidth="1"/>
    <col min="12" max="12" width="15" style="16" customWidth="1"/>
    <col min="13" max="13" width="8.5" customWidth="1"/>
    <col min="14" max="14" width="7" bestFit="1" customWidth="1"/>
    <col min="15" max="15" width="20.6640625" style="5" customWidth="1"/>
    <col min="16" max="16" width="14.5" style="16" customWidth="1"/>
    <col min="17" max="17" width="6.5" bestFit="1" customWidth="1"/>
    <col min="18" max="18" width="6.6640625" bestFit="1" customWidth="1"/>
    <col min="19" max="19" width="13.1640625" customWidth="1"/>
    <col min="20" max="22" width="12.1640625" customWidth="1"/>
    <col min="23" max="23" width="11.6640625" bestFit="1" customWidth="1"/>
    <col min="24" max="24" width="13.6640625" customWidth="1"/>
    <col min="25" max="25" width="16.6640625" customWidth="1"/>
    <col min="26" max="26" width="15.83203125" customWidth="1"/>
    <col min="27" max="27" width="15.33203125" customWidth="1"/>
    <col min="28" max="28" width="14" customWidth="1"/>
    <col min="29" max="29" width="20.33203125" customWidth="1"/>
    <col min="30" max="30" width="14.1640625" customWidth="1"/>
    <col min="31" max="32" width="13.33203125" customWidth="1"/>
  </cols>
  <sheetData>
    <row r="1" spans="1:33" s="16" customFormat="1" x14ac:dyDescent="0.2">
      <c r="A1" s="16" t="s">
        <v>461</v>
      </c>
      <c r="O1" s="5"/>
    </row>
    <row r="2" spans="1:33" ht="17" x14ac:dyDescent="0.2">
      <c r="A2" s="17" t="s">
        <v>0</v>
      </c>
      <c r="B2" s="17" t="s">
        <v>212</v>
      </c>
      <c r="C2" s="17" t="s">
        <v>443</v>
      </c>
      <c r="D2" s="17" t="s">
        <v>429</v>
      </c>
      <c r="E2" s="17" t="s">
        <v>243</v>
      </c>
      <c r="F2" s="17" t="s">
        <v>254</v>
      </c>
      <c r="G2" s="17" t="s">
        <v>209</v>
      </c>
      <c r="H2" s="17" t="s">
        <v>430</v>
      </c>
      <c r="I2" s="13" t="s">
        <v>210</v>
      </c>
      <c r="J2" s="13" t="s">
        <v>255</v>
      </c>
      <c r="K2" s="17" t="s">
        <v>211</v>
      </c>
      <c r="L2" s="17" t="s">
        <v>257</v>
      </c>
      <c r="M2" s="17" t="s">
        <v>1</v>
      </c>
      <c r="N2" s="17" t="s">
        <v>2</v>
      </c>
      <c r="O2" s="55" t="s">
        <v>258</v>
      </c>
      <c r="P2" s="17" t="s">
        <v>3</v>
      </c>
      <c r="Q2" s="17" t="s">
        <v>4</v>
      </c>
      <c r="R2" s="17" t="s">
        <v>5</v>
      </c>
      <c r="S2" s="17" t="s">
        <v>6</v>
      </c>
      <c r="T2" s="17" t="s">
        <v>7</v>
      </c>
      <c r="U2" s="17" t="s">
        <v>8</v>
      </c>
      <c r="V2" s="17" t="s">
        <v>9</v>
      </c>
      <c r="W2" s="17" t="s">
        <v>127</v>
      </c>
      <c r="X2" s="17" t="s">
        <v>128</v>
      </c>
      <c r="Y2" s="17" t="s">
        <v>130</v>
      </c>
      <c r="Z2" s="17" t="s">
        <v>126</v>
      </c>
      <c r="AA2" s="17" t="s">
        <v>129</v>
      </c>
      <c r="AB2" s="17" t="s">
        <v>256</v>
      </c>
      <c r="AC2" s="17" t="s">
        <v>132</v>
      </c>
      <c r="AD2" s="17" t="s">
        <v>131</v>
      </c>
      <c r="AE2" s="17" t="s">
        <v>259</v>
      </c>
      <c r="AF2" s="16"/>
      <c r="AG2" s="17"/>
    </row>
    <row r="3" spans="1:33" x14ac:dyDescent="0.2">
      <c r="A3" s="16" t="s">
        <v>33</v>
      </c>
      <c r="B3" s="16" t="s">
        <v>233</v>
      </c>
      <c r="C3" s="16" t="s">
        <v>444</v>
      </c>
      <c r="D3" s="39" t="s">
        <v>441</v>
      </c>
      <c r="E3" s="16" t="s">
        <v>250</v>
      </c>
      <c r="F3" s="15">
        <v>0.1</v>
      </c>
      <c r="G3" s="5" t="s">
        <v>460</v>
      </c>
      <c r="H3" s="38" t="s">
        <v>442</v>
      </c>
      <c r="I3" s="12" t="s">
        <v>175</v>
      </c>
      <c r="J3" s="23">
        <v>5.0000000000000001E-3</v>
      </c>
      <c r="K3" s="7">
        <v>8.5</v>
      </c>
      <c r="L3" s="21">
        <v>8.5</v>
      </c>
      <c r="M3" s="1">
        <v>306</v>
      </c>
      <c r="N3" s="1">
        <v>30</v>
      </c>
      <c r="O3" s="52">
        <f>W3*L3*9.80655*1000*1000000000*2500</f>
        <v>7.3873966968750003E+17</v>
      </c>
      <c r="P3" s="1">
        <v>22</v>
      </c>
      <c r="Q3" s="16" t="s">
        <v>34</v>
      </c>
      <c r="R3" s="16">
        <v>77</v>
      </c>
      <c r="S3" s="16">
        <v>796</v>
      </c>
      <c r="T3" s="16">
        <v>-2749</v>
      </c>
      <c r="U3" s="16">
        <v>3545</v>
      </c>
      <c r="V3" s="16" t="s">
        <v>12</v>
      </c>
      <c r="W3" s="15">
        <f>U3/1000</f>
        <v>3.5449999999999999</v>
      </c>
      <c r="X3" s="2">
        <f>M3/N3</f>
        <v>10.199999999999999</v>
      </c>
      <c r="Y3" s="2">
        <f>M3/(N3*N3)</f>
        <v>0.34</v>
      </c>
      <c r="Z3" s="2">
        <f>(2*(SQRT(M3/3.14159264)))/N3</f>
        <v>0.65795246567102816</v>
      </c>
      <c r="AA3" s="2">
        <f>R3/(2/SQRT(M3*3.14159264))</f>
        <v>1193.7032551416787</v>
      </c>
      <c r="AB3" s="2">
        <f>W3/N3</f>
        <v>0.11816666666666667</v>
      </c>
      <c r="AC3" s="2">
        <f>DEGREES(ATAN(AB3))</f>
        <v>6.7391999364999311</v>
      </c>
      <c r="AD3" s="2">
        <v>11.456080876660545</v>
      </c>
      <c r="AE3" s="2">
        <f>N3/W3</f>
        <v>8.4626234132581111</v>
      </c>
    </row>
    <row r="4" spans="1:33" x14ac:dyDescent="0.2">
      <c r="A4" t="s">
        <v>263</v>
      </c>
      <c r="B4" s="4" t="s">
        <v>331</v>
      </c>
      <c r="C4" s="16" t="s">
        <v>444</v>
      </c>
      <c r="D4" s="39" t="s">
        <v>432</v>
      </c>
      <c r="E4" s="16" t="s">
        <v>344</v>
      </c>
      <c r="G4" s="16" t="s">
        <v>385</v>
      </c>
      <c r="H4" s="16" t="s">
        <v>410</v>
      </c>
      <c r="I4" s="16" t="s">
        <v>343</v>
      </c>
      <c r="K4" s="16"/>
      <c r="M4" s="1">
        <v>39</v>
      </c>
      <c r="N4" s="1">
        <v>6</v>
      </c>
      <c r="O4" s="52"/>
      <c r="P4" s="1">
        <v>7</v>
      </c>
      <c r="Q4" t="s">
        <v>90</v>
      </c>
      <c r="R4">
        <v>23</v>
      </c>
      <c r="S4">
        <v>6</v>
      </c>
      <c r="T4">
        <v>-23</v>
      </c>
      <c r="U4">
        <v>29</v>
      </c>
      <c r="V4" t="s">
        <v>262</v>
      </c>
      <c r="W4" s="15">
        <f t="shared" ref="W4:W30" si="0">U4/1000</f>
        <v>2.9000000000000001E-2</v>
      </c>
      <c r="X4" s="2">
        <f t="shared" ref="X4:X30" si="1">M4/N4</f>
        <v>6.5</v>
      </c>
      <c r="Y4" s="2">
        <f t="shared" ref="Y4:Y30" si="2">M4/(N4*N4)</f>
        <v>1.0833333333333333</v>
      </c>
      <c r="Z4" s="2">
        <f t="shared" ref="Z4:Z30" si="3">(2*(SQRT(M4/3.14159264)))/N4</f>
        <v>1.1744542758645282</v>
      </c>
      <c r="AA4" s="2">
        <f t="shared" ref="AA4:AA30" si="4">R4/(2/SQRT(M4*3.14159264))</f>
        <v>127.29316336300232</v>
      </c>
      <c r="AB4" s="2">
        <f t="shared" ref="AB4:AB30" si="5">W4/N4</f>
        <v>4.8333333333333336E-3</v>
      </c>
      <c r="AC4" s="2">
        <f t="shared" ref="AC4:AC67" si="6">DEGREES(ATAN(AB4))</f>
        <v>0.27692744454906432</v>
      </c>
      <c r="AD4" s="2">
        <v>12.456080876660501</v>
      </c>
      <c r="AE4" s="2">
        <f t="shared" ref="AE4:AE30" si="7">N4/W4</f>
        <v>206.89655172413791</v>
      </c>
    </row>
    <row r="5" spans="1:33" x14ac:dyDescent="0.2">
      <c r="A5" t="s">
        <v>261</v>
      </c>
      <c r="B5" s="4" t="s">
        <v>331</v>
      </c>
      <c r="C5" s="16" t="s">
        <v>444</v>
      </c>
      <c r="D5" s="39" t="s">
        <v>432</v>
      </c>
      <c r="E5" s="16" t="s">
        <v>344</v>
      </c>
      <c r="G5" s="16" t="s">
        <v>385</v>
      </c>
      <c r="H5" s="16" t="s">
        <v>410</v>
      </c>
      <c r="I5" s="16" t="s">
        <v>343</v>
      </c>
      <c r="K5" s="16"/>
      <c r="M5" s="1">
        <v>29</v>
      </c>
      <c r="N5" s="1">
        <v>7</v>
      </c>
      <c r="O5" s="52"/>
      <c r="P5" s="1">
        <v>5</v>
      </c>
      <c r="Q5" t="s">
        <v>90</v>
      </c>
      <c r="R5">
        <v>22</v>
      </c>
      <c r="S5">
        <v>7</v>
      </c>
      <c r="T5">
        <v>-21</v>
      </c>
      <c r="U5">
        <v>28</v>
      </c>
      <c r="V5" t="s">
        <v>262</v>
      </c>
      <c r="W5" s="15">
        <f t="shared" si="0"/>
        <v>2.8000000000000001E-2</v>
      </c>
      <c r="X5" s="2">
        <f t="shared" si="1"/>
        <v>4.1428571428571432</v>
      </c>
      <c r="Y5" s="2">
        <f t="shared" si="2"/>
        <v>0.59183673469387754</v>
      </c>
      <c r="Z5" s="2">
        <f t="shared" si="3"/>
        <v>0.86807254184132465</v>
      </c>
      <c r="AA5" s="2">
        <f t="shared" si="4"/>
        <v>104.9945168747397</v>
      </c>
      <c r="AB5" s="2">
        <f t="shared" si="5"/>
        <v>4.0000000000000001E-3</v>
      </c>
      <c r="AC5" s="2">
        <f t="shared" si="6"/>
        <v>0.22918189575410042</v>
      </c>
      <c r="AD5" s="2">
        <v>13.456080876660501</v>
      </c>
      <c r="AE5" s="2">
        <f t="shared" si="7"/>
        <v>250</v>
      </c>
    </row>
    <row r="6" spans="1:33" x14ac:dyDescent="0.2">
      <c r="A6" s="16" t="s">
        <v>264</v>
      </c>
      <c r="B6" s="16" t="s">
        <v>331</v>
      </c>
      <c r="C6" s="16" t="s">
        <v>444</v>
      </c>
      <c r="D6" s="39" t="s">
        <v>432</v>
      </c>
      <c r="E6" s="16" t="s">
        <v>344</v>
      </c>
      <c r="G6" s="16" t="s">
        <v>385</v>
      </c>
      <c r="H6" s="16" t="s">
        <v>410</v>
      </c>
      <c r="I6" s="16" t="s">
        <v>343</v>
      </c>
      <c r="K6" s="16"/>
      <c r="M6" s="1">
        <v>81</v>
      </c>
      <c r="N6" s="1">
        <v>9</v>
      </c>
      <c r="O6" s="52"/>
      <c r="P6" s="1">
        <v>10</v>
      </c>
      <c r="Q6" s="16" t="s">
        <v>90</v>
      </c>
      <c r="R6" s="16">
        <v>33</v>
      </c>
      <c r="S6" s="16">
        <v>10</v>
      </c>
      <c r="T6" s="16">
        <v>20</v>
      </c>
      <c r="U6" s="16">
        <v>30</v>
      </c>
      <c r="V6" s="16" t="s">
        <v>262</v>
      </c>
      <c r="W6" s="15">
        <f t="shared" si="0"/>
        <v>0.03</v>
      </c>
      <c r="X6" s="2">
        <f t="shared" si="1"/>
        <v>9</v>
      </c>
      <c r="Y6" s="2">
        <f t="shared" si="2"/>
        <v>1</v>
      </c>
      <c r="Z6" s="2">
        <f t="shared" si="3"/>
        <v>1.1283791695360645</v>
      </c>
      <c r="AA6" s="2">
        <f t="shared" si="4"/>
        <v>263.20939629017806</v>
      </c>
      <c r="AB6" s="2">
        <f t="shared" si="5"/>
        <v>3.3333333333333331E-3</v>
      </c>
      <c r="AC6" s="2">
        <f t="shared" si="6"/>
        <v>0.19098522435968743</v>
      </c>
      <c r="AD6" s="2">
        <v>14.456080876660501</v>
      </c>
      <c r="AE6" s="2">
        <f t="shared" si="7"/>
        <v>300</v>
      </c>
      <c r="AF6" s="16"/>
      <c r="AG6" s="16"/>
    </row>
    <row r="7" spans="1:33" x14ac:dyDescent="0.2">
      <c r="A7" s="16" t="s">
        <v>264</v>
      </c>
      <c r="B7" s="16" t="s">
        <v>331</v>
      </c>
      <c r="C7" s="16" t="s">
        <v>444</v>
      </c>
      <c r="D7" s="39" t="s">
        <v>432</v>
      </c>
      <c r="E7" s="16" t="s">
        <v>344</v>
      </c>
      <c r="G7" s="16" t="s">
        <v>385</v>
      </c>
      <c r="H7" s="16" t="s">
        <v>410</v>
      </c>
      <c r="I7" s="16" t="s">
        <v>343</v>
      </c>
      <c r="K7" s="16"/>
      <c r="M7" s="1">
        <v>267</v>
      </c>
      <c r="N7" s="1">
        <v>14</v>
      </c>
      <c r="O7" s="52"/>
      <c r="P7" s="1">
        <v>24</v>
      </c>
      <c r="Q7" s="16" t="s">
        <v>90</v>
      </c>
      <c r="R7" s="16">
        <v>62</v>
      </c>
      <c r="S7" s="16">
        <v>451</v>
      </c>
      <c r="T7" s="16">
        <v>-41</v>
      </c>
      <c r="U7" s="16">
        <v>492</v>
      </c>
      <c r="V7" s="16" t="s">
        <v>262</v>
      </c>
      <c r="W7" s="15">
        <f t="shared" si="0"/>
        <v>0.49199999999999999</v>
      </c>
      <c r="X7" s="2">
        <f t="shared" si="1"/>
        <v>19.071428571428573</v>
      </c>
      <c r="Y7" s="2">
        <f t="shared" si="2"/>
        <v>1.3622448979591837</v>
      </c>
      <c r="Z7" s="2">
        <f t="shared" si="3"/>
        <v>1.3169905395249557</v>
      </c>
      <c r="AA7" s="2">
        <f t="shared" si="4"/>
        <v>897.82616954490686</v>
      </c>
      <c r="AB7" s="2">
        <f t="shared" si="5"/>
        <v>3.5142857142857142E-2</v>
      </c>
      <c r="AC7" s="2">
        <f t="shared" si="6"/>
        <v>2.0127090880905105</v>
      </c>
      <c r="AD7" s="2">
        <v>15.456080876660501</v>
      </c>
      <c r="AE7" s="2">
        <f t="shared" si="7"/>
        <v>28.45528455284553</v>
      </c>
    </row>
    <row r="8" spans="1:33" x14ac:dyDescent="0.2">
      <c r="A8" t="s">
        <v>294</v>
      </c>
      <c r="B8" s="4" t="s">
        <v>294</v>
      </c>
      <c r="C8" s="16" t="s">
        <v>444</v>
      </c>
      <c r="D8" s="39" t="s">
        <v>432</v>
      </c>
      <c r="E8" s="4" t="s">
        <v>140</v>
      </c>
      <c r="G8" s="16" t="s">
        <v>387</v>
      </c>
      <c r="H8" s="5" t="s">
        <v>452</v>
      </c>
      <c r="I8" s="5" t="s">
        <v>140</v>
      </c>
      <c r="K8" s="16"/>
      <c r="M8" s="1">
        <v>293</v>
      </c>
      <c r="N8" s="1">
        <v>34</v>
      </c>
      <c r="O8" s="52"/>
      <c r="P8" s="1">
        <v>12</v>
      </c>
      <c r="Q8" t="s">
        <v>90</v>
      </c>
      <c r="R8">
        <v>79</v>
      </c>
      <c r="S8">
        <v>-223</v>
      </c>
      <c r="T8">
        <v>-2779</v>
      </c>
      <c r="U8">
        <v>2556</v>
      </c>
      <c r="V8" t="s">
        <v>262</v>
      </c>
      <c r="W8" s="15">
        <f t="shared" si="0"/>
        <v>2.556</v>
      </c>
      <c r="X8" s="2">
        <f t="shared" si="1"/>
        <v>8.617647058823529</v>
      </c>
      <c r="Y8" s="2">
        <f t="shared" si="2"/>
        <v>0.25346020761245674</v>
      </c>
      <c r="Z8" s="2">
        <f t="shared" si="3"/>
        <v>0.56808059352961193</v>
      </c>
      <c r="AA8" s="2">
        <f t="shared" si="4"/>
        <v>1198.4111504621776</v>
      </c>
      <c r="AB8" s="2">
        <f t="shared" si="5"/>
        <v>7.5176470588235289E-2</v>
      </c>
      <c r="AC8" s="2">
        <f t="shared" si="6"/>
        <v>4.2992076599446953</v>
      </c>
      <c r="AD8" s="2">
        <v>16.456080876660501</v>
      </c>
      <c r="AE8" s="2">
        <f t="shared" si="7"/>
        <v>13.302034428794991</v>
      </c>
    </row>
    <row r="9" spans="1:33" x14ac:dyDescent="0.2">
      <c r="A9" t="s">
        <v>92</v>
      </c>
      <c r="B9" s="4" t="s">
        <v>213</v>
      </c>
      <c r="C9" s="16" t="s">
        <v>444</v>
      </c>
      <c r="D9" s="39" t="s">
        <v>432</v>
      </c>
      <c r="E9" s="16" t="s">
        <v>346</v>
      </c>
      <c r="F9" s="15"/>
      <c r="G9" s="5" t="s">
        <v>390</v>
      </c>
      <c r="H9" s="5" t="s">
        <v>452</v>
      </c>
      <c r="I9" s="18" t="s">
        <v>140</v>
      </c>
      <c r="J9" s="24"/>
      <c r="K9" s="18" t="s">
        <v>141</v>
      </c>
      <c r="L9" s="20">
        <v>0.6</v>
      </c>
      <c r="M9" s="1">
        <v>274</v>
      </c>
      <c r="N9" s="1">
        <v>32</v>
      </c>
      <c r="O9" s="52">
        <f t="shared" ref="O9:O64" si="8">W9*L9*9.80655*1000*1000000000*2500</f>
        <v>5.1366708899999992E+16</v>
      </c>
      <c r="P9" s="1">
        <v>21</v>
      </c>
      <c r="Q9" t="s">
        <v>90</v>
      </c>
      <c r="R9">
        <v>96</v>
      </c>
      <c r="S9">
        <v>1519</v>
      </c>
      <c r="T9">
        <v>-1973</v>
      </c>
      <c r="U9">
        <v>3492</v>
      </c>
      <c r="V9" t="s">
        <v>12</v>
      </c>
      <c r="W9" s="15">
        <f t="shared" si="0"/>
        <v>3.492</v>
      </c>
      <c r="X9" s="2">
        <f t="shared" si="1"/>
        <v>8.5625</v>
      </c>
      <c r="Y9" s="2">
        <f t="shared" si="2"/>
        <v>0.267578125</v>
      </c>
      <c r="Z9" s="2">
        <f t="shared" si="3"/>
        <v>0.58368746048706421</v>
      </c>
      <c r="AA9" s="2">
        <f t="shared" si="4"/>
        <v>1408.2879205835147</v>
      </c>
      <c r="AB9" s="2">
        <f t="shared" si="5"/>
        <v>0.109125</v>
      </c>
      <c r="AC9" s="2">
        <f t="shared" si="6"/>
        <v>6.2277593504578928</v>
      </c>
      <c r="AD9" s="2">
        <v>17.456080876660501</v>
      </c>
      <c r="AE9" s="2">
        <f t="shared" si="7"/>
        <v>9.1638029782359673</v>
      </c>
    </row>
    <row r="10" spans="1:33" x14ac:dyDescent="0.2">
      <c r="A10" t="s">
        <v>299</v>
      </c>
      <c r="B10" s="4" t="s">
        <v>213</v>
      </c>
      <c r="C10" s="16" t="s">
        <v>444</v>
      </c>
      <c r="D10" s="39" t="s">
        <v>432</v>
      </c>
      <c r="E10" s="16" t="s">
        <v>346</v>
      </c>
      <c r="G10" s="5" t="s">
        <v>390</v>
      </c>
      <c r="H10" s="5" t="s">
        <v>452</v>
      </c>
      <c r="I10" s="18" t="s">
        <v>140</v>
      </c>
      <c r="K10" s="16"/>
      <c r="M10" s="1">
        <v>683</v>
      </c>
      <c r="N10" s="1">
        <v>59</v>
      </c>
      <c r="O10" s="52"/>
      <c r="P10" s="1">
        <v>21</v>
      </c>
      <c r="Q10" t="s">
        <v>90</v>
      </c>
      <c r="R10">
        <v>181</v>
      </c>
      <c r="S10">
        <v>-132</v>
      </c>
      <c r="T10">
        <v>-3048</v>
      </c>
      <c r="U10">
        <v>2916</v>
      </c>
      <c r="V10" t="s">
        <v>262</v>
      </c>
      <c r="W10" s="15">
        <f t="shared" si="0"/>
        <v>2.9159999999999999</v>
      </c>
      <c r="X10" s="2">
        <f t="shared" si="1"/>
        <v>11.576271186440678</v>
      </c>
      <c r="Y10" s="2">
        <f t="shared" si="2"/>
        <v>0.19620798621085894</v>
      </c>
      <c r="Z10" s="2">
        <f t="shared" si="3"/>
        <v>0.49981973562193288</v>
      </c>
      <c r="AA10" s="2">
        <f t="shared" si="4"/>
        <v>4192.1215498594602</v>
      </c>
      <c r="AB10" s="2">
        <f t="shared" si="5"/>
        <v>4.9423728813559324E-2</v>
      </c>
      <c r="AC10" s="2">
        <f t="shared" si="6"/>
        <v>2.8294687151699001</v>
      </c>
      <c r="AD10" s="2">
        <v>18.456080876660501</v>
      </c>
      <c r="AE10" s="2">
        <f t="shared" si="7"/>
        <v>20.233196159122084</v>
      </c>
    </row>
    <row r="11" spans="1:33" x14ac:dyDescent="0.2">
      <c r="A11" t="s">
        <v>93</v>
      </c>
      <c r="B11" s="4" t="s">
        <v>213</v>
      </c>
      <c r="C11" s="16" t="s">
        <v>444</v>
      </c>
      <c r="D11" s="39" t="s">
        <v>432</v>
      </c>
      <c r="E11" s="16" t="s">
        <v>346</v>
      </c>
      <c r="F11" s="15"/>
      <c r="G11" s="5" t="s">
        <v>390</v>
      </c>
      <c r="H11" s="5" t="s">
        <v>452</v>
      </c>
      <c r="I11" s="7" t="s">
        <v>140</v>
      </c>
      <c r="J11" s="26"/>
      <c r="K11" s="7">
        <v>9</v>
      </c>
      <c r="L11" s="21">
        <v>9</v>
      </c>
      <c r="M11" s="1">
        <v>576</v>
      </c>
      <c r="N11" s="1">
        <v>42</v>
      </c>
      <c r="O11" s="52">
        <f t="shared" si="8"/>
        <v>7.5792373312499981E+17</v>
      </c>
      <c r="P11" s="1">
        <v>23</v>
      </c>
      <c r="Q11" t="s">
        <v>90</v>
      </c>
      <c r="R11">
        <v>101</v>
      </c>
      <c r="S11">
        <v>1519</v>
      </c>
      <c r="T11">
        <v>-1916</v>
      </c>
      <c r="U11">
        <v>3435</v>
      </c>
      <c r="V11" t="s">
        <v>12</v>
      </c>
      <c r="W11" s="15">
        <f t="shared" si="0"/>
        <v>3.4350000000000001</v>
      </c>
      <c r="X11" s="2">
        <f t="shared" si="1"/>
        <v>13.714285714285714</v>
      </c>
      <c r="Y11" s="2">
        <f t="shared" si="2"/>
        <v>0.32653061224489793</v>
      </c>
      <c r="Z11" s="2">
        <f t="shared" si="3"/>
        <v>0.64478809687775118</v>
      </c>
      <c r="AA11" s="2">
        <f t="shared" si="4"/>
        <v>2148.2140626511505</v>
      </c>
      <c r="AB11" s="2">
        <f t="shared" si="5"/>
        <v>8.1785714285714281E-2</v>
      </c>
      <c r="AC11" s="2">
        <f t="shared" si="6"/>
        <v>4.6755699715468957</v>
      </c>
      <c r="AD11" s="2">
        <v>19.456080876660501</v>
      </c>
      <c r="AE11" s="2">
        <f t="shared" si="7"/>
        <v>12.22707423580786</v>
      </c>
    </row>
    <row r="12" spans="1:33" x14ac:dyDescent="0.2">
      <c r="A12" t="s">
        <v>89</v>
      </c>
      <c r="B12" s="4" t="s">
        <v>89</v>
      </c>
      <c r="C12" s="16" t="s">
        <v>444</v>
      </c>
      <c r="D12" s="39" t="s">
        <v>432</v>
      </c>
      <c r="E12" s="16" t="s">
        <v>151</v>
      </c>
      <c r="F12" s="15"/>
      <c r="G12" s="16" t="s">
        <v>390</v>
      </c>
      <c r="H12" s="5" t="s">
        <v>452</v>
      </c>
      <c r="I12" s="6" t="s">
        <v>151</v>
      </c>
      <c r="J12" s="25"/>
      <c r="K12" s="6"/>
      <c r="L12" s="22"/>
      <c r="M12" s="1">
        <v>2264</v>
      </c>
      <c r="N12" s="1">
        <v>73</v>
      </c>
      <c r="O12" s="52"/>
      <c r="P12" s="1">
        <v>52</v>
      </c>
      <c r="Q12" t="s">
        <v>90</v>
      </c>
      <c r="R12">
        <v>198</v>
      </c>
      <c r="S12">
        <v>1417</v>
      </c>
      <c r="T12">
        <v>-3596</v>
      </c>
      <c r="U12">
        <v>5013</v>
      </c>
      <c r="V12" t="s">
        <v>12</v>
      </c>
      <c r="W12" s="15">
        <f t="shared" si="0"/>
        <v>5.0129999999999999</v>
      </c>
      <c r="X12" s="2">
        <f t="shared" si="1"/>
        <v>31.013698630136986</v>
      </c>
      <c r="Y12" s="2">
        <f t="shared" si="2"/>
        <v>0.42484518671420529</v>
      </c>
      <c r="Z12" s="2">
        <f t="shared" si="3"/>
        <v>0.73547922775212016</v>
      </c>
      <c r="AA12" s="2">
        <f t="shared" si="4"/>
        <v>8349.2668413427145</v>
      </c>
      <c r="AB12" s="2">
        <f t="shared" si="5"/>
        <v>6.8671232876712326E-2</v>
      </c>
      <c r="AC12" s="2">
        <f t="shared" si="6"/>
        <v>3.9284044550414303</v>
      </c>
      <c r="AD12" s="2">
        <v>20.456080876660501</v>
      </c>
      <c r="AE12" s="2">
        <f t="shared" si="7"/>
        <v>14.562138440055856</v>
      </c>
    </row>
    <row r="13" spans="1:33" x14ac:dyDescent="0.2">
      <c r="A13" t="s">
        <v>91</v>
      </c>
      <c r="B13" s="4" t="s">
        <v>91</v>
      </c>
      <c r="C13" s="16" t="s">
        <v>444</v>
      </c>
      <c r="D13" s="39" t="s">
        <v>432</v>
      </c>
      <c r="E13" s="16" t="s">
        <v>151</v>
      </c>
      <c r="F13" s="15"/>
      <c r="G13" s="16" t="s">
        <v>390</v>
      </c>
      <c r="H13" s="5" t="s">
        <v>452</v>
      </c>
      <c r="I13" s="6" t="s">
        <v>151</v>
      </c>
      <c r="J13" s="25"/>
      <c r="K13" s="18">
        <v>25</v>
      </c>
      <c r="L13" s="20">
        <v>25</v>
      </c>
      <c r="M13" s="1">
        <v>755</v>
      </c>
      <c r="N13" s="1">
        <v>58</v>
      </c>
      <c r="O13" s="52">
        <f t="shared" si="8"/>
        <v>2.3854432875000003E+18</v>
      </c>
      <c r="P13" s="1">
        <v>19</v>
      </c>
      <c r="Q13" t="s">
        <v>90</v>
      </c>
      <c r="R13">
        <v>131</v>
      </c>
      <c r="S13">
        <v>630</v>
      </c>
      <c r="T13">
        <v>-3262</v>
      </c>
      <c r="U13">
        <v>3892</v>
      </c>
      <c r="V13" t="s">
        <v>12</v>
      </c>
      <c r="W13" s="15">
        <f t="shared" si="0"/>
        <v>3.8919999999999999</v>
      </c>
      <c r="X13" s="2">
        <f t="shared" si="1"/>
        <v>13.017241379310345</v>
      </c>
      <c r="Y13" s="2">
        <f t="shared" si="2"/>
        <v>0.22443519619500593</v>
      </c>
      <c r="Z13" s="2">
        <f t="shared" si="3"/>
        <v>0.53456502715947107</v>
      </c>
      <c r="AA13" s="2">
        <f t="shared" si="4"/>
        <v>3189.9928615811664</v>
      </c>
      <c r="AB13" s="2">
        <f t="shared" si="5"/>
        <v>6.7103448275862065E-2</v>
      </c>
      <c r="AC13" s="2">
        <f t="shared" si="6"/>
        <v>3.8389891198573474</v>
      </c>
      <c r="AD13" s="2">
        <v>21.456080876660501</v>
      </c>
      <c r="AE13" s="2">
        <f t="shared" si="7"/>
        <v>14.902363823227134</v>
      </c>
    </row>
    <row r="14" spans="1:33" x14ac:dyDescent="0.2">
      <c r="A14" t="s">
        <v>289</v>
      </c>
      <c r="B14" s="4" t="s">
        <v>289</v>
      </c>
      <c r="C14" s="16" t="s">
        <v>444</v>
      </c>
      <c r="D14" s="39" t="s">
        <v>432</v>
      </c>
      <c r="E14" s="16" t="s">
        <v>151</v>
      </c>
      <c r="F14" s="16">
        <v>5.5</v>
      </c>
      <c r="G14" s="16" t="s">
        <v>390</v>
      </c>
      <c r="H14" s="5" t="s">
        <v>452</v>
      </c>
      <c r="I14" s="18" t="s">
        <v>151</v>
      </c>
      <c r="K14" s="18">
        <v>59</v>
      </c>
      <c r="L14" s="20">
        <v>59</v>
      </c>
      <c r="M14" s="1">
        <v>527</v>
      </c>
      <c r="N14" s="1">
        <v>48</v>
      </c>
      <c r="O14" s="52">
        <f t="shared" si="8"/>
        <v>3.0896516429999995E+18</v>
      </c>
      <c r="P14" s="1">
        <v>18</v>
      </c>
      <c r="Q14" t="s">
        <v>90</v>
      </c>
      <c r="R14">
        <v>110</v>
      </c>
      <c r="S14">
        <v>174</v>
      </c>
      <c r="T14">
        <v>-1962</v>
      </c>
      <c r="U14">
        <v>2136</v>
      </c>
      <c r="V14" t="s">
        <v>262</v>
      </c>
      <c r="W14" s="15">
        <f t="shared" si="0"/>
        <v>2.1360000000000001</v>
      </c>
      <c r="X14" s="2">
        <f t="shared" si="1"/>
        <v>10.979166666666666</v>
      </c>
      <c r="Y14" s="2">
        <f t="shared" si="2"/>
        <v>0.2287326388888889</v>
      </c>
      <c r="Z14" s="2">
        <f t="shared" si="3"/>
        <v>0.53965863493949595</v>
      </c>
      <c r="AA14" s="2">
        <f t="shared" si="4"/>
        <v>2237.9116262426446</v>
      </c>
      <c r="AB14" s="2">
        <f t="shared" si="5"/>
        <v>4.4500000000000005E-2</v>
      </c>
      <c r="AC14" s="2">
        <f t="shared" si="6"/>
        <v>2.5479811956359333</v>
      </c>
      <c r="AD14" s="2">
        <v>22.456080876660501</v>
      </c>
      <c r="AE14" s="2">
        <f t="shared" si="7"/>
        <v>22.471910112359549</v>
      </c>
    </row>
    <row r="15" spans="1:33" x14ac:dyDescent="0.2">
      <c r="A15" t="s">
        <v>95</v>
      </c>
      <c r="B15" s="4" t="s">
        <v>95</v>
      </c>
      <c r="C15" s="16" t="s">
        <v>444</v>
      </c>
      <c r="D15" s="39" t="s">
        <v>432</v>
      </c>
      <c r="E15" s="16" t="s">
        <v>137</v>
      </c>
      <c r="F15" s="15"/>
      <c r="G15" s="5" t="s">
        <v>390</v>
      </c>
      <c r="H15" s="5" t="s">
        <v>452</v>
      </c>
      <c r="I15" s="7"/>
      <c r="J15" s="26"/>
      <c r="K15" s="7"/>
      <c r="L15" s="21"/>
      <c r="M15" s="1">
        <v>601</v>
      </c>
      <c r="N15" s="1">
        <v>33</v>
      </c>
      <c r="O15" s="52"/>
      <c r="P15" s="1">
        <v>34</v>
      </c>
      <c r="Q15" t="s">
        <v>90</v>
      </c>
      <c r="R15">
        <v>101</v>
      </c>
      <c r="S15">
        <v>413</v>
      </c>
      <c r="T15">
        <v>-1232</v>
      </c>
      <c r="U15">
        <v>1645</v>
      </c>
      <c r="V15" t="s">
        <v>12</v>
      </c>
      <c r="W15" s="15">
        <f t="shared" si="0"/>
        <v>1.645</v>
      </c>
      <c r="X15" s="2">
        <f t="shared" si="1"/>
        <v>18.212121212121211</v>
      </c>
      <c r="Y15" s="2">
        <f t="shared" si="2"/>
        <v>0.55188246097337001</v>
      </c>
      <c r="Z15" s="2">
        <f t="shared" si="3"/>
        <v>0.83825925368985799</v>
      </c>
      <c r="AA15" s="2">
        <f t="shared" si="4"/>
        <v>2194.3381290781417</v>
      </c>
      <c r="AB15" s="2">
        <f t="shared" si="5"/>
        <v>4.984848484848485E-2</v>
      </c>
      <c r="AC15" s="2">
        <f t="shared" si="6"/>
        <v>2.8537456308489082</v>
      </c>
      <c r="AD15" s="2">
        <v>23.456080876660501</v>
      </c>
      <c r="AE15" s="2">
        <f t="shared" si="7"/>
        <v>20.060790273556229</v>
      </c>
    </row>
    <row r="16" spans="1:33" x14ac:dyDescent="0.2">
      <c r="A16" t="s">
        <v>94</v>
      </c>
      <c r="B16" s="4" t="s">
        <v>347</v>
      </c>
      <c r="C16" s="16" t="s">
        <v>444</v>
      </c>
      <c r="D16" s="39" t="s">
        <v>432</v>
      </c>
      <c r="E16" s="16" t="s">
        <v>140</v>
      </c>
      <c r="F16" s="15"/>
      <c r="G16" s="5" t="s">
        <v>390</v>
      </c>
      <c r="H16" s="5" t="s">
        <v>452</v>
      </c>
      <c r="I16" s="7" t="s">
        <v>348</v>
      </c>
      <c r="J16" s="26"/>
      <c r="K16" s="7">
        <v>2.9</v>
      </c>
      <c r="L16" s="21">
        <v>2.9</v>
      </c>
      <c r="M16" s="1">
        <v>284</v>
      </c>
      <c r="N16" s="1">
        <v>27</v>
      </c>
      <c r="O16" s="52">
        <f t="shared" si="8"/>
        <v>2.470637690625E+17</v>
      </c>
      <c r="P16" s="1">
        <v>17</v>
      </c>
      <c r="Q16" t="s">
        <v>90</v>
      </c>
      <c r="R16">
        <v>66</v>
      </c>
      <c r="S16">
        <v>1151</v>
      </c>
      <c r="T16">
        <v>-2324</v>
      </c>
      <c r="U16">
        <v>3475</v>
      </c>
      <c r="V16" t="s">
        <v>12</v>
      </c>
      <c r="W16" s="15">
        <f t="shared" si="0"/>
        <v>3.4750000000000001</v>
      </c>
      <c r="X16" s="2">
        <f t="shared" si="1"/>
        <v>10.518518518518519</v>
      </c>
      <c r="Y16" s="2">
        <f t="shared" si="2"/>
        <v>0.3895747599451303</v>
      </c>
      <c r="Z16" s="2">
        <f t="shared" si="3"/>
        <v>0.70428828766246199</v>
      </c>
      <c r="AA16" s="2">
        <f t="shared" si="4"/>
        <v>985.70746437705338</v>
      </c>
      <c r="AB16" s="2">
        <f t="shared" si="5"/>
        <v>0.12870370370370371</v>
      </c>
      <c r="AC16" s="2">
        <f t="shared" si="6"/>
        <v>7.3338620972087138</v>
      </c>
      <c r="AD16" s="2">
        <v>24.456080876660501</v>
      </c>
      <c r="AE16" s="2">
        <f t="shared" si="7"/>
        <v>7.7697841726618702</v>
      </c>
    </row>
    <row r="17" spans="1:31" s="5" customFormat="1" x14ac:dyDescent="0.2">
      <c r="A17" s="5" t="s">
        <v>308</v>
      </c>
      <c r="B17" s="5" t="s">
        <v>214</v>
      </c>
      <c r="C17" s="5" t="s">
        <v>447</v>
      </c>
      <c r="D17" s="41" t="s">
        <v>439</v>
      </c>
      <c r="E17" s="7">
        <v>6.5</v>
      </c>
      <c r="F17" s="50">
        <v>6.5</v>
      </c>
      <c r="G17" s="5" t="s">
        <v>445</v>
      </c>
      <c r="H17" s="5" t="s">
        <v>411</v>
      </c>
      <c r="M17" s="51">
        <v>535</v>
      </c>
      <c r="N17" s="51">
        <v>44</v>
      </c>
      <c r="O17" s="52"/>
      <c r="P17" s="51">
        <v>17</v>
      </c>
      <c r="Q17" s="5" t="s">
        <v>96</v>
      </c>
      <c r="R17" s="5">
        <v>114</v>
      </c>
      <c r="S17" s="5">
        <v>-107</v>
      </c>
      <c r="T17" s="5">
        <v>-3981</v>
      </c>
      <c r="U17" s="5">
        <v>3874</v>
      </c>
      <c r="V17" s="5" t="s">
        <v>262</v>
      </c>
      <c r="W17" s="15">
        <f t="shared" si="0"/>
        <v>3.8740000000000001</v>
      </c>
      <c r="X17" s="2">
        <f t="shared" si="1"/>
        <v>12.159090909090908</v>
      </c>
      <c r="Y17" s="2">
        <f t="shared" si="2"/>
        <v>0.27634297520661155</v>
      </c>
      <c r="Z17" s="2">
        <f t="shared" si="3"/>
        <v>0.59317013197298685</v>
      </c>
      <c r="AA17" s="2">
        <f t="shared" si="4"/>
        <v>2336.8276467762016</v>
      </c>
      <c r="AB17" s="2">
        <f t="shared" si="5"/>
        <v>8.8045454545454552E-2</v>
      </c>
      <c r="AC17" s="2">
        <f t="shared" si="6"/>
        <v>5.0316579120073524</v>
      </c>
      <c r="AD17" s="2">
        <v>25.456080876660501</v>
      </c>
      <c r="AE17" s="2">
        <f t="shared" si="7"/>
        <v>11.357769747031492</v>
      </c>
    </row>
    <row r="18" spans="1:31" x14ac:dyDescent="0.2">
      <c r="A18" t="s">
        <v>99</v>
      </c>
      <c r="B18" s="4" t="s">
        <v>214</v>
      </c>
      <c r="C18" s="16" t="s">
        <v>444</v>
      </c>
      <c r="D18" s="39" t="s">
        <v>439</v>
      </c>
      <c r="E18" s="18">
        <v>6.5</v>
      </c>
      <c r="F18" s="19">
        <v>6.5</v>
      </c>
      <c r="G18" s="16" t="s">
        <v>445</v>
      </c>
      <c r="H18" s="5" t="s">
        <v>411</v>
      </c>
      <c r="I18" s="7"/>
      <c r="J18" s="26"/>
      <c r="K18" s="7"/>
      <c r="L18" s="21"/>
      <c r="M18" s="1">
        <v>162</v>
      </c>
      <c r="N18" s="1">
        <v>23</v>
      </c>
      <c r="O18" s="52"/>
      <c r="P18" s="1">
        <v>15</v>
      </c>
      <c r="Q18" t="s">
        <v>96</v>
      </c>
      <c r="R18">
        <v>61</v>
      </c>
      <c r="S18">
        <v>-329</v>
      </c>
      <c r="T18">
        <v>-3435</v>
      </c>
      <c r="U18">
        <v>3106</v>
      </c>
      <c r="V18" t="s">
        <v>12</v>
      </c>
      <c r="W18" s="15">
        <f t="shared" si="0"/>
        <v>3.1059999999999999</v>
      </c>
      <c r="X18" s="2">
        <f t="shared" si="1"/>
        <v>7.0434782608695654</v>
      </c>
      <c r="Y18" s="2">
        <f t="shared" si="2"/>
        <v>0.30623818525519847</v>
      </c>
      <c r="Z18" s="2">
        <f t="shared" si="3"/>
        <v>0.62443139676151005</v>
      </c>
      <c r="AA18" s="2">
        <f t="shared" si="4"/>
        <v>688.06945989799613</v>
      </c>
      <c r="AB18" s="2">
        <f t="shared" si="5"/>
        <v>0.13504347826086957</v>
      </c>
      <c r="AC18" s="2">
        <f t="shared" si="6"/>
        <v>7.6908942885867404</v>
      </c>
      <c r="AD18" s="2">
        <v>26.456080876660501</v>
      </c>
      <c r="AE18" s="2">
        <f t="shared" si="7"/>
        <v>7.405022537025113</v>
      </c>
    </row>
    <row r="19" spans="1:31" s="5" customFormat="1" x14ac:dyDescent="0.2">
      <c r="A19" s="5" t="s">
        <v>309</v>
      </c>
      <c r="B19" s="5" t="s">
        <v>214</v>
      </c>
      <c r="C19" s="5" t="s">
        <v>444</v>
      </c>
      <c r="D19" s="41" t="s">
        <v>439</v>
      </c>
      <c r="E19" s="7">
        <v>6.5</v>
      </c>
      <c r="F19" s="50">
        <v>6.5</v>
      </c>
      <c r="G19" s="5" t="s">
        <v>445</v>
      </c>
      <c r="H19" s="5" t="s">
        <v>411</v>
      </c>
      <c r="M19" s="51">
        <v>307</v>
      </c>
      <c r="N19" s="51">
        <v>37</v>
      </c>
      <c r="O19" s="52"/>
      <c r="P19" s="51">
        <v>13</v>
      </c>
      <c r="Q19" s="5" t="s">
        <v>96</v>
      </c>
      <c r="R19" s="5">
        <v>91</v>
      </c>
      <c r="S19" s="5">
        <v>-3</v>
      </c>
      <c r="T19" s="5">
        <v>-4111</v>
      </c>
      <c r="U19" s="5">
        <v>4108</v>
      </c>
      <c r="V19" s="5" t="s">
        <v>262</v>
      </c>
      <c r="W19" s="15">
        <f t="shared" si="0"/>
        <v>4.1079999999999997</v>
      </c>
      <c r="X19" s="2">
        <f t="shared" si="1"/>
        <v>8.2972972972972965</v>
      </c>
      <c r="Y19" s="2">
        <f t="shared" si="2"/>
        <v>0.22425127830533237</v>
      </c>
      <c r="Z19" s="2">
        <f t="shared" si="3"/>
        <v>0.53434595229203008</v>
      </c>
      <c r="AA19" s="2">
        <f t="shared" si="4"/>
        <v>1413.0434614790586</v>
      </c>
      <c r="AB19" s="2">
        <f t="shared" si="5"/>
        <v>0.11102702702702702</v>
      </c>
      <c r="AC19" s="2">
        <f t="shared" si="6"/>
        <v>6.335432790848988</v>
      </c>
      <c r="AD19" s="2">
        <v>27.456080876660501</v>
      </c>
      <c r="AE19" s="2">
        <f t="shared" si="7"/>
        <v>9.0068159688412859</v>
      </c>
    </row>
    <row r="20" spans="1:31" s="5" customFormat="1" x14ac:dyDescent="0.2">
      <c r="A20" s="5" t="s">
        <v>326</v>
      </c>
      <c r="B20" s="5" t="s">
        <v>337</v>
      </c>
      <c r="C20" s="5" t="s">
        <v>446</v>
      </c>
      <c r="D20" s="41" t="s">
        <v>439</v>
      </c>
      <c r="G20" s="5" t="s">
        <v>445</v>
      </c>
      <c r="H20" s="5" t="s">
        <v>411</v>
      </c>
      <c r="M20" s="51">
        <v>546</v>
      </c>
      <c r="N20" s="51">
        <v>34</v>
      </c>
      <c r="O20" s="52"/>
      <c r="P20" s="51">
        <v>28</v>
      </c>
      <c r="Q20" s="5" t="s">
        <v>96</v>
      </c>
      <c r="R20" s="5">
        <v>120</v>
      </c>
      <c r="S20" s="5">
        <v>-468</v>
      </c>
      <c r="T20" s="5">
        <v>-4935</v>
      </c>
      <c r="U20" s="5">
        <v>4467</v>
      </c>
      <c r="V20" s="5" t="s">
        <v>262</v>
      </c>
      <c r="W20" s="15">
        <f t="shared" si="0"/>
        <v>4.4669999999999996</v>
      </c>
      <c r="X20" s="2">
        <f t="shared" si="1"/>
        <v>16.058823529411764</v>
      </c>
      <c r="Y20" s="2">
        <f t="shared" si="2"/>
        <v>0.47231833910034604</v>
      </c>
      <c r="Z20" s="2">
        <f t="shared" si="3"/>
        <v>0.77548332647942697</v>
      </c>
      <c r="AA20" s="2">
        <f t="shared" si="4"/>
        <v>2484.9777651286945</v>
      </c>
      <c r="AB20" s="2">
        <f t="shared" si="5"/>
        <v>0.13138235294117645</v>
      </c>
      <c r="AC20" s="2">
        <f t="shared" si="6"/>
        <v>7.4847850229197208</v>
      </c>
      <c r="AD20" s="2">
        <v>28.456080876660501</v>
      </c>
      <c r="AE20" s="2">
        <f t="shared" si="7"/>
        <v>7.611372285650325</v>
      </c>
    </row>
    <row r="21" spans="1:31" s="5" customFormat="1" x14ac:dyDescent="0.2">
      <c r="A21" s="5" t="s">
        <v>313</v>
      </c>
      <c r="B21" s="5" t="s">
        <v>337</v>
      </c>
      <c r="C21" s="5" t="s">
        <v>446</v>
      </c>
      <c r="D21" s="41" t="s">
        <v>439</v>
      </c>
      <c r="G21" s="5" t="s">
        <v>445</v>
      </c>
      <c r="H21" s="5" t="s">
        <v>411</v>
      </c>
      <c r="M21" s="51">
        <v>186</v>
      </c>
      <c r="N21" s="51">
        <v>22</v>
      </c>
      <c r="O21" s="52"/>
      <c r="P21" s="51">
        <v>15</v>
      </c>
      <c r="Q21" s="5" t="s">
        <v>96</v>
      </c>
      <c r="R21" s="5">
        <v>65</v>
      </c>
      <c r="S21" s="5">
        <v>-270</v>
      </c>
      <c r="T21" s="5">
        <v>-4402</v>
      </c>
      <c r="U21" s="5">
        <v>4132</v>
      </c>
      <c r="V21" s="5" t="s">
        <v>262</v>
      </c>
      <c r="W21" s="15">
        <f t="shared" si="0"/>
        <v>4.1319999999999997</v>
      </c>
      <c r="X21" s="2">
        <f t="shared" si="1"/>
        <v>8.454545454545455</v>
      </c>
      <c r="Y21" s="2">
        <f t="shared" si="2"/>
        <v>0.38429752066115702</v>
      </c>
      <c r="Z21" s="2">
        <f t="shared" si="3"/>
        <v>0.69950182441940256</v>
      </c>
      <c r="AA21" s="2">
        <f t="shared" si="4"/>
        <v>785.62404751636768</v>
      </c>
      <c r="AB21" s="2">
        <f t="shared" si="5"/>
        <v>0.1878181818181818</v>
      </c>
      <c r="AC21" s="2">
        <f t="shared" si="6"/>
        <v>10.637265587748544</v>
      </c>
      <c r="AD21" s="2">
        <v>29.456080876660501</v>
      </c>
      <c r="AE21" s="2">
        <f t="shared" si="7"/>
        <v>5.3242981606969995</v>
      </c>
    </row>
    <row r="22" spans="1:31" s="5" customFormat="1" x14ac:dyDescent="0.2">
      <c r="A22" s="5" t="s">
        <v>97</v>
      </c>
      <c r="B22" s="5" t="s">
        <v>215</v>
      </c>
      <c r="C22" s="5" t="s">
        <v>447</v>
      </c>
      <c r="D22" s="41" t="s">
        <v>439</v>
      </c>
      <c r="E22" s="7" t="s">
        <v>247</v>
      </c>
      <c r="F22" s="50">
        <v>12</v>
      </c>
      <c r="G22" s="5" t="s">
        <v>445</v>
      </c>
      <c r="H22" s="5" t="s">
        <v>411</v>
      </c>
      <c r="I22" s="7"/>
      <c r="J22" s="26"/>
      <c r="K22" s="7"/>
      <c r="L22" s="21"/>
      <c r="M22" s="51">
        <v>170</v>
      </c>
      <c r="N22" s="51">
        <v>25</v>
      </c>
      <c r="O22" s="52"/>
      <c r="P22" s="51">
        <v>11</v>
      </c>
      <c r="Q22" s="5" t="s">
        <v>96</v>
      </c>
      <c r="R22" s="5">
        <v>58</v>
      </c>
      <c r="S22" s="5">
        <v>-137</v>
      </c>
      <c r="T22" s="5">
        <v>-3350</v>
      </c>
      <c r="U22" s="5">
        <v>3213</v>
      </c>
      <c r="V22" s="5" t="s">
        <v>262</v>
      </c>
      <c r="W22" s="15">
        <f t="shared" si="0"/>
        <v>3.2130000000000001</v>
      </c>
      <c r="X22" s="2">
        <f t="shared" si="1"/>
        <v>6.8</v>
      </c>
      <c r="Y22" s="2">
        <f t="shared" si="2"/>
        <v>0.27200000000000002</v>
      </c>
      <c r="Z22" s="2">
        <f t="shared" si="3"/>
        <v>0.58849057568160634</v>
      </c>
      <c r="AA22" s="2">
        <f t="shared" si="4"/>
        <v>670.18915221062775</v>
      </c>
      <c r="AB22" s="2">
        <f t="shared" si="5"/>
        <v>0.12852</v>
      </c>
      <c r="AC22" s="2">
        <f t="shared" si="6"/>
        <v>7.3235079188838199</v>
      </c>
      <c r="AD22" s="2">
        <v>30.456080876660501</v>
      </c>
      <c r="AE22" s="2">
        <f t="shared" si="7"/>
        <v>7.7808901338313099</v>
      </c>
    </row>
    <row r="23" spans="1:31" s="5" customFormat="1" x14ac:dyDescent="0.2">
      <c r="A23" s="5" t="s">
        <v>316</v>
      </c>
      <c r="B23" s="5" t="s">
        <v>215</v>
      </c>
      <c r="C23" s="5" t="s">
        <v>446</v>
      </c>
      <c r="D23" s="41" t="s">
        <v>439</v>
      </c>
      <c r="E23" s="7" t="s">
        <v>247</v>
      </c>
      <c r="F23" s="50">
        <v>12</v>
      </c>
      <c r="G23" s="5" t="s">
        <v>445</v>
      </c>
      <c r="H23" s="5" t="s">
        <v>411</v>
      </c>
      <c r="M23" s="51">
        <v>247</v>
      </c>
      <c r="N23" s="51">
        <v>30</v>
      </c>
      <c r="O23" s="52"/>
      <c r="P23" s="51">
        <v>13</v>
      </c>
      <c r="Q23" s="5" t="s">
        <v>96</v>
      </c>
      <c r="R23" s="5">
        <v>80</v>
      </c>
      <c r="S23" s="5">
        <v>258</v>
      </c>
      <c r="T23" s="5">
        <v>-4297</v>
      </c>
      <c r="U23" s="5">
        <v>4555</v>
      </c>
      <c r="V23" s="5" t="s">
        <v>262</v>
      </c>
      <c r="W23" s="15">
        <f t="shared" si="0"/>
        <v>4.5549999999999997</v>
      </c>
      <c r="X23" s="2">
        <f t="shared" si="1"/>
        <v>8.2333333333333325</v>
      </c>
      <c r="Y23" s="2">
        <f t="shared" si="2"/>
        <v>0.27444444444444444</v>
      </c>
      <c r="Z23" s="2">
        <f t="shared" si="3"/>
        <v>0.59112902230486586</v>
      </c>
      <c r="AA23" s="2">
        <f t="shared" si="4"/>
        <v>1114.2519514580172</v>
      </c>
      <c r="AB23" s="2">
        <f t="shared" si="5"/>
        <v>0.15183333333333332</v>
      </c>
      <c r="AC23" s="2">
        <f t="shared" si="6"/>
        <v>8.6334686970763013</v>
      </c>
      <c r="AD23" s="2">
        <v>31.456080876660501</v>
      </c>
      <c r="AE23" s="2">
        <f t="shared" si="7"/>
        <v>6.5861690450054891</v>
      </c>
    </row>
    <row r="24" spans="1:31" s="41" customFormat="1" x14ac:dyDescent="0.2">
      <c r="A24" s="5" t="s">
        <v>321</v>
      </c>
      <c r="B24" s="5" t="s">
        <v>215</v>
      </c>
      <c r="C24" s="5" t="s">
        <v>444</v>
      </c>
      <c r="D24" s="41" t="s">
        <v>439</v>
      </c>
      <c r="E24" s="7" t="s">
        <v>247</v>
      </c>
      <c r="F24" s="50">
        <v>12</v>
      </c>
      <c r="G24" s="5" t="s">
        <v>445</v>
      </c>
      <c r="H24" s="5" t="s">
        <v>411</v>
      </c>
      <c r="I24" s="5"/>
      <c r="J24" s="5"/>
      <c r="K24" s="5"/>
      <c r="L24" s="5"/>
      <c r="M24" s="51">
        <v>333</v>
      </c>
      <c r="N24" s="51">
        <v>36</v>
      </c>
      <c r="O24" s="52"/>
      <c r="P24" s="51">
        <v>18</v>
      </c>
      <c r="Q24" s="5" t="s">
        <v>96</v>
      </c>
      <c r="R24" s="5">
        <v>95</v>
      </c>
      <c r="S24" s="5">
        <v>261</v>
      </c>
      <c r="T24" s="5">
        <v>-4499</v>
      </c>
      <c r="U24" s="5">
        <v>4760</v>
      </c>
      <c r="V24" s="5" t="s">
        <v>262</v>
      </c>
      <c r="W24" s="15">
        <f t="shared" si="0"/>
        <v>4.76</v>
      </c>
      <c r="X24" s="2">
        <f t="shared" si="1"/>
        <v>9.25</v>
      </c>
      <c r="Y24" s="2">
        <f t="shared" si="2"/>
        <v>0.25694444444444442</v>
      </c>
      <c r="Z24" s="2">
        <f t="shared" si="3"/>
        <v>0.57197187770191626</v>
      </c>
      <c r="AA24" s="2">
        <f t="shared" si="4"/>
        <v>1536.3517582903987</v>
      </c>
      <c r="AB24" s="2">
        <f t="shared" si="5"/>
        <v>0.13222222222222221</v>
      </c>
      <c r="AC24" s="2">
        <f t="shared" si="6"/>
        <v>7.5320843096915286</v>
      </c>
      <c r="AD24" s="2">
        <v>32.456080876660501</v>
      </c>
      <c r="AE24" s="2">
        <f t="shared" si="7"/>
        <v>7.5630252100840343</v>
      </c>
    </row>
    <row r="25" spans="1:31" s="5" customFormat="1" x14ac:dyDescent="0.2">
      <c r="A25" s="5" t="s">
        <v>320</v>
      </c>
      <c r="B25" s="5" t="s">
        <v>215</v>
      </c>
      <c r="C25" s="5" t="s">
        <v>447</v>
      </c>
      <c r="D25" s="41" t="s">
        <v>439</v>
      </c>
      <c r="E25" s="7" t="s">
        <v>247</v>
      </c>
      <c r="F25" s="50">
        <v>12</v>
      </c>
      <c r="G25" s="5" t="s">
        <v>445</v>
      </c>
      <c r="H25" s="5" t="s">
        <v>411</v>
      </c>
      <c r="M25" s="51">
        <v>215</v>
      </c>
      <c r="N25" s="51">
        <v>32</v>
      </c>
      <c r="O25" s="52"/>
      <c r="P25" s="51">
        <v>12</v>
      </c>
      <c r="Q25" s="5" t="s">
        <v>96</v>
      </c>
      <c r="R25" s="5">
        <v>74</v>
      </c>
      <c r="S25" s="5">
        <v>-376</v>
      </c>
      <c r="T25" s="5">
        <v>-4549</v>
      </c>
      <c r="U25" s="5">
        <v>4173</v>
      </c>
      <c r="V25" s="5" t="s">
        <v>262</v>
      </c>
      <c r="W25" s="15">
        <f t="shared" si="0"/>
        <v>4.173</v>
      </c>
      <c r="X25" s="2">
        <f t="shared" si="1"/>
        <v>6.71875</v>
      </c>
      <c r="Y25" s="2">
        <f t="shared" si="2"/>
        <v>0.2099609375</v>
      </c>
      <c r="Z25" s="2">
        <f t="shared" si="3"/>
        <v>0.51704020117499305</v>
      </c>
      <c r="AA25" s="2">
        <f t="shared" si="4"/>
        <v>961.60317683252276</v>
      </c>
      <c r="AB25" s="2">
        <f t="shared" si="5"/>
        <v>0.13040625</v>
      </c>
      <c r="AC25" s="2">
        <f t="shared" si="6"/>
        <v>7.4298005151567494</v>
      </c>
      <c r="AD25" s="2">
        <v>33.456080876660501</v>
      </c>
      <c r="AE25" s="2">
        <f t="shared" si="7"/>
        <v>7.6683441169422473</v>
      </c>
    </row>
    <row r="26" spans="1:31" s="5" customFormat="1" x14ac:dyDescent="0.2">
      <c r="A26" s="5" t="s">
        <v>312</v>
      </c>
      <c r="B26" s="5" t="s">
        <v>216</v>
      </c>
      <c r="C26" s="5" t="s">
        <v>446</v>
      </c>
      <c r="D26" s="41" t="s">
        <v>439</v>
      </c>
      <c r="E26" s="7">
        <v>9.3000000000000007</v>
      </c>
      <c r="F26" s="50">
        <v>9.3000000000000007</v>
      </c>
      <c r="G26" s="5" t="s">
        <v>445</v>
      </c>
      <c r="H26" s="41" t="s">
        <v>411</v>
      </c>
      <c r="M26" s="51">
        <v>202</v>
      </c>
      <c r="N26" s="51">
        <v>27</v>
      </c>
      <c r="O26" s="52"/>
      <c r="P26" s="51">
        <v>15</v>
      </c>
      <c r="Q26" s="5" t="s">
        <v>96</v>
      </c>
      <c r="R26" s="5">
        <v>73</v>
      </c>
      <c r="S26" s="5">
        <v>-320</v>
      </c>
      <c r="T26" s="5">
        <v>-4309</v>
      </c>
      <c r="U26" s="5">
        <v>3989</v>
      </c>
      <c r="V26" s="5" t="s">
        <v>262</v>
      </c>
      <c r="W26" s="15">
        <f t="shared" si="0"/>
        <v>3.9889999999999999</v>
      </c>
      <c r="X26" s="2">
        <f t="shared" si="1"/>
        <v>7.4814814814814818</v>
      </c>
      <c r="Y26" s="2">
        <f t="shared" si="2"/>
        <v>0.27709190672153633</v>
      </c>
      <c r="Z26" s="2">
        <f t="shared" si="3"/>
        <v>0.59397337877221068</v>
      </c>
      <c r="AA26" s="2">
        <f t="shared" si="4"/>
        <v>919.48253518883109</v>
      </c>
      <c r="AB26" s="2">
        <f t="shared" si="5"/>
        <v>0.14774074074074073</v>
      </c>
      <c r="AC26" s="2">
        <f t="shared" si="6"/>
        <v>8.4041262688700549</v>
      </c>
      <c r="AD26" s="2">
        <v>34.456080876660501</v>
      </c>
      <c r="AE26" s="2">
        <f t="shared" si="7"/>
        <v>6.7686136876410128</v>
      </c>
    </row>
    <row r="27" spans="1:31" s="5" customFormat="1" x14ac:dyDescent="0.2">
      <c r="A27" s="5" t="s">
        <v>98</v>
      </c>
      <c r="B27" s="5" t="s">
        <v>216</v>
      </c>
      <c r="C27" s="5" t="s">
        <v>444</v>
      </c>
      <c r="D27" s="41" t="s">
        <v>439</v>
      </c>
      <c r="E27" s="7">
        <v>9.3000000000000007</v>
      </c>
      <c r="F27" s="50">
        <v>9.3000000000000007</v>
      </c>
      <c r="G27" s="5" t="s">
        <v>445</v>
      </c>
      <c r="H27" s="41" t="s">
        <v>411</v>
      </c>
      <c r="I27" s="7"/>
      <c r="J27" s="26"/>
      <c r="K27" s="7"/>
      <c r="L27" s="21"/>
      <c r="M27" s="51">
        <v>266</v>
      </c>
      <c r="N27" s="51">
        <v>33</v>
      </c>
      <c r="O27" s="52"/>
      <c r="P27" s="51">
        <v>15</v>
      </c>
      <c r="Q27" s="5" t="s">
        <v>96</v>
      </c>
      <c r="R27" s="5">
        <v>84</v>
      </c>
      <c r="S27" s="5">
        <v>-11</v>
      </c>
      <c r="T27" s="5">
        <v>-4285</v>
      </c>
      <c r="U27" s="5">
        <v>4274</v>
      </c>
      <c r="V27" s="5" t="s">
        <v>262</v>
      </c>
      <c r="W27" s="15">
        <f t="shared" si="0"/>
        <v>4.274</v>
      </c>
      <c r="X27" s="2">
        <f t="shared" si="1"/>
        <v>8.0606060606060606</v>
      </c>
      <c r="Y27" s="2">
        <f t="shared" si="2"/>
        <v>0.24426078971533516</v>
      </c>
      <c r="Z27" s="2">
        <f t="shared" si="3"/>
        <v>0.55767597943530667</v>
      </c>
      <c r="AA27" s="2">
        <f t="shared" si="4"/>
        <v>1214.1295914816342</v>
      </c>
      <c r="AB27" s="2">
        <f t="shared" si="5"/>
        <v>0.12951515151515153</v>
      </c>
      <c r="AC27" s="2">
        <f t="shared" si="6"/>
        <v>7.37959234114712</v>
      </c>
      <c r="AD27" s="2">
        <v>35.456080876660501</v>
      </c>
      <c r="AE27" s="2">
        <f t="shared" si="7"/>
        <v>7.7211043518951801</v>
      </c>
    </row>
    <row r="28" spans="1:31" s="5" customFormat="1" x14ac:dyDescent="0.2">
      <c r="A28" s="5" t="s">
        <v>325</v>
      </c>
      <c r="B28" s="5" t="s">
        <v>216</v>
      </c>
      <c r="C28" s="5" t="s">
        <v>447</v>
      </c>
      <c r="D28" s="41" t="s">
        <v>439</v>
      </c>
      <c r="E28" s="7">
        <v>9.3000000000000007</v>
      </c>
      <c r="F28" s="50">
        <v>9.3000000000000007</v>
      </c>
      <c r="G28" s="5" t="s">
        <v>445</v>
      </c>
      <c r="H28" s="41" t="s">
        <v>411</v>
      </c>
      <c r="M28" s="51">
        <v>1360</v>
      </c>
      <c r="N28" s="51">
        <v>57</v>
      </c>
      <c r="O28" s="52"/>
      <c r="P28" s="51">
        <v>40</v>
      </c>
      <c r="Q28" s="5" t="s">
        <v>96</v>
      </c>
      <c r="R28" s="5">
        <v>156</v>
      </c>
      <c r="S28" s="5">
        <v>-280</v>
      </c>
      <c r="T28" s="5">
        <v>-4732</v>
      </c>
      <c r="U28" s="5">
        <v>4452</v>
      </c>
      <c r="V28" s="5" t="s">
        <v>262</v>
      </c>
      <c r="W28" s="15">
        <f t="shared" si="0"/>
        <v>4.452</v>
      </c>
      <c r="X28" s="2">
        <f t="shared" si="1"/>
        <v>23.859649122807017</v>
      </c>
      <c r="Y28" s="2">
        <f t="shared" si="2"/>
        <v>0.41859033548784241</v>
      </c>
      <c r="Z28" s="2">
        <f t="shared" si="3"/>
        <v>0.7300450468927</v>
      </c>
      <c r="AA28" s="2">
        <f t="shared" si="4"/>
        <v>5098.4597169727249</v>
      </c>
      <c r="AB28" s="2">
        <f t="shared" si="5"/>
        <v>7.8105263157894733E-2</v>
      </c>
      <c r="AC28" s="2">
        <f t="shared" si="6"/>
        <v>4.4660350821277452</v>
      </c>
      <c r="AD28" s="2">
        <v>36.456080876660501</v>
      </c>
      <c r="AE28" s="2">
        <f t="shared" si="7"/>
        <v>12.80323450134771</v>
      </c>
    </row>
    <row r="29" spans="1:31" s="5" customFormat="1" x14ac:dyDescent="0.2">
      <c r="A29" s="5" t="s">
        <v>31</v>
      </c>
      <c r="B29" s="5" t="s">
        <v>217</v>
      </c>
      <c r="C29" s="5" t="s">
        <v>444</v>
      </c>
      <c r="D29" s="41" t="s">
        <v>438</v>
      </c>
      <c r="F29" s="53"/>
      <c r="G29" s="8" t="s">
        <v>176</v>
      </c>
      <c r="H29" s="8" t="s">
        <v>419</v>
      </c>
      <c r="I29" s="8" t="s">
        <v>177</v>
      </c>
      <c r="J29" s="27">
        <v>7.0000000000000007E-2</v>
      </c>
      <c r="K29" s="7" t="s">
        <v>178</v>
      </c>
      <c r="L29" s="21">
        <v>7</v>
      </c>
      <c r="M29" s="51">
        <v>321</v>
      </c>
      <c r="N29" s="51">
        <v>28</v>
      </c>
      <c r="O29" s="52">
        <f t="shared" si="8"/>
        <v>3.7823863350000006E+17</v>
      </c>
      <c r="P29" s="51">
        <v>28</v>
      </c>
      <c r="Q29" s="5" t="s">
        <v>29</v>
      </c>
      <c r="R29" s="5">
        <v>95</v>
      </c>
      <c r="S29" s="5">
        <v>905</v>
      </c>
      <c r="T29" s="5">
        <v>-1299</v>
      </c>
      <c r="U29" s="5">
        <v>2204</v>
      </c>
      <c r="V29" s="5" t="s">
        <v>12</v>
      </c>
      <c r="W29" s="53">
        <f t="shared" si="0"/>
        <v>2.2040000000000002</v>
      </c>
      <c r="X29" s="28">
        <f t="shared" si="1"/>
        <v>11.464285714285714</v>
      </c>
      <c r="Y29" s="28">
        <f t="shared" si="2"/>
        <v>0.40943877551020408</v>
      </c>
      <c r="Z29" s="28">
        <f t="shared" si="3"/>
        <v>0.72202052767398184</v>
      </c>
      <c r="AA29" s="28">
        <f t="shared" si="4"/>
        <v>1508.415759820216</v>
      </c>
      <c r="AB29" s="28">
        <f t="shared" si="5"/>
        <v>7.8714285714285723E-2</v>
      </c>
      <c r="AC29" s="28">
        <f t="shared" si="6"/>
        <v>4.5007162799712273</v>
      </c>
      <c r="AD29" s="28">
        <v>37.456080876660501</v>
      </c>
      <c r="AE29" s="28">
        <f t="shared" si="7"/>
        <v>12.704174228675136</v>
      </c>
    </row>
    <row r="30" spans="1:31" s="5" customFormat="1" x14ac:dyDescent="0.2">
      <c r="A30" s="5" t="s">
        <v>30</v>
      </c>
      <c r="B30" s="5" t="s">
        <v>217</v>
      </c>
      <c r="C30" s="5" t="s">
        <v>444</v>
      </c>
      <c r="D30" s="41" t="s">
        <v>438</v>
      </c>
      <c r="F30" s="53"/>
      <c r="G30" s="5" t="s">
        <v>176</v>
      </c>
      <c r="H30" s="8" t="s">
        <v>419</v>
      </c>
      <c r="I30" s="7"/>
      <c r="J30" s="26"/>
      <c r="K30" s="7"/>
      <c r="L30" s="21"/>
      <c r="M30" s="51">
        <v>162</v>
      </c>
      <c r="N30" s="51">
        <v>21</v>
      </c>
      <c r="O30" s="52"/>
      <c r="P30" s="51">
        <v>10</v>
      </c>
      <c r="Q30" s="5" t="s">
        <v>29</v>
      </c>
      <c r="R30" s="5">
        <v>55</v>
      </c>
      <c r="S30" s="5">
        <v>840</v>
      </c>
      <c r="T30" s="5">
        <v>-1254</v>
      </c>
      <c r="U30" s="5">
        <v>2094</v>
      </c>
      <c r="V30" s="5" t="s">
        <v>12</v>
      </c>
      <c r="W30" s="53">
        <f t="shared" si="0"/>
        <v>2.0939999999999999</v>
      </c>
      <c r="X30" s="28">
        <f t="shared" si="1"/>
        <v>7.7142857142857144</v>
      </c>
      <c r="Y30" s="28">
        <f t="shared" si="2"/>
        <v>0.36734693877551022</v>
      </c>
      <c r="Z30" s="28">
        <f t="shared" si="3"/>
        <v>0.68390105359593956</v>
      </c>
      <c r="AA30" s="28">
        <f t="shared" si="4"/>
        <v>620.39049662934076</v>
      </c>
      <c r="AB30" s="28">
        <f t="shared" si="5"/>
        <v>9.9714285714285714E-2</v>
      </c>
      <c r="AC30" s="28">
        <f t="shared" si="6"/>
        <v>5.6943845381093778</v>
      </c>
      <c r="AD30" s="28">
        <v>38.4560808766593</v>
      </c>
      <c r="AE30" s="28">
        <f t="shared" si="7"/>
        <v>10.02865329512894</v>
      </c>
    </row>
    <row r="31" spans="1:31" s="16" customFormat="1" x14ac:dyDescent="0.2">
      <c r="A31" s="16" t="s">
        <v>292</v>
      </c>
      <c r="B31" s="16" t="s">
        <v>217</v>
      </c>
      <c r="C31" s="5" t="s">
        <v>444</v>
      </c>
      <c r="D31" s="39" t="s">
        <v>438</v>
      </c>
      <c r="G31" s="16" t="s">
        <v>404</v>
      </c>
      <c r="H31" s="5" t="s">
        <v>410</v>
      </c>
      <c r="M31" s="1">
        <v>261</v>
      </c>
      <c r="N31" s="1">
        <v>27</v>
      </c>
      <c r="O31" s="52"/>
      <c r="P31" s="1">
        <v>16</v>
      </c>
      <c r="Q31" s="16" t="s">
        <v>29</v>
      </c>
      <c r="R31" s="16">
        <v>68</v>
      </c>
      <c r="S31" s="16">
        <v>735</v>
      </c>
      <c r="T31" s="16">
        <v>-1736</v>
      </c>
      <c r="U31" s="16">
        <v>2471</v>
      </c>
      <c r="V31" s="16" t="s">
        <v>262</v>
      </c>
      <c r="W31" s="15">
        <f t="shared" ref="W31:W94" si="9">U31/1000</f>
        <v>2.4710000000000001</v>
      </c>
      <c r="X31" s="2">
        <f t="shared" ref="X31:X94" si="10">M31/N31</f>
        <v>9.6666666666666661</v>
      </c>
      <c r="Y31" s="2">
        <f t="shared" ref="Y31:Y94" si="11">M31/(N31*N31)</f>
        <v>0.35802469135802467</v>
      </c>
      <c r="Z31" s="2">
        <f t="shared" ref="Z31:Z94" si="12">(2*(SQRT(M31/3.14159264)))/N31</f>
        <v>0.67516753254325246</v>
      </c>
      <c r="AA31" s="2">
        <f t="shared" ref="AA31:AA94" si="13">R31/(2/SQRT(M31*3.14159264))</f>
        <v>973.58552011122254</v>
      </c>
      <c r="AB31" s="2">
        <f t="shared" ref="AB31:AB94" si="14">W31/N31</f>
        <v>9.1518518518518527E-2</v>
      </c>
      <c r="AC31" s="2">
        <f t="shared" si="6"/>
        <v>5.2290584205393467</v>
      </c>
      <c r="AD31" s="2">
        <v>39.4560808766593</v>
      </c>
      <c r="AE31" s="2">
        <f t="shared" ref="AE31:AE94" si="15">N31/W31</f>
        <v>10.926750303520841</v>
      </c>
    </row>
    <row r="32" spans="1:31" s="16" customFormat="1" x14ac:dyDescent="0.2">
      <c r="A32" s="16" t="s">
        <v>285</v>
      </c>
      <c r="B32" s="16" t="s">
        <v>217</v>
      </c>
      <c r="C32" s="5" t="s">
        <v>444</v>
      </c>
      <c r="D32" s="39" t="s">
        <v>438</v>
      </c>
      <c r="G32" s="16" t="s">
        <v>404</v>
      </c>
      <c r="H32" s="5" t="s">
        <v>410</v>
      </c>
      <c r="M32" s="1">
        <v>63</v>
      </c>
      <c r="N32" s="1">
        <v>13</v>
      </c>
      <c r="O32" s="52"/>
      <c r="P32" s="1">
        <v>7</v>
      </c>
      <c r="Q32" s="16" t="s">
        <v>29</v>
      </c>
      <c r="R32" s="16">
        <v>32</v>
      </c>
      <c r="S32" s="16">
        <v>460</v>
      </c>
      <c r="T32" s="16">
        <v>-1332</v>
      </c>
      <c r="U32" s="16">
        <v>1792</v>
      </c>
      <c r="V32" s="16" t="s">
        <v>262</v>
      </c>
      <c r="W32" s="15">
        <f t="shared" si="9"/>
        <v>1.792</v>
      </c>
      <c r="X32" s="2">
        <f t="shared" si="10"/>
        <v>4.8461538461538458</v>
      </c>
      <c r="Y32" s="2">
        <f t="shared" si="11"/>
        <v>0.37278106508875741</v>
      </c>
      <c r="Z32" s="2">
        <f t="shared" si="12"/>
        <v>0.68894092319492684</v>
      </c>
      <c r="AA32" s="2">
        <f t="shared" si="13"/>
        <v>225.09466030521469</v>
      </c>
      <c r="AB32" s="2">
        <f t="shared" si="14"/>
        <v>0.13784615384615384</v>
      </c>
      <c r="AC32" s="2">
        <f t="shared" si="6"/>
        <v>7.8485407416916306</v>
      </c>
      <c r="AD32" s="2">
        <v>40.4560808766592</v>
      </c>
      <c r="AE32" s="2">
        <f t="shared" si="15"/>
        <v>7.2544642857142856</v>
      </c>
    </row>
    <row r="33" spans="1:31" x14ac:dyDescent="0.2">
      <c r="A33" t="s">
        <v>32</v>
      </c>
      <c r="B33" s="4" t="s">
        <v>32</v>
      </c>
      <c r="C33" s="5" t="s">
        <v>444</v>
      </c>
      <c r="D33" s="39" t="s">
        <v>438</v>
      </c>
      <c r="E33" s="16"/>
      <c r="F33" s="15"/>
      <c r="G33" s="5" t="s">
        <v>184</v>
      </c>
      <c r="H33" s="38" t="s">
        <v>356</v>
      </c>
      <c r="I33" s="7" t="s">
        <v>185</v>
      </c>
      <c r="J33" s="26">
        <f>(0.75+0.507)/2</f>
        <v>0.62850000000000006</v>
      </c>
      <c r="K33" s="7"/>
      <c r="L33" s="21"/>
      <c r="M33" s="1">
        <v>1268</v>
      </c>
      <c r="N33" s="1">
        <v>69</v>
      </c>
      <c r="O33" s="52"/>
      <c r="P33" s="1">
        <v>19</v>
      </c>
      <c r="Q33" t="s">
        <v>29</v>
      </c>
      <c r="R33">
        <v>214</v>
      </c>
      <c r="S33">
        <v>902</v>
      </c>
      <c r="T33">
        <v>-2818</v>
      </c>
      <c r="U33">
        <v>3720</v>
      </c>
      <c r="V33" t="s">
        <v>12</v>
      </c>
      <c r="W33" s="15">
        <f t="shared" si="9"/>
        <v>3.72</v>
      </c>
      <c r="X33" s="2">
        <f t="shared" si="10"/>
        <v>18.376811594202898</v>
      </c>
      <c r="Y33" s="2">
        <f t="shared" si="11"/>
        <v>0.26633060281453474</v>
      </c>
      <c r="Z33" s="2">
        <f t="shared" si="12"/>
        <v>0.58232521578882213</v>
      </c>
      <c r="AA33" s="2">
        <f t="shared" si="13"/>
        <v>6753.335721229656</v>
      </c>
      <c r="AB33" s="2">
        <f t="shared" si="14"/>
        <v>5.3913043478260869E-2</v>
      </c>
      <c r="AC33" s="2">
        <f t="shared" si="6"/>
        <v>3.0860022245727055</v>
      </c>
      <c r="AD33" s="2">
        <v>41.4560808766592</v>
      </c>
      <c r="AE33" s="2">
        <f t="shared" si="15"/>
        <v>18.548387096774192</v>
      </c>
    </row>
    <row r="34" spans="1:31" s="5" customFormat="1" x14ac:dyDescent="0.2">
      <c r="A34" s="5" t="s">
        <v>121</v>
      </c>
      <c r="B34" s="5" t="s">
        <v>121</v>
      </c>
      <c r="C34" s="5" t="s">
        <v>444</v>
      </c>
      <c r="D34" s="41" t="s">
        <v>433</v>
      </c>
      <c r="F34" s="53"/>
      <c r="G34" s="5" t="s">
        <v>386</v>
      </c>
      <c r="H34" s="5" t="s">
        <v>424</v>
      </c>
      <c r="J34" s="28"/>
      <c r="K34" s="7"/>
      <c r="L34" s="21"/>
      <c r="M34" s="51">
        <v>66</v>
      </c>
      <c r="N34" s="51">
        <v>10</v>
      </c>
      <c r="O34" s="52"/>
      <c r="P34" s="51"/>
      <c r="Q34" s="5" t="s">
        <v>120</v>
      </c>
      <c r="R34" s="5">
        <v>30</v>
      </c>
      <c r="S34" s="5">
        <v>-133</v>
      </c>
      <c r="T34" s="5">
        <v>-1503</v>
      </c>
      <c r="U34" s="5">
        <v>1370</v>
      </c>
      <c r="V34" s="5" t="s">
        <v>262</v>
      </c>
      <c r="W34" s="15">
        <f t="shared" si="9"/>
        <v>1.37</v>
      </c>
      <c r="X34" s="2">
        <f t="shared" si="10"/>
        <v>6.6</v>
      </c>
      <c r="Y34" s="2">
        <f t="shared" si="11"/>
        <v>0.66</v>
      </c>
      <c r="Z34" s="2">
        <f t="shared" si="12"/>
        <v>0.91669957083022191</v>
      </c>
      <c r="AA34" s="2">
        <f t="shared" si="13"/>
        <v>215.99224686085375</v>
      </c>
      <c r="AB34" s="2">
        <f t="shared" si="14"/>
        <v>0.13700000000000001</v>
      </c>
      <c r="AC34" s="2">
        <f t="shared" si="6"/>
        <v>7.8009582993962967</v>
      </c>
      <c r="AD34" s="2">
        <v>42.456080876659101</v>
      </c>
      <c r="AE34" s="2">
        <f t="shared" si="15"/>
        <v>7.2992700729926998</v>
      </c>
    </row>
    <row r="35" spans="1:31" x14ac:dyDescent="0.2">
      <c r="A35" t="s">
        <v>283</v>
      </c>
      <c r="B35" s="4" t="s">
        <v>333</v>
      </c>
      <c r="C35" s="16" t="s">
        <v>444</v>
      </c>
      <c r="D35" s="39" t="s">
        <v>433</v>
      </c>
      <c r="E35" s="16"/>
      <c r="G35" s="16" t="s">
        <v>386</v>
      </c>
      <c r="H35" s="5" t="s">
        <v>424</v>
      </c>
      <c r="I35" s="16"/>
      <c r="K35" s="16"/>
      <c r="M35" s="1">
        <v>92</v>
      </c>
      <c r="N35" s="1">
        <v>16</v>
      </c>
      <c r="O35" s="52"/>
      <c r="P35" s="1">
        <v>8</v>
      </c>
      <c r="Q35" t="s">
        <v>120</v>
      </c>
      <c r="R35">
        <v>40</v>
      </c>
      <c r="S35">
        <v>152</v>
      </c>
      <c r="T35">
        <v>-1517</v>
      </c>
      <c r="U35">
        <v>1669</v>
      </c>
      <c r="V35" t="s">
        <v>262</v>
      </c>
      <c r="W35" s="15">
        <f t="shared" si="9"/>
        <v>1.669</v>
      </c>
      <c r="X35" s="2">
        <f t="shared" si="10"/>
        <v>5.75</v>
      </c>
      <c r="Y35" s="2">
        <f t="shared" si="11"/>
        <v>0.359375</v>
      </c>
      <c r="Z35" s="2">
        <f t="shared" si="12"/>
        <v>0.67643954893881075</v>
      </c>
      <c r="AA35" s="2">
        <f t="shared" si="13"/>
        <v>340.01560133617397</v>
      </c>
      <c r="AB35" s="2">
        <f t="shared" si="14"/>
        <v>0.1043125</v>
      </c>
      <c r="AC35" s="2">
        <f t="shared" si="6"/>
        <v>5.9551288729855969</v>
      </c>
      <c r="AD35" s="2">
        <v>43.456080876659101</v>
      </c>
      <c r="AE35" s="2">
        <f t="shared" si="15"/>
        <v>9.5865787896944283</v>
      </c>
    </row>
    <row r="36" spans="1:31" x14ac:dyDescent="0.2">
      <c r="A36" t="s">
        <v>270</v>
      </c>
      <c r="B36" s="4" t="s">
        <v>333</v>
      </c>
      <c r="C36" s="16" t="s">
        <v>444</v>
      </c>
      <c r="D36" s="39" t="s">
        <v>433</v>
      </c>
      <c r="E36" s="16"/>
      <c r="G36" s="16" t="s">
        <v>386</v>
      </c>
      <c r="H36" s="5" t="s">
        <v>424</v>
      </c>
      <c r="I36" s="16"/>
      <c r="K36" s="16"/>
      <c r="M36" s="1">
        <v>29</v>
      </c>
      <c r="N36" s="1">
        <v>7</v>
      </c>
      <c r="O36" s="52"/>
      <c r="P36" s="1">
        <v>5</v>
      </c>
      <c r="Q36" t="s">
        <v>120</v>
      </c>
      <c r="R36">
        <v>20</v>
      </c>
      <c r="S36">
        <v>-254</v>
      </c>
      <c r="T36">
        <v>-758</v>
      </c>
      <c r="U36">
        <v>504</v>
      </c>
      <c r="V36" t="s">
        <v>262</v>
      </c>
      <c r="W36" s="15">
        <f t="shared" si="9"/>
        <v>0.504</v>
      </c>
      <c r="X36" s="2">
        <f t="shared" si="10"/>
        <v>4.1428571428571432</v>
      </c>
      <c r="Y36" s="2">
        <f t="shared" si="11"/>
        <v>0.59183673469387754</v>
      </c>
      <c r="Z36" s="2">
        <f t="shared" si="12"/>
        <v>0.86807254184132465</v>
      </c>
      <c r="AA36" s="2">
        <f t="shared" si="13"/>
        <v>95.449560795217906</v>
      </c>
      <c r="AB36" s="2">
        <f t="shared" si="14"/>
        <v>7.1999999999999995E-2</v>
      </c>
      <c r="AC36" s="2">
        <f t="shared" si="6"/>
        <v>4.1181897039887829</v>
      </c>
      <c r="AD36" s="2">
        <v>44.456080876659001</v>
      </c>
      <c r="AE36" s="2">
        <f t="shared" si="15"/>
        <v>13.888888888888889</v>
      </c>
    </row>
    <row r="37" spans="1:31" x14ac:dyDescent="0.2">
      <c r="A37" t="s">
        <v>286</v>
      </c>
      <c r="B37" s="4" t="s">
        <v>286</v>
      </c>
      <c r="C37" s="16" t="s">
        <v>444</v>
      </c>
      <c r="D37" s="39" t="s">
        <v>433</v>
      </c>
      <c r="E37" s="16"/>
      <c r="G37" s="16" t="s">
        <v>386</v>
      </c>
      <c r="H37" s="5" t="s">
        <v>424</v>
      </c>
      <c r="I37" s="16"/>
      <c r="K37" s="16"/>
      <c r="M37" s="1">
        <v>261</v>
      </c>
      <c r="N37" s="1">
        <v>16</v>
      </c>
      <c r="O37" s="52"/>
      <c r="P37" s="1">
        <v>22</v>
      </c>
      <c r="Q37" t="s">
        <v>120</v>
      </c>
      <c r="R37">
        <v>62</v>
      </c>
      <c r="S37">
        <v>160</v>
      </c>
      <c r="T37">
        <v>-1642</v>
      </c>
      <c r="U37">
        <v>1802</v>
      </c>
      <c r="V37" t="s">
        <v>262</v>
      </c>
      <c r="W37" s="15">
        <f t="shared" si="9"/>
        <v>1.802</v>
      </c>
      <c r="X37" s="2">
        <f t="shared" si="10"/>
        <v>16.3125</v>
      </c>
      <c r="Y37" s="2">
        <f t="shared" si="11"/>
        <v>1.01953125</v>
      </c>
      <c r="Z37" s="2">
        <f t="shared" si="12"/>
        <v>1.1393452111667386</v>
      </c>
      <c r="AA37" s="2">
        <f t="shared" si="13"/>
        <v>887.68091539552643</v>
      </c>
      <c r="AB37" s="2">
        <f t="shared" si="14"/>
        <v>0.112625</v>
      </c>
      <c r="AC37" s="2">
        <f t="shared" si="6"/>
        <v>6.4258590935878006</v>
      </c>
      <c r="AD37" s="2">
        <v>45.456080876659001</v>
      </c>
      <c r="AE37" s="2">
        <f t="shared" si="15"/>
        <v>8.8790233074361815</v>
      </c>
    </row>
    <row r="38" spans="1:31" s="5" customFormat="1" x14ac:dyDescent="0.2">
      <c r="A38" s="5" t="s">
        <v>282</v>
      </c>
      <c r="B38" s="5" t="s">
        <v>282</v>
      </c>
      <c r="C38" s="5" t="s">
        <v>444</v>
      </c>
      <c r="D38" s="41" t="s">
        <v>433</v>
      </c>
      <c r="G38" s="5" t="s">
        <v>386</v>
      </c>
      <c r="H38" s="5" t="s">
        <v>424</v>
      </c>
      <c r="M38" s="51">
        <v>24</v>
      </c>
      <c r="N38" s="51">
        <v>4</v>
      </c>
      <c r="O38" s="52"/>
      <c r="P38" s="51">
        <v>8</v>
      </c>
      <c r="Q38" s="5" t="s">
        <v>120</v>
      </c>
      <c r="R38" s="5">
        <v>20</v>
      </c>
      <c r="S38" s="5">
        <v>-310</v>
      </c>
      <c r="T38" s="5">
        <v>-1071</v>
      </c>
      <c r="U38" s="5">
        <v>761</v>
      </c>
      <c r="V38" s="5" t="s">
        <v>262</v>
      </c>
      <c r="W38" s="15">
        <f t="shared" si="9"/>
        <v>0.76100000000000001</v>
      </c>
      <c r="X38" s="2">
        <f t="shared" si="10"/>
        <v>6</v>
      </c>
      <c r="Y38" s="2">
        <f t="shared" si="11"/>
        <v>1.5</v>
      </c>
      <c r="Z38" s="2">
        <f t="shared" si="12"/>
        <v>1.3819766008743954</v>
      </c>
      <c r="AA38" s="2">
        <f t="shared" si="13"/>
        <v>86.832150359184354</v>
      </c>
      <c r="AB38" s="2">
        <f t="shared" si="14"/>
        <v>0.19025</v>
      </c>
      <c r="AC38" s="2">
        <f t="shared" si="6"/>
        <v>10.771791321523137</v>
      </c>
      <c r="AD38" s="2">
        <v>46.456080876658902</v>
      </c>
      <c r="AE38" s="2">
        <f t="shared" si="15"/>
        <v>5.2562417871222076</v>
      </c>
    </row>
    <row r="39" spans="1:31" x14ac:dyDescent="0.2">
      <c r="A39" t="s">
        <v>279</v>
      </c>
      <c r="B39" s="4" t="s">
        <v>334</v>
      </c>
      <c r="C39" s="16" t="s">
        <v>444</v>
      </c>
      <c r="D39" s="39" t="s">
        <v>433</v>
      </c>
      <c r="E39" s="16"/>
      <c r="G39" s="16" t="s">
        <v>386</v>
      </c>
      <c r="H39" s="5" t="s">
        <v>424</v>
      </c>
      <c r="I39" s="16"/>
      <c r="K39" s="16"/>
      <c r="M39" s="1">
        <v>47</v>
      </c>
      <c r="N39" s="1">
        <v>8</v>
      </c>
      <c r="O39" s="52"/>
      <c r="P39" s="1">
        <v>7</v>
      </c>
      <c r="Q39" t="s">
        <v>120</v>
      </c>
      <c r="R39" s="16">
        <v>26</v>
      </c>
      <c r="S39" s="16">
        <v>-418</v>
      </c>
      <c r="T39" s="16">
        <v>-1395</v>
      </c>
      <c r="U39" s="16">
        <v>977</v>
      </c>
      <c r="V39" t="s">
        <v>262</v>
      </c>
      <c r="W39" s="15">
        <f t="shared" si="9"/>
        <v>0.97699999999999998</v>
      </c>
      <c r="X39" s="2">
        <f t="shared" si="10"/>
        <v>5.875</v>
      </c>
      <c r="Y39" s="2">
        <f t="shared" si="11"/>
        <v>0.734375</v>
      </c>
      <c r="Z39" s="2">
        <f t="shared" si="12"/>
        <v>0.96697223057832882</v>
      </c>
      <c r="AA39" s="2">
        <f t="shared" si="13"/>
        <v>157.96730781880154</v>
      </c>
      <c r="AB39" s="2">
        <f t="shared" si="14"/>
        <v>0.122125</v>
      </c>
      <c r="AC39" s="2">
        <f t="shared" si="6"/>
        <v>6.9627682418655139</v>
      </c>
      <c r="AD39" s="2">
        <v>47.456080876658902</v>
      </c>
      <c r="AE39" s="2">
        <f t="shared" si="15"/>
        <v>8.1883316274309106</v>
      </c>
    </row>
    <row r="40" spans="1:31" x14ac:dyDescent="0.2">
      <c r="A40" t="s">
        <v>277</v>
      </c>
      <c r="B40" s="4" t="s">
        <v>334</v>
      </c>
      <c r="C40" s="16" t="s">
        <v>444</v>
      </c>
      <c r="D40" s="39" t="s">
        <v>433</v>
      </c>
      <c r="E40" s="16"/>
      <c r="G40" s="16" t="s">
        <v>386</v>
      </c>
      <c r="H40" s="5" t="s">
        <v>424</v>
      </c>
      <c r="I40" s="16"/>
      <c r="K40" s="16"/>
      <c r="M40" s="1">
        <v>122</v>
      </c>
      <c r="N40" s="1">
        <v>12</v>
      </c>
      <c r="O40" s="52"/>
      <c r="P40" s="1">
        <v>12</v>
      </c>
      <c r="Q40" t="s">
        <v>120</v>
      </c>
      <c r="R40" s="16">
        <v>41</v>
      </c>
      <c r="S40" s="16">
        <v>-113</v>
      </c>
      <c r="T40" s="16">
        <v>-928</v>
      </c>
      <c r="U40" s="16">
        <v>815</v>
      </c>
      <c r="V40" t="s">
        <v>262</v>
      </c>
      <c r="W40" s="15">
        <f t="shared" si="9"/>
        <v>0.81499999999999995</v>
      </c>
      <c r="X40" s="2">
        <f t="shared" si="10"/>
        <v>10.166666666666666</v>
      </c>
      <c r="Y40" s="2">
        <f t="shared" si="11"/>
        <v>0.84722222222222221</v>
      </c>
      <c r="Z40" s="2">
        <f t="shared" si="12"/>
        <v>1.0386129409833151</v>
      </c>
      <c r="AA40" s="2">
        <f t="shared" si="13"/>
        <v>401.3365488578383</v>
      </c>
      <c r="AB40" s="2">
        <f t="shared" si="14"/>
        <v>6.7916666666666667E-2</v>
      </c>
      <c r="AC40" s="2">
        <f t="shared" si="6"/>
        <v>3.8853717053270063</v>
      </c>
      <c r="AD40" s="2">
        <v>48.456080876658902</v>
      </c>
      <c r="AE40" s="2">
        <f t="shared" si="15"/>
        <v>14.723926380368098</v>
      </c>
    </row>
    <row r="41" spans="1:31" s="5" customFormat="1" x14ac:dyDescent="0.2">
      <c r="A41" s="5" t="s">
        <v>123</v>
      </c>
      <c r="B41" s="5" t="s">
        <v>123</v>
      </c>
      <c r="C41" s="5" t="s">
        <v>444</v>
      </c>
      <c r="D41" s="41" t="s">
        <v>433</v>
      </c>
      <c r="F41" s="53"/>
      <c r="G41" s="5" t="s">
        <v>386</v>
      </c>
      <c r="H41" s="5" t="s">
        <v>424</v>
      </c>
      <c r="J41" s="28"/>
      <c r="K41" s="7"/>
      <c r="L41" s="21"/>
      <c r="M41" s="51">
        <v>32</v>
      </c>
      <c r="N41" s="51">
        <v>7</v>
      </c>
      <c r="O41" s="52"/>
      <c r="P41" s="51">
        <v>6</v>
      </c>
      <c r="Q41" s="5" t="s">
        <v>120</v>
      </c>
      <c r="R41" s="5">
        <v>23</v>
      </c>
      <c r="S41" s="5">
        <v>-350</v>
      </c>
      <c r="T41" s="5">
        <v>-1344</v>
      </c>
      <c r="U41" s="5">
        <v>994</v>
      </c>
      <c r="V41" s="5" t="s">
        <v>262</v>
      </c>
      <c r="W41" s="15">
        <f t="shared" si="9"/>
        <v>0.99399999999999999</v>
      </c>
      <c r="X41" s="2">
        <f t="shared" si="10"/>
        <v>4.5714285714285712</v>
      </c>
      <c r="Y41" s="2">
        <f t="shared" si="11"/>
        <v>0.65306122448979587</v>
      </c>
      <c r="Z41" s="2">
        <f t="shared" si="12"/>
        <v>0.91186807146125282</v>
      </c>
      <c r="AA41" s="2">
        <f t="shared" si="13"/>
        <v>115.30490038363504</v>
      </c>
      <c r="AB41" s="2">
        <f t="shared" si="14"/>
        <v>0.14199999999999999</v>
      </c>
      <c r="AC41" s="2">
        <f t="shared" si="6"/>
        <v>8.0819681345811656</v>
      </c>
      <c r="AD41" s="2">
        <v>49.456080876658802</v>
      </c>
      <c r="AE41" s="2">
        <f t="shared" si="15"/>
        <v>7.042253521126761</v>
      </c>
    </row>
    <row r="42" spans="1:31" x14ac:dyDescent="0.2">
      <c r="A42" t="s">
        <v>290</v>
      </c>
      <c r="B42" s="4" t="s">
        <v>339</v>
      </c>
      <c r="C42" s="16" t="s">
        <v>444</v>
      </c>
      <c r="D42" s="39" t="s">
        <v>433</v>
      </c>
      <c r="E42" s="16"/>
      <c r="G42" s="16" t="s">
        <v>386</v>
      </c>
      <c r="H42" s="5" t="s">
        <v>424</v>
      </c>
      <c r="I42" s="16"/>
      <c r="K42" s="16"/>
      <c r="M42" s="1">
        <v>725</v>
      </c>
      <c r="N42" s="1">
        <v>35</v>
      </c>
      <c r="O42" s="52"/>
      <c r="P42" s="1">
        <v>32</v>
      </c>
      <c r="Q42" t="s">
        <v>120</v>
      </c>
      <c r="R42" s="16">
        <v>109</v>
      </c>
      <c r="S42" s="16">
        <v>38</v>
      </c>
      <c r="T42" s="16">
        <v>-2106</v>
      </c>
      <c r="U42" s="16">
        <v>2144</v>
      </c>
      <c r="V42" t="s">
        <v>262</v>
      </c>
      <c r="W42" s="15">
        <f t="shared" si="9"/>
        <v>2.1440000000000001</v>
      </c>
      <c r="X42" s="2">
        <f t="shared" si="10"/>
        <v>20.714285714285715</v>
      </c>
      <c r="Y42" s="2">
        <f t="shared" si="11"/>
        <v>0.59183673469387754</v>
      </c>
      <c r="Z42" s="2">
        <f t="shared" si="12"/>
        <v>0.86807254184132465</v>
      </c>
      <c r="AA42" s="2">
        <f t="shared" si="13"/>
        <v>2601.0005316696879</v>
      </c>
      <c r="AB42" s="2">
        <f t="shared" si="14"/>
        <v>6.1257142857142864E-2</v>
      </c>
      <c r="AC42" s="2">
        <f t="shared" si="6"/>
        <v>3.505395536969337</v>
      </c>
      <c r="AD42" s="2">
        <v>50.456080876658802</v>
      </c>
      <c r="AE42" s="2">
        <f t="shared" si="15"/>
        <v>16.32462686567164</v>
      </c>
    </row>
    <row r="43" spans="1:31" x14ac:dyDescent="0.2">
      <c r="A43" t="s">
        <v>124</v>
      </c>
      <c r="B43" s="4" t="s">
        <v>218</v>
      </c>
      <c r="C43" s="16" t="s">
        <v>444</v>
      </c>
      <c r="D43" s="39" t="s">
        <v>433</v>
      </c>
      <c r="E43" s="16"/>
      <c r="F43" s="15"/>
      <c r="G43" s="5" t="s">
        <v>406</v>
      </c>
      <c r="H43" s="5" t="s">
        <v>424</v>
      </c>
      <c r="I43" s="7">
        <v>1E-4</v>
      </c>
      <c r="J43" s="26">
        <v>1E-4</v>
      </c>
      <c r="K43" s="7">
        <v>4.2</v>
      </c>
      <c r="L43" s="21">
        <v>4.2</v>
      </c>
      <c r="M43" s="1">
        <v>782</v>
      </c>
      <c r="N43" s="1">
        <v>75</v>
      </c>
      <c r="O43" s="52">
        <f t="shared" si="8"/>
        <v>1.972881729E+17</v>
      </c>
      <c r="P43" s="1">
        <v>22</v>
      </c>
      <c r="Q43" t="s">
        <v>120</v>
      </c>
      <c r="R43" s="16">
        <v>194</v>
      </c>
      <c r="S43" s="16">
        <v>72</v>
      </c>
      <c r="T43" s="16">
        <v>-1844</v>
      </c>
      <c r="U43" s="16">
        <v>1916</v>
      </c>
      <c r="V43" t="s">
        <v>12</v>
      </c>
      <c r="W43" s="15">
        <f t="shared" si="9"/>
        <v>1.9159999999999999</v>
      </c>
      <c r="X43" s="2">
        <f t="shared" si="10"/>
        <v>10.426666666666666</v>
      </c>
      <c r="Y43" s="2">
        <f t="shared" si="11"/>
        <v>0.13902222222222221</v>
      </c>
      <c r="Z43" s="2">
        <f t="shared" si="12"/>
        <v>0.42072389009419292</v>
      </c>
      <c r="AA43" s="2">
        <f t="shared" si="13"/>
        <v>4807.8404411037109</v>
      </c>
      <c r="AB43" s="2">
        <f t="shared" si="14"/>
        <v>2.5546666666666665E-2</v>
      </c>
      <c r="AC43" s="2">
        <f t="shared" si="6"/>
        <v>1.4633978824976737</v>
      </c>
      <c r="AD43" s="2">
        <v>51.456080876658703</v>
      </c>
      <c r="AE43" s="2">
        <f t="shared" si="15"/>
        <v>39.144050104384135</v>
      </c>
    </row>
    <row r="44" spans="1:31" x14ac:dyDescent="0.2">
      <c r="A44" t="s">
        <v>125</v>
      </c>
      <c r="B44" s="4" t="s">
        <v>125</v>
      </c>
      <c r="C44" s="16" t="s">
        <v>444</v>
      </c>
      <c r="D44" s="39" t="s">
        <v>433</v>
      </c>
      <c r="E44" s="16"/>
      <c r="F44" s="15"/>
      <c r="G44" s="5" t="s">
        <v>386</v>
      </c>
      <c r="H44" s="5" t="s">
        <v>424</v>
      </c>
      <c r="I44" s="5"/>
      <c r="J44" s="28"/>
      <c r="K44" s="7"/>
      <c r="L44" s="21"/>
      <c r="M44" s="1">
        <v>108</v>
      </c>
      <c r="N44" s="1">
        <v>11</v>
      </c>
      <c r="O44" s="52"/>
      <c r="P44" s="1">
        <v>14</v>
      </c>
      <c r="Q44" t="s">
        <v>120</v>
      </c>
      <c r="R44" s="16">
        <v>38</v>
      </c>
      <c r="S44" s="16">
        <v>352</v>
      </c>
      <c r="T44" s="16">
        <v>-1716</v>
      </c>
      <c r="U44" s="16">
        <v>2068</v>
      </c>
      <c r="V44" t="s">
        <v>12</v>
      </c>
      <c r="W44" s="15">
        <f t="shared" si="9"/>
        <v>2.0680000000000001</v>
      </c>
      <c r="X44" s="2">
        <f t="shared" si="10"/>
        <v>9.8181818181818183</v>
      </c>
      <c r="Y44" s="2">
        <f t="shared" si="11"/>
        <v>0.8925619834710744</v>
      </c>
      <c r="Z44" s="2">
        <f t="shared" si="12"/>
        <v>1.0660418464575487</v>
      </c>
      <c r="AA44" s="2">
        <f t="shared" si="13"/>
        <v>349.97773336073828</v>
      </c>
      <c r="AB44" s="2">
        <f t="shared" si="14"/>
        <v>0.188</v>
      </c>
      <c r="AC44" s="2">
        <f t="shared" si="6"/>
        <v>10.647327710377811</v>
      </c>
      <c r="AD44" s="2">
        <v>52.456080876658703</v>
      </c>
      <c r="AE44" s="2">
        <f t="shared" si="15"/>
        <v>5.3191489361702127</v>
      </c>
    </row>
    <row r="45" spans="1:31" s="5" customFormat="1" x14ac:dyDescent="0.2">
      <c r="A45" s="5" t="s">
        <v>450</v>
      </c>
      <c r="B45" s="5" t="s">
        <v>450</v>
      </c>
      <c r="C45" s="5" t="s">
        <v>444</v>
      </c>
      <c r="D45" s="41" t="s">
        <v>433</v>
      </c>
      <c r="F45" s="53"/>
      <c r="G45" s="5" t="s">
        <v>386</v>
      </c>
      <c r="H45" s="41" t="s">
        <v>424</v>
      </c>
      <c r="J45" s="28"/>
      <c r="K45" s="7"/>
      <c r="L45" s="21"/>
      <c r="M45" s="51">
        <v>293</v>
      </c>
      <c r="N45" s="51">
        <v>20</v>
      </c>
      <c r="O45" s="52"/>
      <c r="P45" s="51">
        <v>17</v>
      </c>
      <c r="Q45" s="5" t="s">
        <v>120</v>
      </c>
      <c r="R45" s="5">
        <v>70</v>
      </c>
      <c r="S45" s="5">
        <v>-147</v>
      </c>
      <c r="T45" s="5">
        <v>-1754</v>
      </c>
      <c r="U45" s="5">
        <v>1607</v>
      </c>
      <c r="V45" s="5" t="s">
        <v>262</v>
      </c>
      <c r="W45" s="15">
        <f t="shared" si="9"/>
        <v>1.607</v>
      </c>
      <c r="X45" s="2">
        <f t="shared" si="10"/>
        <v>14.65</v>
      </c>
      <c r="Y45" s="2">
        <f t="shared" si="11"/>
        <v>0.73250000000000004</v>
      </c>
      <c r="Z45" s="2">
        <f t="shared" si="12"/>
        <v>0.96573700900034021</v>
      </c>
      <c r="AA45" s="2">
        <f t="shared" si="13"/>
        <v>1061.8832978778787</v>
      </c>
      <c r="AB45" s="2">
        <f t="shared" si="14"/>
        <v>8.0350000000000005E-2</v>
      </c>
      <c r="AC45" s="2">
        <f t="shared" si="6"/>
        <v>4.5938467011854369</v>
      </c>
      <c r="AD45" s="2">
        <v>53.456080876658604</v>
      </c>
      <c r="AE45" s="2">
        <f t="shared" si="15"/>
        <v>12.445550715619166</v>
      </c>
    </row>
    <row r="46" spans="1:31" s="5" customFormat="1" x14ac:dyDescent="0.2">
      <c r="A46" s="5" t="s">
        <v>122</v>
      </c>
      <c r="B46" s="5" t="s">
        <v>122</v>
      </c>
      <c r="C46" s="5" t="s">
        <v>444</v>
      </c>
      <c r="D46" s="41" t="s">
        <v>433</v>
      </c>
      <c r="F46" s="53"/>
      <c r="G46" s="5" t="s">
        <v>386</v>
      </c>
      <c r="H46" s="41" t="s">
        <v>424</v>
      </c>
      <c r="J46" s="28"/>
      <c r="K46" s="7"/>
      <c r="L46" s="21"/>
      <c r="M46" s="51">
        <v>77</v>
      </c>
      <c r="N46" s="51">
        <v>21</v>
      </c>
      <c r="O46" s="52"/>
      <c r="P46" s="51">
        <v>6</v>
      </c>
      <c r="Q46" s="5" t="s">
        <v>120</v>
      </c>
      <c r="R46" s="5">
        <v>49</v>
      </c>
      <c r="S46" s="5">
        <v>-229</v>
      </c>
      <c r="T46" s="5">
        <v>-1718</v>
      </c>
      <c r="U46" s="5">
        <v>1489</v>
      </c>
      <c r="V46" s="5" t="s">
        <v>262</v>
      </c>
      <c r="W46" s="15">
        <f t="shared" si="9"/>
        <v>1.4890000000000001</v>
      </c>
      <c r="X46" s="2">
        <f t="shared" si="10"/>
        <v>3.6666666666666665</v>
      </c>
      <c r="Y46" s="2">
        <f t="shared" si="11"/>
        <v>0.17460317460317459</v>
      </c>
      <c r="Z46" s="2">
        <f t="shared" si="12"/>
        <v>0.47149938229305066</v>
      </c>
      <c r="AA46" s="2">
        <f t="shared" si="13"/>
        <v>381.05387496562736</v>
      </c>
      <c r="AB46" s="2">
        <f t="shared" si="14"/>
        <v>7.0904761904761915E-2</v>
      </c>
      <c r="AC46" s="2">
        <f t="shared" si="6"/>
        <v>4.0557559416826363</v>
      </c>
      <c r="AD46" s="2">
        <v>54.456080876658604</v>
      </c>
      <c r="AE46" s="2">
        <f t="shared" si="15"/>
        <v>14.103425117528541</v>
      </c>
    </row>
    <row r="47" spans="1:31" x14ac:dyDescent="0.2">
      <c r="A47" s="16" t="s">
        <v>281</v>
      </c>
      <c r="B47" s="16" t="s">
        <v>338</v>
      </c>
      <c r="C47" s="5" t="s">
        <v>444</v>
      </c>
      <c r="D47" s="39" t="s">
        <v>431</v>
      </c>
      <c r="E47" s="16"/>
      <c r="G47" s="16" t="s">
        <v>342</v>
      </c>
      <c r="H47" s="38" t="s">
        <v>413</v>
      </c>
      <c r="I47" s="16"/>
      <c r="K47" s="16"/>
      <c r="M47" s="1">
        <v>436</v>
      </c>
      <c r="N47" s="1">
        <v>32</v>
      </c>
      <c r="O47" s="52"/>
      <c r="P47" s="1">
        <v>19</v>
      </c>
      <c r="Q47" s="16" t="s">
        <v>11</v>
      </c>
      <c r="R47" s="16">
        <v>79</v>
      </c>
      <c r="S47" s="16">
        <v>-2136</v>
      </c>
      <c r="T47" s="16">
        <v>-3412</v>
      </c>
      <c r="U47" s="16">
        <v>1276</v>
      </c>
      <c r="V47" s="16" t="s">
        <v>262</v>
      </c>
      <c r="W47" s="15">
        <f t="shared" si="9"/>
        <v>1.276</v>
      </c>
      <c r="X47" s="2">
        <f t="shared" si="10"/>
        <v>13.625</v>
      </c>
      <c r="Y47" s="2">
        <f t="shared" si="11"/>
        <v>0.42578125</v>
      </c>
      <c r="Z47" s="2">
        <f t="shared" si="12"/>
        <v>0.73628902426415344</v>
      </c>
      <c r="AA47" s="2">
        <f t="shared" si="13"/>
        <v>1461.8919534699407</v>
      </c>
      <c r="AB47" s="2">
        <f t="shared" si="14"/>
        <v>3.9875000000000001E-2</v>
      </c>
      <c r="AC47" s="2">
        <f t="shared" si="6"/>
        <v>2.2834594753913371</v>
      </c>
      <c r="AD47" s="2">
        <v>55.456080876658497</v>
      </c>
      <c r="AE47" s="2">
        <f t="shared" si="15"/>
        <v>25.078369905956112</v>
      </c>
    </row>
    <row r="48" spans="1:31" x14ac:dyDescent="0.2">
      <c r="A48" t="s">
        <v>368</v>
      </c>
      <c r="B48" s="4" t="s">
        <v>365</v>
      </c>
      <c r="C48" s="5" t="s">
        <v>456</v>
      </c>
      <c r="D48" s="39" t="s">
        <v>431</v>
      </c>
      <c r="E48" s="15">
        <v>9.4</v>
      </c>
      <c r="F48" s="15">
        <v>9.4</v>
      </c>
      <c r="G48" s="16" t="s">
        <v>367</v>
      </c>
      <c r="H48" s="5" t="s">
        <v>410</v>
      </c>
      <c r="I48" s="16">
        <v>4</v>
      </c>
      <c r="J48" s="16">
        <v>4</v>
      </c>
      <c r="K48" s="16"/>
      <c r="M48" s="1">
        <v>365</v>
      </c>
      <c r="N48" s="1">
        <v>20</v>
      </c>
      <c r="O48" s="52"/>
      <c r="P48" s="1">
        <v>22</v>
      </c>
      <c r="Q48" t="s">
        <v>11</v>
      </c>
      <c r="R48" s="1">
        <v>80</v>
      </c>
      <c r="S48" s="1">
        <v>-180</v>
      </c>
      <c r="T48" s="1">
        <v>-2925</v>
      </c>
      <c r="U48" s="1">
        <v>2745</v>
      </c>
      <c r="V48" t="s">
        <v>262</v>
      </c>
      <c r="W48" s="15">
        <f t="shared" si="9"/>
        <v>2.7450000000000001</v>
      </c>
      <c r="X48" s="2">
        <f t="shared" si="10"/>
        <v>18.25</v>
      </c>
      <c r="Y48" s="2">
        <f t="shared" si="11"/>
        <v>0.91249999999999998</v>
      </c>
      <c r="Z48" s="2">
        <f t="shared" si="12"/>
        <v>1.0778826882349697</v>
      </c>
      <c r="AA48" s="2">
        <f t="shared" si="13"/>
        <v>1354.5073280569579</v>
      </c>
      <c r="AB48" s="2">
        <f t="shared" si="14"/>
        <v>0.13725000000000001</v>
      </c>
      <c r="AC48" s="2">
        <f t="shared" si="6"/>
        <v>7.8150178782117043</v>
      </c>
      <c r="AD48" s="2">
        <v>56.456080876658497</v>
      </c>
      <c r="AE48" s="2">
        <f t="shared" si="15"/>
        <v>7.285974499089253</v>
      </c>
    </row>
    <row r="49" spans="1:31" x14ac:dyDescent="0.2">
      <c r="A49" s="16" t="s">
        <v>369</v>
      </c>
      <c r="B49" s="16" t="s">
        <v>365</v>
      </c>
      <c r="C49" s="5" t="s">
        <v>456</v>
      </c>
      <c r="D49" s="39" t="s">
        <v>431</v>
      </c>
      <c r="E49" s="15">
        <v>9.4</v>
      </c>
      <c r="F49" s="15">
        <v>9.4</v>
      </c>
      <c r="G49" s="16" t="s">
        <v>367</v>
      </c>
      <c r="H49" s="5" t="s">
        <v>410</v>
      </c>
      <c r="I49" s="16">
        <v>4</v>
      </c>
      <c r="J49" s="16">
        <v>4</v>
      </c>
      <c r="K49" s="16"/>
      <c r="M49" s="1">
        <v>276</v>
      </c>
      <c r="N49" s="1">
        <v>31</v>
      </c>
      <c r="O49" s="52"/>
      <c r="P49" s="1">
        <v>14</v>
      </c>
      <c r="Q49" s="16" t="s">
        <v>11</v>
      </c>
      <c r="R49" s="1">
        <v>82</v>
      </c>
      <c r="S49" s="1">
        <v>-194</v>
      </c>
      <c r="T49" s="1">
        <v>-3037</v>
      </c>
      <c r="U49" s="1">
        <v>2843</v>
      </c>
      <c r="V49" s="16" t="s">
        <v>262</v>
      </c>
      <c r="W49" s="15">
        <f t="shared" si="9"/>
        <v>2.843</v>
      </c>
      <c r="X49" s="2">
        <f t="shared" si="10"/>
        <v>8.9032258064516121</v>
      </c>
      <c r="Y49" s="2">
        <f t="shared" si="11"/>
        <v>0.28720083246618106</v>
      </c>
      <c r="Z49" s="2">
        <f t="shared" si="12"/>
        <v>0.60471105394115832</v>
      </c>
      <c r="AA49" s="2">
        <f t="shared" si="13"/>
        <v>1207.294808604692</v>
      </c>
      <c r="AB49" s="2">
        <f t="shared" si="14"/>
        <v>9.1709677419354832E-2</v>
      </c>
      <c r="AC49" s="2">
        <f t="shared" si="6"/>
        <v>5.2399198571515617</v>
      </c>
      <c r="AD49" s="2">
        <v>57.456080876658497</v>
      </c>
      <c r="AE49" s="2">
        <f t="shared" si="15"/>
        <v>10.903974674639466</v>
      </c>
    </row>
    <row r="50" spans="1:31" x14ac:dyDescent="0.2">
      <c r="A50" s="16" t="s">
        <v>370</v>
      </c>
      <c r="B50" s="16" t="s">
        <v>365</v>
      </c>
      <c r="C50" s="5" t="s">
        <v>456</v>
      </c>
      <c r="D50" s="39" t="s">
        <v>431</v>
      </c>
      <c r="E50" s="15">
        <v>9.4</v>
      </c>
      <c r="F50" s="15">
        <v>9.4</v>
      </c>
      <c r="G50" s="16" t="s">
        <v>367</v>
      </c>
      <c r="H50" s="5" t="s">
        <v>410</v>
      </c>
      <c r="I50" s="16">
        <v>4</v>
      </c>
      <c r="J50" s="16">
        <v>4</v>
      </c>
      <c r="K50" s="16"/>
      <c r="M50" s="1">
        <v>571</v>
      </c>
      <c r="N50" s="1">
        <v>41</v>
      </c>
      <c r="O50" s="52"/>
      <c r="P50" s="1">
        <v>17</v>
      </c>
      <c r="Q50" s="16" t="s">
        <v>11</v>
      </c>
      <c r="R50" s="1">
        <v>113</v>
      </c>
      <c r="S50" s="1">
        <v>-177</v>
      </c>
      <c r="T50" s="1">
        <v>-3126</v>
      </c>
      <c r="U50" s="1">
        <v>2949</v>
      </c>
      <c r="V50" s="16" t="s">
        <v>262</v>
      </c>
      <c r="W50" s="15">
        <f t="shared" si="9"/>
        <v>2.9489999999999998</v>
      </c>
      <c r="X50" s="2">
        <f t="shared" si="10"/>
        <v>13.926829268292684</v>
      </c>
      <c r="Y50" s="2">
        <f t="shared" si="11"/>
        <v>0.33967876264128494</v>
      </c>
      <c r="Z50" s="2">
        <f t="shared" si="12"/>
        <v>0.657641570289207</v>
      </c>
      <c r="AA50" s="2">
        <f t="shared" si="13"/>
        <v>2392.9930503404807</v>
      </c>
      <c r="AB50" s="2">
        <f t="shared" si="14"/>
        <v>7.1926829268292677E-2</v>
      </c>
      <c r="AC50" s="2">
        <f t="shared" si="6"/>
        <v>4.1140189292090703</v>
      </c>
      <c r="AD50" s="2">
        <v>58.456080876658397</v>
      </c>
      <c r="AE50" s="2">
        <f t="shared" si="15"/>
        <v>13.903017972193965</v>
      </c>
    </row>
    <row r="51" spans="1:31" x14ac:dyDescent="0.2">
      <c r="A51" t="s">
        <v>371</v>
      </c>
      <c r="B51" s="4" t="s">
        <v>365</v>
      </c>
      <c r="C51" s="5" t="s">
        <v>456</v>
      </c>
      <c r="D51" s="39" t="s">
        <v>431</v>
      </c>
      <c r="E51" s="15">
        <v>9.4</v>
      </c>
      <c r="F51" s="15">
        <v>9.4</v>
      </c>
      <c r="G51" s="16" t="s">
        <v>367</v>
      </c>
      <c r="H51" s="5" t="s">
        <v>410</v>
      </c>
      <c r="I51" s="16">
        <v>4</v>
      </c>
      <c r="J51" s="16">
        <v>4</v>
      </c>
      <c r="K51" s="16"/>
      <c r="M51" s="1">
        <v>420</v>
      </c>
      <c r="N51" s="1">
        <v>17</v>
      </c>
      <c r="O51" s="52"/>
      <c r="P51" s="1">
        <v>44</v>
      </c>
      <c r="Q51" t="s">
        <v>11</v>
      </c>
      <c r="R51" s="1">
        <v>123</v>
      </c>
      <c r="S51" s="1">
        <v>-236</v>
      </c>
      <c r="T51" s="1">
        <v>-2088</v>
      </c>
      <c r="U51" s="1">
        <v>1852</v>
      </c>
      <c r="V51" t="s">
        <v>262</v>
      </c>
      <c r="W51" s="15">
        <f t="shared" si="9"/>
        <v>1.8520000000000001</v>
      </c>
      <c r="X51" s="2">
        <f t="shared" si="10"/>
        <v>24.705882352941178</v>
      </c>
      <c r="Y51" s="2">
        <f t="shared" si="11"/>
        <v>1.453287197231834</v>
      </c>
      <c r="Z51" s="2">
        <f t="shared" si="12"/>
        <v>1.3602877406553449</v>
      </c>
      <c r="AA51" s="2">
        <f t="shared" si="13"/>
        <v>2233.9564186234247</v>
      </c>
      <c r="AB51" s="2">
        <f t="shared" si="14"/>
        <v>0.10894117647058824</v>
      </c>
      <c r="AC51" s="2">
        <f t="shared" si="6"/>
        <v>6.2173507774224488</v>
      </c>
      <c r="AD51" s="2">
        <v>59.456080876658397</v>
      </c>
      <c r="AE51" s="2">
        <f t="shared" si="15"/>
        <v>9.1792656587472994</v>
      </c>
    </row>
    <row r="52" spans="1:31" x14ac:dyDescent="0.2">
      <c r="A52" s="16" t="s">
        <v>372</v>
      </c>
      <c r="B52" s="16" t="s">
        <v>365</v>
      </c>
      <c r="C52" s="5" t="s">
        <v>456</v>
      </c>
      <c r="D52" s="39" t="s">
        <v>431</v>
      </c>
      <c r="E52" s="15">
        <v>9.4</v>
      </c>
      <c r="F52" s="15">
        <v>9.4</v>
      </c>
      <c r="G52" s="16" t="s">
        <v>367</v>
      </c>
      <c r="H52" s="5" t="s">
        <v>410</v>
      </c>
      <c r="I52" s="16">
        <v>4</v>
      </c>
      <c r="J52" s="16">
        <v>4</v>
      </c>
      <c r="K52" s="16"/>
      <c r="M52" s="1">
        <v>604</v>
      </c>
      <c r="N52" s="1">
        <v>44</v>
      </c>
      <c r="O52" s="52"/>
      <c r="P52" s="1">
        <v>18</v>
      </c>
      <c r="Q52" s="16" t="s">
        <v>11</v>
      </c>
      <c r="R52" s="1">
        <v>112</v>
      </c>
      <c r="S52" s="1">
        <v>-484</v>
      </c>
      <c r="T52" s="1">
        <v>-3503</v>
      </c>
      <c r="U52" s="1">
        <v>3019</v>
      </c>
      <c r="V52" s="16" t="s">
        <v>262</v>
      </c>
      <c r="W52" s="15">
        <f t="shared" si="9"/>
        <v>3.0190000000000001</v>
      </c>
      <c r="X52" s="2">
        <f t="shared" si="10"/>
        <v>13.727272727272727</v>
      </c>
      <c r="Y52" s="2">
        <f t="shared" si="11"/>
        <v>0.31198347107438018</v>
      </c>
      <c r="Z52" s="2">
        <f t="shared" si="12"/>
        <v>0.6302616079010066</v>
      </c>
      <c r="AA52" s="2">
        <f t="shared" si="13"/>
        <v>2439.3910817046453</v>
      </c>
      <c r="AB52" s="2">
        <f t="shared" si="14"/>
        <v>6.8613636363636363E-2</v>
      </c>
      <c r="AC52" s="2">
        <f t="shared" si="6"/>
        <v>3.9251198940696757</v>
      </c>
      <c r="AD52" s="2">
        <v>60.456080876658298</v>
      </c>
      <c r="AE52" s="2">
        <f t="shared" si="15"/>
        <v>14.57436237164624</v>
      </c>
    </row>
    <row r="53" spans="1:31" x14ac:dyDescent="0.2">
      <c r="A53" s="16" t="s">
        <v>373</v>
      </c>
      <c r="B53" s="16" t="s">
        <v>365</v>
      </c>
      <c r="C53" s="5" t="s">
        <v>456</v>
      </c>
      <c r="D53" s="39" t="s">
        <v>431</v>
      </c>
      <c r="E53" s="15">
        <v>9.4</v>
      </c>
      <c r="F53" s="15">
        <v>9.4</v>
      </c>
      <c r="G53" s="16" t="s">
        <v>367</v>
      </c>
      <c r="H53" s="5" t="s">
        <v>410</v>
      </c>
      <c r="I53" s="16">
        <v>4</v>
      </c>
      <c r="J53" s="16">
        <v>4</v>
      </c>
      <c r="K53" s="16"/>
      <c r="M53" s="1">
        <v>285</v>
      </c>
      <c r="N53" s="1">
        <v>35</v>
      </c>
      <c r="O53" s="52"/>
      <c r="P53" s="1">
        <v>13</v>
      </c>
      <c r="Q53" s="16" t="s">
        <v>11</v>
      </c>
      <c r="R53" s="1">
        <v>83</v>
      </c>
      <c r="S53" s="1">
        <v>-256</v>
      </c>
      <c r="T53" s="1">
        <v>-3468</v>
      </c>
      <c r="U53" s="1">
        <v>3212</v>
      </c>
      <c r="V53" s="16" t="s">
        <v>262</v>
      </c>
      <c r="W53" s="15">
        <f t="shared" si="9"/>
        <v>3.2120000000000002</v>
      </c>
      <c r="X53" s="2">
        <f t="shared" si="10"/>
        <v>8.1428571428571423</v>
      </c>
      <c r="Y53" s="2">
        <f t="shared" si="11"/>
        <v>0.23265306122448978</v>
      </c>
      <c r="Z53" s="2">
        <f t="shared" si="12"/>
        <v>0.54426379544858849</v>
      </c>
      <c r="AA53" s="2">
        <f t="shared" si="13"/>
        <v>1241.7822910673192</v>
      </c>
      <c r="AB53" s="2">
        <f t="shared" si="14"/>
        <v>9.1771428571428573E-2</v>
      </c>
      <c r="AC53" s="2">
        <f t="shared" si="6"/>
        <v>5.2434284084223473</v>
      </c>
      <c r="AD53" s="2">
        <v>61.456080876658298</v>
      </c>
      <c r="AE53" s="2">
        <f t="shared" si="15"/>
        <v>10.896637608966376</v>
      </c>
    </row>
    <row r="54" spans="1:31" x14ac:dyDescent="0.2">
      <c r="A54" t="s">
        <v>374</v>
      </c>
      <c r="B54" s="4" t="s">
        <v>365</v>
      </c>
      <c r="C54" s="5" t="s">
        <v>456</v>
      </c>
      <c r="D54" s="39" t="s">
        <v>431</v>
      </c>
      <c r="E54" s="15">
        <v>9.4</v>
      </c>
      <c r="F54" s="15">
        <v>9.4</v>
      </c>
      <c r="G54" s="16" t="s">
        <v>367</v>
      </c>
      <c r="H54" s="5" t="s">
        <v>410</v>
      </c>
      <c r="I54" s="16">
        <v>4</v>
      </c>
      <c r="J54" s="16">
        <v>4</v>
      </c>
      <c r="K54" s="16"/>
      <c r="M54" s="1">
        <v>184</v>
      </c>
      <c r="N54" s="1">
        <v>28</v>
      </c>
      <c r="O54" s="52"/>
      <c r="P54" s="1">
        <v>11</v>
      </c>
      <c r="Q54" t="s">
        <v>11</v>
      </c>
      <c r="R54" s="1">
        <v>71</v>
      </c>
      <c r="S54" s="1">
        <v>-470</v>
      </c>
      <c r="T54" s="1">
        <v>-3272</v>
      </c>
      <c r="U54" s="1">
        <v>2802</v>
      </c>
      <c r="V54" t="s">
        <v>262</v>
      </c>
      <c r="W54" s="15">
        <f t="shared" si="9"/>
        <v>2.802</v>
      </c>
      <c r="X54" s="2">
        <f t="shared" si="10"/>
        <v>6.5714285714285712</v>
      </c>
      <c r="Y54" s="2">
        <f t="shared" si="11"/>
        <v>0.23469387755102042</v>
      </c>
      <c r="Z54" s="2">
        <f t="shared" si="12"/>
        <v>0.54664570527703149</v>
      </c>
      <c r="AA54" s="2">
        <f t="shared" si="13"/>
        <v>853.51704781980777</v>
      </c>
      <c r="AB54" s="2">
        <f t="shared" si="14"/>
        <v>0.10007142857142858</v>
      </c>
      <c r="AC54" s="2">
        <f t="shared" si="6"/>
        <v>5.7146451441627892</v>
      </c>
      <c r="AD54" s="2">
        <v>62.456080876658199</v>
      </c>
      <c r="AE54" s="2">
        <f t="shared" si="15"/>
        <v>9.9928622412562458</v>
      </c>
    </row>
    <row r="55" spans="1:31" x14ac:dyDescent="0.2">
      <c r="A55" t="s">
        <v>375</v>
      </c>
      <c r="B55" s="4" t="s">
        <v>365</v>
      </c>
      <c r="C55" s="5" t="s">
        <v>456</v>
      </c>
      <c r="D55" s="39" t="s">
        <v>431</v>
      </c>
      <c r="E55" s="15">
        <v>9.4</v>
      </c>
      <c r="F55" s="15">
        <v>9.4</v>
      </c>
      <c r="G55" s="16" t="s">
        <v>367</v>
      </c>
      <c r="H55" s="5" t="s">
        <v>410</v>
      </c>
      <c r="I55" s="16">
        <v>4</v>
      </c>
      <c r="J55" s="16">
        <v>4</v>
      </c>
      <c r="K55" s="16"/>
      <c r="M55" s="1">
        <v>760</v>
      </c>
      <c r="N55" s="1">
        <v>35</v>
      </c>
      <c r="O55" s="52"/>
      <c r="P55" s="1">
        <v>42</v>
      </c>
      <c r="Q55" t="s">
        <v>11</v>
      </c>
      <c r="R55" s="1">
        <v>119</v>
      </c>
      <c r="S55" s="1">
        <v>-163</v>
      </c>
      <c r="T55" s="1">
        <v>-3166</v>
      </c>
      <c r="U55" s="1">
        <v>3003</v>
      </c>
      <c r="V55" t="s">
        <v>262</v>
      </c>
      <c r="W55" s="15">
        <f t="shared" si="9"/>
        <v>3.0030000000000001</v>
      </c>
      <c r="X55" s="2">
        <f t="shared" si="10"/>
        <v>21.714285714285715</v>
      </c>
      <c r="Y55" s="2">
        <f t="shared" si="11"/>
        <v>0.62040816326530612</v>
      </c>
      <c r="Z55" s="2">
        <f t="shared" si="12"/>
        <v>0.88877905621303943</v>
      </c>
      <c r="AA55" s="2">
        <f t="shared" si="13"/>
        <v>2907.359238425413</v>
      </c>
      <c r="AB55" s="2">
        <f t="shared" si="14"/>
        <v>8.5800000000000001E-2</v>
      </c>
      <c r="AC55" s="2">
        <f t="shared" si="6"/>
        <v>4.9039676668813126</v>
      </c>
      <c r="AD55" s="2">
        <v>63.456080876658199</v>
      </c>
      <c r="AE55" s="2">
        <f t="shared" si="15"/>
        <v>11.655011655011654</v>
      </c>
    </row>
    <row r="56" spans="1:31" x14ac:dyDescent="0.2">
      <c r="A56" s="39" t="s">
        <v>275</v>
      </c>
      <c r="B56" s="39" t="s">
        <v>365</v>
      </c>
      <c r="C56" s="39" t="s">
        <v>455</v>
      </c>
      <c r="D56" s="39" t="s">
        <v>431</v>
      </c>
      <c r="E56" s="40">
        <v>9.4</v>
      </c>
      <c r="F56" s="40">
        <v>9.4</v>
      </c>
      <c r="G56" s="39" t="s">
        <v>383</v>
      </c>
      <c r="H56" s="39" t="s">
        <v>414</v>
      </c>
      <c r="I56" s="39" t="s">
        <v>357</v>
      </c>
      <c r="J56" s="39">
        <v>9</v>
      </c>
      <c r="K56" s="39"/>
      <c r="L56" s="39"/>
      <c r="M56" s="45">
        <v>24</v>
      </c>
      <c r="N56" s="45">
        <v>7</v>
      </c>
      <c r="O56" s="52"/>
      <c r="P56" s="45">
        <v>5</v>
      </c>
      <c r="Q56" s="39" t="s">
        <v>11</v>
      </c>
      <c r="R56" s="39">
        <v>20</v>
      </c>
      <c r="S56" s="39">
        <v>716</v>
      </c>
      <c r="T56" s="39">
        <v>-45</v>
      </c>
      <c r="U56" s="39">
        <v>761</v>
      </c>
      <c r="V56" s="39" t="s">
        <v>262</v>
      </c>
      <c r="W56" s="15">
        <f t="shared" si="9"/>
        <v>0.76100000000000001</v>
      </c>
      <c r="X56" s="2">
        <f t="shared" si="10"/>
        <v>3.4285714285714284</v>
      </c>
      <c r="Y56" s="2">
        <f t="shared" si="11"/>
        <v>0.48979591836734693</v>
      </c>
      <c r="Z56" s="2">
        <f t="shared" si="12"/>
        <v>0.78970091478536886</v>
      </c>
      <c r="AA56" s="2">
        <f t="shared" si="13"/>
        <v>86.832150359184354</v>
      </c>
      <c r="AB56" s="2">
        <f t="shared" si="14"/>
        <v>0.10871428571428572</v>
      </c>
      <c r="AC56" s="2">
        <f t="shared" si="6"/>
        <v>6.2045030563918546</v>
      </c>
      <c r="AD56" s="2">
        <v>64.456080876658106</v>
      </c>
      <c r="AE56" s="2">
        <f t="shared" si="15"/>
        <v>9.1984231274638635</v>
      </c>
    </row>
    <row r="57" spans="1:31" x14ac:dyDescent="0.2">
      <c r="A57" t="s">
        <v>364</v>
      </c>
      <c r="B57" s="4" t="s">
        <v>234</v>
      </c>
      <c r="C57" s="16" t="s">
        <v>453</v>
      </c>
      <c r="D57" s="39" t="s">
        <v>431</v>
      </c>
      <c r="E57" s="16">
        <v>15</v>
      </c>
      <c r="F57" s="15">
        <v>15</v>
      </c>
      <c r="G57" s="16" t="s">
        <v>391</v>
      </c>
      <c r="H57" s="5" t="s">
        <v>413</v>
      </c>
      <c r="I57" s="8" t="s">
        <v>133</v>
      </c>
      <c r="J57" s="27">
        <v>14.5</v>
      </c>
      <c r="K57" s="18">
        <v>50</v>
      </c>
      <c r="L57" s="20">
        <v>50</v>
      </c>
      <c r="M57" s="1">
        <v>723</v>
      </c>
      <c r="N57" s="1">
        <v>42</v>
      </c>
      <c r="O57" s="52">
        <f t="shared" si="8"/>
        <v>5.4892163624999987E+18</v>
      </c>
      <c r="P57" s="1">
        <v>23</v>
      </c>
      <c r="Q57" t="s">
        <v>11</v>
      </c>
      <c r="R57" s="16">
        <v>107</v>
      </c>
      <c r="S57" s="16">
        <v>1185</v>
      </c>
      <c r="T57" s="16">
        <v>-3293</v>
      </c>
      <c r="U57" s="16">
        <v>4478</v>
      </c>
      <c r="V57" t="s">
        <v>12</v>
      </c>
      <c r="W57" s="15">
        <f t="shared" si="9"/>
        <v>4.4779999999999998</v>
      </c>
      <c r="X57" s="2">
        <f t="shared" si="10"/>
        <v>17.214285714285715</v>
      </c>
      <c r="Y57" s="2">
        <f t="shared" si="11"/>
        <v>0.4098639455782313</v>
      </c>
      <c r="Z57" s="2">
        <f t="shared" si="12"/>
        <v>0.72239531125887502</v>
      </c>
      <c r="AA57" s="2">
        <f t="shared" si="13"/>
        <v>2549.7515594595329</v>
      </c>
      <c r="AB57" s="2">
        <f t="shared" si="14"/>
        <v>0.10661904761904761</v>
      </c>
      <c r="AC57" s="2">
        <f t="shared" si="6"/>
        <v>6.0858304637638732</v>
      </c>
      <c r="AD57" s="2">
        <v>65.456080876658106</v>
      </c>
      <c r="AE57" s="2">
        <f t="shared" si="15"/>
        <v>9.3791871371147835</v>
      </c>
    </row>
    <row r="58" spans="1:31" x14ac:dyDescent="0.2">
      <c r="A58" t="s">
        <v>366</v>
      </c>
      <c r="B58" s="4" t="s">
        <v>234</v>
      </c>
      <c r="C58" s="16" t="s">
        <v>453</v>
      </c>
      <c r="D58" s="39" t="s">
        <v>431</v>
      </c>
      <c r="E58" s="16">
        <v>15</v>
      </c>
      <c r="F58" s="15">
        <v>15</v>
      </c>
      <c r="G58" s="16" t="s">
        <v>392</v>
      </c>
      <c r="H58" s="5" t="s">
        <v>413</v>
      </c>
      <c r="I58" s="8" t="s">
        <v>134</v>
      </c>
      <c r="J58" s="27">
        <f>(12+15)/2</f>
        <v>13.5</v>
      </c>
      <c r="K58" s="18">
        <v>60</v>
      </c>
      <c r="L58" s="20">
        <v>60</v>
      </c>
      <c r="M58" s="1">
        <v>1265</v>
      </c>
      <c r="N58" s="1">
        <v>92</v>
      </c>
      <c r="O58" s="52">
        <f t="shared" si="8"/>
        <v>7.649109E+18</v>
      </c>
      <c r="P58" s="1">
        <v>20</v>
      </c>
      <c r="Q58" t="s">
        <v>11</v>
      </c>
      <c r="R58" s="16">
        <v>199</v>
      </c>
      <c r="S58" s="16">
        <v>1586</v>
      </c>
      <c r="T58" s="16">
        <v>-3614</v>
      </c>
      <c r="U58" s="16">
        <v>5200</v>
      </c>
      <c r="V58" t="s">
        <v>12</v>
      </c>
      <c r="W58" s="15">
        <f t="shared" si="9"/>
        <v>5.2</v>
      </c>
      <c r="X58" s="2">
        <f t="shared" si="10"/>
        <v>13.75</v>
      </c>
      <c r="Y58" s="2">
        <f t="shared" si="11"/>
        <v>0.14945652173913043</v>
      </c>
      <c r="Z58" s="2">
        <f t="shared" si="12"/>
        <v>0.43622695299579833</v>
      </c>
      <c r="AA58" s="2">
        <f t="shared" si="13"/>
        <v>6272.5376806929107</v>
      </c>
      <c r="AB58" s="2">
        <f t="shared" si="14"/>
        <v>5.6521739130434782E-2</v>
      </c>
      <c r="AC58" s="2">
        <f t="shared" si="6"/>
        <v>3.2350150577845755</v>
      </c>
      <c r="AD58" s="2">
        <v>66.456080876658106</v>
      </c>
      <c r="AE58" s="2">
        <f t="shared" si="15"/>
        <v>17.692307692307693</v>
      </c>
    </row>
    <row r="59" spans="1:31" x14ac:dyDescent="0.2">
      <c r="A59" t="s">
        <v>27</v>
      </c>
      <c r="B59" s="4" t="s">
        <v>234</v>
      </c>
      <c r="C59" s="16" t="s">
        <v>453</v>
      </c>
      <c r="D59" s="39" t="s">
        <v>431</v>
      </c>
      <c r="E59" s="16">
        <v>15</v>
      </c>
      <c r="F59" s="15">
        <v>15</v>
      </c>
      <c r="G59" s="16" t="s">
        <v>342</v>
      </c>
      <c r="H59" s="5" t="s">
        <v>413</v>
      </c>
      <c r="I59" s="18" t="s">
        <v>133</v>
      </c>
      <c r="J59" s="24">
        <v>14.5</v>
      </c>
      <c r="K59" s="18">
        <v>80</v>
      </c>
      <c r="L59" s="20">
        <v>80</v>
      </c>
      <c r="M59" s="1">
        <v>1086</v>
      </c>
      <c r="N59" s="1">
        <v>65</v>
      </c>
      <c r="O59" s="52">
        <f t="shared" si="8"/>
        <v>9.20246652E+18</v>
      </c>
      <c r="P59" s="1">
        <v>28</v>
      </c>
      <c r="Q59" t="s">
        <v>11</v>
      </c>
      <c r="R59" s="16">
        <v>158</v>
      </c>
      <c r="S59" s="16">
        <v>1683</v>
      </c>
      <c r="T59" s="16">
        <v>-3009</v>
      </c>
      <c r="U59" s="16">
        <v>4692</v>
      </c>
      <c r="V59" t="s">
        <v>12</v>
      </c>
      <c r="W59" s="15">
        <f t="shared" si="9"/>
        <v>4.6920000000000002</v>
      </c>
      <c r="X59" s="2">
        <f t="shared" si="10"/>
        <v>16.707692307692309</v>
      </c>
      <c r="Y59" s="2">
        <f t="shared" si="11"/>
        <v>0.25704142011834319</v>
      </c>
      <c r="Z59" s="2">
        <f t="shared" si="12"/>
        <v>0.57207980400052161</v>
      </c>
      <c r="AA59" s="2">
        <f t="shared" si="13"/>
        <v>4614.4180692191985</v>
      </c>
      <c r="AB59" s="2">
        <f t="shared" si="14"/>
        <v>7.2184615384615389E-2</v>
      </c>
      <c r="AC59" s="2">
        <f t="shared" si="6"/>
        <v>4.1287126951803224</v>
      </c>
      <c r="AD59" s="2">
        <v>67.456080876658007</v>
      </c>
      <c r="AE59" s="2">
        <f t="shared" si="15"/>
        <v>13.853367433930094</v>
      </c>
    </row>
    <row r="60" spans="1:31" x14ac:dyDescent="0.2">
      <c r="A60" t="s">
        <v>28</v>
      </c>
      <c r="B60" s="4" t="s">
        <v>234</v>
      </c>
      <c r="C60" s="5" t="s">
        <v>444</v>
      </c>
      <c r="D60" s="39" t="s">
        <v>431</v>
      </c>
      <c r="E60" s="16">
        <v>15</v>
      </c>
      <c r="F60" s="15">
        <v>15</v>
      </c>
      <c r="G60" s="5" t="s">
        <v>342</v>
      </c>
      <c r="H60" s="5" t="s">
        <v>413</v>
      </c>
      <c r="I60" s="7" t="s">
        <v>182</v>
      </c>
      <c r="J60" s="26">
        <f>(9+11.5)/2</f>
        <v>10.25</v>
      </c>
      <c r="K60" s="7">
        <v>34</v>
      </c>
      <c r="L60" s="21">
        <v>34</v>
      </c>
      <c r="M60" s="1">
        <v>797</v>
      </c>
      <c r="N60" s="1">
        <v>55</v>
      </c>
      <c r="O60" s="52">
        <f t="shared" si="8"/>
        <v>3.1258378124999997E+18</v>
      </c>
      <c r="P60" s="1">
        <v>20</v>
      </c>
      <c r="Q60" t="s">
        <v>11</v>
      </c>
      <c r="R60" s="16">
        <v>132</v>
      </c>
      <c r="S60" s="16">
        <v>1634</v>
      </c>
      <c r="T60" s="16">
        <v>-2116</v>
      </c>
      <c r="U60" s="16">
        <v>3750</v>
      </c>
      <c r="V60" t="s">
        <v>12</v>
      </c>
      <c r="W60" s="15">
        <f t="shared" si="9"/>
        <v>3.75</v>
      </c>
      <c r="X60" s="2">
        <f t="shared" si="10"/>
        <v>14.49090909090909</v>
      </c>
      <c r="Y60" s="2">
        <f t="shared" si="11"/>
        <v>0.26347107438016532</v>
      </c>
      <c r="Z60" s="2">
        <f t="shared" si="12"/>
        <v>0.57919063549561545</v>
      </c>
      <c r="AA60" s="2">
        <f t="shared" si="13"/>
        <v>3302.5395832983563</v>
      </c>
      <c r="AB60" s="2">
        <f t="shared" si="14"/>
        <v>6.8181818181818177E-2</v>
      </c>
      <c r="AC60" s="2">
        <f t="shared" si="6"/>
        <v>3.9004937423818902</v>
      </c>
      <c r="AD60" s="2">
        <v>68.456080876658007</v>
      </c>
      <c r="AE60" s="2">
        <f t="shared" si="15"/>
        <v>14.666666666666666</v>
      </c>
    </row>
    <row r="61" spans="1:31" x14ac:dyDescent="0.2">
      <c r="A61" t="s">
        <v>14</v>
      </c>
      <c r="B61" s="4" t="s">
        <v>219</v>
      </c>
      <c r="C61" s="5" t="s">
        <v>444</v>
      </c>
      <c r="D61" s="39" t="s">
        <v>431</v>
      </c>
      <c r="E61" s="16">
        <v>1.1000000000000001</v>
      </c>
      <c r="F61" s="15">
        <v>1.1000000000000001</v>
      </c>
      <c r="G61" s="16" t="s">
        <v>147</v>
      </c>
      <c r="H61" s="5" t="s">
        <v>416</v>
      </c>
      <c r="I61" s="18" t="s">
        <v>148</v>
      </c>
      <c r="J61" s="24">
        <f>(0.039+0.087)/2</f>
        <v>6.3E-2</v>
      </c>
      <c r="K61" s="18">
        <v>84</v>
      </c>
      <c r="L61" s="20">
        <v>84</v>
      </c>
      <c r="M61" s="1">
        <v>1186</v>
      </c>
      <c r="N61" s="1">
        <v>68</v>
      </c>
      <c r="O61" s="52">
        <f t="shared" si="8"/>
        <v>1.0243333736999999E+19</v>
      </c>
      <c r="P61" s="1">
        <v>29</v>
      </c>
      <c r="Q61" t="s">
        <v>11</v>
      </c>
      <c r="R61" s="16">
        <v>167</v>
      </c>
      <c r="S61" s="16">
        <v>1149</v>
      </c>
      <c r="T61" s="16">
        <v>-3825</v>
      </c>
      <c r="U61" s="16">
        <v>4974</v>
      </c>
      <c r="V61" t="s">
        <v>12</v>
      </c>
      <c r="W61" s="15">
        <f t="shared" si="9"/>
        <v>4.9740000000000002</v>
      </c>
      <c r="X61" s="2">
        <f t="shared" si="10"/>
        <v>17.441176470588236</v>
      </c>
      <c r="Y61" s="2">
        <f t="shared" si="11"/>
        <v>0.25648788927335642</v>
      </c>
      <c r="Z61" s="2">
        <f t="shared" si="12"/>
        <v>0.57146349383067219</v>
      </c>
      <c r="AA61" s="2">
        <f t="shared" si="13"/>
        <v>5096.8723322355872</v>
      </c>
      <c r="AB61" s="2">
        <f t="shared" si="14"/>
        <v>7.3147058823529412E-2</v>
      </c>
      <c r="AC61" s="2">
        <f t="shared" si="6"/>
        <v>4.1835669896636425</v>
      </c>
      <c r="AD61" s="2">
        <v>69.456080876657893</v>
      </c>
      <c r="AE61" s="2">
        <f t="shared" si="15"/>
        <v>13.671089666264574</v>
      </c>
    </row>
    <row r="62" spans="1:31" x14ac:dyDescent="0.2">
      <c r="A62" t="s">
        <v>13</v>
      </c>
      <c r="B62" s="4" t="s">
        <v>219</v>
      </c>
      <c r="C62" s="5" t="s">
        <v>444</v>
      </c>
      <c r="D62" s="39" t="s">
        <v>431</v>
      </c>
      <c r="E62" s="16">
        <v>1.1000000000000001</v>
      </c>
      <c r="F62" s="15">
        <v>1.1000000000000001</v>
      </c>
      <c r="G62" s="16" t="s">
        <v>147</v>
      </c>
      <c r="H62" s="5" t="s">
        <v>416</v>
      </c>
      <c r="I62" s="18" t="s">
        <v>148</v>
      </c>
      <c r="J62" s="24">
        <f>(0.039+0.087)/2</f>
        <v>6.3E-2</v>
      </c>
      <c r="K62" s="18">
        <v>234</v>
      </c>
      <c r="L62" s="20">
        <v>234</v>
      </c>
      <c r="M62" s="1">
        <v>1948</v>
      </c>
      <c r="N62" s="1">
        <v>73</v>
      </c>
      <c r="O62" s="52">
        <f t="shared" si="8"/>
        <v>3.1569785120249999E+19</v>
      </c>
      <c r="P62" s="1">
        <v>53</v>
      </c>
      <c r="Q62" t="s">
        <v>11</v>
      </c>
      <c r="R62" s="16">
        <v>211</v>
      </c>
      <c r="S62" s="16">
        <v>1511</v>
      </c>
      <c r="T62" s="16">
        <v>-3992</v>
      </c>
      <c r="U62" s="16">
        <v>5503</v>
      </c>
      <c r="V62" t="s">
        <v>12</v>
      </c>
      <c r="W62" s="15">
        <f t="shared" si="9"/>
        <v>5.5030000000000001</v>
      </c>
      <c r="X62" s="2">
        <f t="shared" si="10"/>
        <v>26.684931506849313</v>
      </c>
      <c r="Y62" s="2">
        <f t="shared" si="11"/>
        <v>0.36554700694314129</v>
      </c>
      <c r="Z62" s="2">
        <f t="shared" si="12"/>
        <v>0.68222350202329063</v>
      </c>
      <c r="AA62" s="2">
        <f t="shared" si="13"/>
        <v>8253.1905324964646</v>
      </c>
      <c r="AB62" s="2">
        <f t="shared" si="14"/>
        <v>7.5383561643835612E-2</v>
      </c>
      <c r="AC62" s="2">
        <f t="shared" si="6"/>
        <v>4.3110062398582789</v>
      </c>
      <c r="AD62" s="2">
        <v>70.456080876657893</v>
      </c>
      <c r="AE62" s="2">
        <f t="shared" si="15"/>
        <v>13.265491550063601</v>
      </c>
    </row>
    <row r="63" spans="1:31" s="39" customFormat="1" x14ac:dyDescent="0.2">
      <c r="A63" s="16" t="s">
        <v>15</v>
      </c>
      <c r="B63" s="16" t="s">
        <v>219</v>
      </c>
      <c r="C63" s="16" t="s">
        <v>454</v>
      </c>
      <c r="D63" s="39" t="s">
        <v>431</v>
      </c>
      <c r="E63" s="16">
        <v>1.1000000000000001</v>
      </c>
      <c r="F63" s="15">
        <v>1.1000000000000001</v>
      </c>
      <c r="G63" s="16" t="s">
        <v>376</v>
      </c>
      <c r="H63" s="5" t="s">
        <v>345</v>
      </c>
      <c r="I63" s="18" t="s">
        <v>363</v>
      </c>
      <c r="J63" s="24">
        <v>0.4</v>
      </c>
      <c r="K63" s="18">
        <v>130</v>
      </c>
      <c r="L63" s="20">
        <v>130</v>
      </c>
      <c r="M63" s="1">
        <v>2044</v>
      </c>
      <c r="N63" s="1">
        <v>70</v>
      </c>
      <c r="O63" s="52">
        <f t="shared" si="8"/>
        <v>1.5581872458750003E+19</v>
      </c>
      <c r="P63" s="1">
        <v>48</v>
      </c>
      <c r="Q63" s="16" t="s">
        <v>11</v>
      </c>
      <c r="R63" s="16">
        <v>189</v>
      </c>
      <c r="S63" s="16">
        <v>982</v>
      </c>
      <c r="T63" s="16">
        <v>-3907</v>
      </c>
      <c r="U63" s="16">
        <v>4889</v>
      </c>
      <c r="V63" s="16" t="s">
        <v>12</v>
      </c>
      <c r="W63" s="15">
        <f t="shared" si="9"/>
        <v>4.8890000000000002</v>
      </c>
      <c r="X63" s="2">
        <f t="shared" si="10"/>
        <v>29.2</v>
      </c>
      <c r="Y63" s="2">
        <f t="shared" si="11"/>
        <v>0.41714285714285715</v>
      </c>
      <c r="Z63" s="2">
        <f t="shared" si="12"/>
        <v>0.72878171204799658</v>
      </c>
      <c r="AA63" s="2">
        <f t="shared" si="13"/>
        <v>7572.6378815012558</v>
      </c>
      <c r="AB63" s="2">
        <f t="shared" si="14"/>
        <v>6.9842857142857151E-2</v>
      </c>
      <c r="AC63" s="2">
        <f t="shared" si="6"/>
        <v>3.9952131228374435</v>
      </c>
      <c r="AD63" s="2">
        <v>71.456080876657893</v>
      </c>
      <c r="AE63" s="2">
        <f t="shared" si="15"/>
        <v>14.317856412354264</v>
      </c>
    </row>
    <row r="64" spans="1:31" s="39" customFormat="1" x14ac:dyDescent="0.2">
      <c r="A64" s="16" t="s">
        <v>17</v>
      </c>
      <c r="B64" s="16" t="s">
        <v>219</v>
      </c>
      <c r="C64" s="16" t="s">
        <v>444</v>
      </c>
      <c r="D64" s="39" t="s">
        <v>431</v>
      </c>
      <c r="E64" s="16">
        <v>1.1000000000000001</v>
      </c>
      <c r="F64" s="15">
        <v>1.1000000000000001</v>
      </c>
      <c r="G64" s="16" t="s">
        <v>156</v>
      </c>
      <c r="H64" s="5" t="s">
        <v>415</v>
      </c>
      <c r="I64" s="9" t="s">
        <v>157</v>
      </c>
      <c r="J64" s="29">
        <f>(0.145+0.176)/2</f>
        <v>0.16049999999999998</v>
      </c>
      <c r="K64" s="18">
        <v>50</v>
      </c>
      <c r="L64" s="20">
        <v>50</v>
      </c>
      <c r="M64" s="1">
        <v>1151</v>
      </c>
      <c r="N64" s="1">
        <v>60</v>
      </c>
      <c r="O64" s="52">
        <f t="shared" si="8"/>
        <v>5.9108980124999987E+18</v>
      </c>
      <c r="P64" s="1">
        <v>30</v>
      </c>
      <c r="Q64" s="16" t="s">
        <v>11</v>
      </c>
      <c r="R64" s="16">
        <v>144</v>
      </c>
      <c r="S64" s="16">
        <v>1128</v>
      </c>
      <c r="T64" s="16">
        <v>-3694</v>
      </c>
      <c r="U64" s="16">
        <v>4822</v>
      </c>
      <c r="V64" s="16" t="s">
        <v>12</v>
      </c>
      <c r="W64" s="15">
        <f t="shared" si="9"/>
        <v>4.8220000000000001</v>
      </c>
      <c r="X64" s="2">
        <f t="shared" si="10"/>
        <v>19.183333333333334</v>
      </c>
      <c r="Y64" s="2">
        <f t="shared" si="11"/>
        <v>0.31972222222222224</v>
      </c>
      <c r="Z64" s="2">
        <f t="shared" si="12"/>
        <v>0.63803054662365677</v>
      </c>
      <c r="AA64" s="2">
        <f t="shared" si="13"/>
        <v>4329.573269835003</v>
      </c>
      <c r="AB64" s="2">
        <f t="shared" si="14"/>
        <v>8.036666666666667E-2</v>
      </c>
      <c r="AC64" s="2">
        <f t="shared" si="6"/>
        <v>4.5947955039861865</v>
      </c>
      <c r="AD64" s="2">
        <v>72.456080876657893</v>
      </c>
      <c r="AE64" s="2">
        <f t="shared" si="15"/>
        <v>12.442969722107009</v>
      </c>
    </row>
    <row r="65" spans="1:31" s="39" customFormat="1" x14ac:dyDescent="0.2">
      <c r="A65" s="16" t="s">
        <v>18</v>
      </c>
      <c r="B65" s="16" t="s">
        <v>219</v>
      </c>
      <c r="C65" s="16" t="s">
        <v>444</v>
      </c>
      <c r="D65" s="39" t="s">
        <v>431</v>
      </c>
      <c r="E65" s="16">
        <v>1.1000000000000001</v>
      </c>
      <c r="F65" s="15">
        <v>1.1000000000000001</v>
      </c>
      <c r="G65" s="5" t="s">
        <v>156</v>
      </c>
      <c r="H65" s="5" t="s">
        <v>415</v>
      </c>
      <c r="I65" s="7"/>
      <c r="J65" s="26"/>
      <c r="K65" s="7"/>
      <c r="L65" s="21"/>
      <c r="M65" s="1">
        <v>53</v>
      </c>
      <c r="N65" s="1">
        <v>19</v>
      </c>
      <c r="O65" s="52"/>
      <c r="P65" s="1">
        <v>7</v>
      </c>
      <c r="Q65" s="16" t="s">
        <v>11</v>
      </c>
      <c r="R65" s="16">
        <v>44</v>
      </c>
      <c r="S65" s="16">
        <v>641</v>
      </c>
      <c r="T65" s="16">
        <v>-2799</v>
      </c>
      <c r="U65" s="16">
        <v>3440</v>
      </c>
      <c r="V65" s="16" t="s">
        <v>12</v>
      </c>
      <c r="W65" s="15">
        <f t="shared" si="9"/>
        <v>3.44</v>
      </c>
      <c r="X65" s="2">
        <f t="shared" si="10"/>
        <v>2.7894736842105261</v>
      </c>
      <c r="Y65" s="2">
        <f t="shared" si="11"/>
        <v>0.14681440443213298</v>
      </c>
      <c r="Z65" s="2">
        <f t="shared" si="12"/>
        <v>0.43235391321040223</v>
      </c>
      <c r="AA65" s="2">
        <f t="shared" si="13"/>
        <v>283.88049316795264</v>
      </c>
      <c r="AB65" s="2">
        <f t="shared" si="14"/>
        <v>0.18105263157894735</v>
      </c>
      <c r="AC65" s="2">
        <f t="shared" si="6"/>
        <v>10.262381566767074</v>
      </c>
      <c r="AD65" s="2">
        <v>73.456080876657794</v>
      </c>
      <c r="AE65" s="2">
        <f t="shared" si="15"/>
        <v>5.5232558139534884</v>
      </c>
    </row>
    <row r="66" spans="1:31" x14ac:dyDescent="0.2">
      <c r="A66" s="16" t="s">
        <v>16</v>
      </c>
      <c r="B66" s="16" t="s">
        <v>219</v>
      </c>
      <c r="C66" s="16" t="s">
        <v>448</v>
      </c>
      <c r="D66" s="39" t="s">
        <v>431</v>
      </c>
      <c r="E66" s="16">
        <v>1.1000000000000001</v>
      </c>
      <c r="F66" s="15">
        <v>1.1000000000000001</v>
      </c>
      <c r="G66" s="5" t="s">
        <v>152</v>
      </c>
      <c r="H66" s="5" t="s">
        <v>417</v>
      </c>
      <c r="I66" s="7" t="s">
        <v>183</v>
      </c>
      <c r="J66" s="26">
        <f>(0.176+0.545)/2</f>
        <v>0.36050000000000004</v>
      </c>
      <c r="K66" s="7"/>
      <c r="L66" s="21"/>
      <c r="M66" s="1">
        <v>2213</v>
      </c>
      <c r="N66" s="1">
        <v>62</v>
      </c>
      <c r="O66" s="52"/>
      <c r="P66" s="1">
        <v>50</v>
      </c>
      <c r="Q66" s="16" t="s">
        <v>11</v>
      </c>
      <c r="R66" s="16">
        <v>176</v>
      </c>
      <c r="S66" s="16">
        <v>1027</v>
      </c>
      <c r="T66" s="16">
        <v>-3697</v>
      </c>
      <c r="U66" s="16">
        <v>4724</v>
      </c>
      <c r="V66" s="16" t="s">
        <v>12</v>
      </c>
      <c r="W66" s="15">
        <f t="shared" si="9"/>
        <v>4.7240000000000002</v>
      </c>
      <c r="X66" s="2">
        <f t="shared" si="10"/>
        <v>35.693548387096776</v>
      </c>
      <c r="Y66" s="2">
        <f t="shared" si="11"/>
        <v>0.57570239334027051</v>
      </c>
      <c r="Z66" s="2">
        <f t="shared" si="12"/>
        <v>0.85615831267956888</v>
      </c>
      <c r="AA66" s="2">
        <f t="shared" si="13"/>
        <v>7337.503383536261</v>
      </c>
      <c r="AB66" s="2">
        <f t="shared" si="14"/>
        <v>7.6193548387096771E-2</v>
      </c>
      <c r="AC66" s="2">
        <f t="shared" si="6"/>
        <v>4.3571500137864181</v>
      </c>
      <c r="AD66" s="2">
        <v>74.456080876657794</v>
      </c>
      <c r="AE66" s="2">
        <f t="shared" si="15"/>
        <v>13.124470787468248</v>
      </c>
    </row>
    <row r="67" spans="1:31" x14ac:dyDescent="0.2">
      <c r="A67" t="s">
        <v>10</v>
      </c>
      <c r="B67" s="4" t="s">
        <v>219</v>
      </c>
      <c r="C67" s="5" t="s">
        <v>444</v>
      </c>
      <c r="D67" s="39" t="s">
        <v>431</v>
      </c>
      <c r="E67" s="4">
        <v>1.1000000000000001</v>
      </c>
      <c r="F67" s="15">
        <v>1.1000000000000001</v>
      </c>
      <c r="G67" s="16" t="s">
        <v>362</v>
      </c>
      <c r="H67" s="5" t="s">
        <v>425</v>
      </c>
      <c r="I67" s="18" t="s">
        <v>361</v>
      </c>
      <c r="J67" s="24">
        <v>0.96</v>
      </c>
      <c r="K67" s="18"/>
      <c r="L67" s="20"/>
      <c r="M67" s="1">
        <v>1979</v>
      </c>
      <c r="N67" s="1">
        <v>59</v>
      </c>
      <c r="O67" s="52"/>
      <c r="P67" s="1">
        <v>54</v>
      </c>
      <c r="Q67" t="s">
        <v>11</v>
      </c>
      <c r="R67">
        <v>174</v>
      </c>
      <c r="S67">
        <v>1282</v>
      </c>
      <c r="T67">
        <v>-3759</v>
      </c>
      <c r="U67">
        <v>5041</v>
      </c>
      <c r="V67" t="s">
        <v>12</v>
      </c>
      <c r="W67" s="15">
        <f t="shared" si="9"/>
        <v>5.0410000000000004</v>
      </c>
      <c r="X67" s="2">
        <f t="shared" si="10"/>
        <v>33.542372881355931</v>
      </c>
      <c r="Y67" s="2">
        <f t="shared" si="11"/>
        <v>0.56851479459925314</v>
      </c>
      <c r="Z67" s="2">
        <f t="shared" si="12"/>
        <v>0.85079699187408209</v>
      </c>
      <c r="AA67" s="2">
        <f t="shared" si="13"/>
        <v>6859.8889477734729</v>
      </c>
      <c r="AB67" s="2">
        <f t="shared" si="14"/>
        <v>8.5440677966101705E-2</v>
      </c>
      <c r="AC67" s="2">
        <f t="shared" si="6"/>
        <v>4.8835298574274599</v>
      </c>
      <c r="AD67" s="2">
        <v>75.456080876657794</v>
      </c>
      <c r="AE67" s="2">
        <f t="shared" si="15"/>
        <v>11.704026978774053</v>
      </c>
    </row>
    <row r="68" spans="1:31" x14ac:dyDescent="0.2">
      <c r="A68" s="39" t="s">
        <v>20</v>
      </c>
      <c r="B68" s="39" t="s">
        <v>236</v>
      </c>
      <c r="C68" s="5" t="s">
        <v>444</v>
      </c>
      <c r="D68" s="39" t="s">
        <v>431</v>
      </c>
      <c r="E68" s="39">
        <v>1.7</v>
      </c>
      <c r="F68" s="40">
        <v>1.7</v>
      </c>
      <c r="G68" s="39" t="s">
        <v>152</v>
      </c>
      <c r="H68" s="41" t="s">
        <v>418</v>
      </c>
      <c r="I68" s="42" t="s">
        <v>377</v>
      </c>
      <c r="J68" s="48">
        <f>(0.125+0.536)/2</f>
        <v>0.33050000000000002</v>
      </c>
      <c r="K68" s="42">
        <v>95</v>
      </c>
      <c r="L68" s="44">
        <v>95</v>
      </c>
      <c r="M68" s="45">
        <v>1191</v>
      </c>
      <c r="N68" s="45">
        <v>79</v>
      </c>
      <c r="O68" s="52">
        <f t="shared" ref="O68:O118" si="16">W68*L68*9.80655*1000*1000000000*2500</f>
        <v>1.4013927695625001E+19</v>
      </c>
      <c r="P68" s="45">
        <v>40</v>
      </c>
      <c r="Q68" s="39" t="s">
        <v>11</v>
      </c>
      <c r="R68" s="39">
        <v>220</v>
      </c>
      <c r="S68" s="39">
        <v>2008</v>
      </c>
      <c r="T68" s="39">
        <v>-4009</v>
      </c>
      <c r="U68" s="39">
        <v>6017</v>
      </c>
      <c r="V68" s="39" t="s">
        <v>12</v>
      </c>
      <c r="W68" s="15">
        <f t="shared" si="9"/>
        <v>6.0170000000000003</v>
      </c>
      <c r="X68" s="2">
        <f t="shared" si="10"/>
        <v>15.075949367088608</v>
      </c>
      <c r="Y68" s="2">
        <f t="shared" si="11"/>
        <v>0.19083480211504567</v>
      </c>
      <c r="Z68" s="2">
        <f t="shared" si="12"/>
        <v>0.49292841023383233</v>
      </c>
      <c r="AA68" s="2">
        <f t="shared" si="13"/>
        <v>6728.5812541949736</v>
      </c>
      <c r="AB68" s="2">
        <f t="shared" si="14"/>
        <v>7.6164556962025315E-2</v>
      </c>
      <c r="AC68" s="2">
        <f t="shared" ref="AC68:AC131" si="17">DEGREES(ATAN(AB68))</f>
        <v>4.3554985115649396</v>
      </c>
      <c r="AD68" s="2">
        <v>76.456080876657694</v>
      </c>
      <c r="AE68" s="2">
        <f t="shared" si="15"/>
        <v>13.129466511550605</v>
      </c>
    </row>
    <row r="69" spans="1:31" x14ac:dyDescent="0.2">
      <c r="A69" s="39" t="s">
        <v>19</v>
      </c>
      <c r="B69" s="39" t="s">
        <v>236</v>
      </c>
      <c r="C69" s="5" t="s">
        <v>444</v>
      </c>
      <c r="D69" s="39" t="s">
        <v>431</v>
      </c>
      <c r="E69" s="39">
        <v>1.7</v>
      </c>
      <c r="F69" s="40">
        <v>1.7</v>
      </c>
      <c r="G69" s="41" t="s">
        <v>380</v>
      </c>
      <c r="H69" s="41" t="s">
        <v>418</v>
      </c>
      <c r="I69" s="46" t="s">
        <v>179</v>
      </c>
      <c r="J69" s="48">
        <v>0.9</v>
      </c>
      <c r="K69" s="46">
        <v>650</v>
      </c>
      <c r="L69" s="47">
        <v>650</v>
      </c>
      <c r="M69" s="45">
        <v>3435</v>
      </c>
      <c r="N69" s="45">
        <v>83</v>
      </c>
      <c r="O69" s="52">
        <f t="shared" si="16"/>
        <v>1.0206779821875E+20</v>
      </c>
      <c r="P69" s="45">
        <v>80</v>
      </c>
      <c r="Q69" s="39" t="s">
        <v>11</v>
      </c>
      <c r="R69" s="39">
        <v>270</v>
      </c>
      <c r="S69" s="39">
        <v>2407</v>
      </c>
      <c r="T69" s="39">
        <v>-3998</v>
      </c>
      <c r="U69" s="39">
        <v>6405</v>
      </c>
      <c r="V69" s="39" t="s">
        <v>12</v>
      </c>
      <c r="W69" s="15">
        <f t="shared" si="9"/>
        <v>6.4050000000000002</v>
      </c>
      <c r="X69" s="2">
        <f t="shared" si="10"/>
        <v>41.385542168674696</v>
      </c>
      <c r="Y69" s="2">
        <f t="shared" si="11"/>
        <v>0.49862098998403254</v>
      </c>
      <c r="Z69" s="2">
        <f t="shared" si="12"/>
        <v>0.79678351202126307</v>
      </c>
      <c r="AA69" s="2">
        <f t="shared" si="13"/>
        <v>14024.005538462969</v>
      </c>
      <c r="AB69" s="2">
        <f t="shared" si="14"/>
        <v>7.7168674698795181E-2</v>
      </c>
      <c r="AC69" s="2">
        <f t="shared" si="17"/>
        <v>4.4126940332025431</v>
      </c>
      <c r="AD69" s="2">
        <v>77.456080876657694</v>
      </c>
      <c r="AE69" s="2">
        <f t="shared" si="15"/>
        <v>12.958626073380172</v>
      </c>
    </row>
    <row r="70" spans="1:31" x14ac:dyDescent="0.2">
      <c r="A70" s="39" t="s">
        <v>21</v>
      </c>
      <c r="B70" s="39" t="s">
        <v>236</v>
      </c>
      <c r="C70" s="5" t="s">
        <v>444</v>
      </c>
      <c r="D70" s="39" t="s">
        <v>431</v>
      </c>
      <c r="E70" s="39">
        <v>1.7</v>
      </c>
      <c r="F70" s="40">
        <v>1.7</v>
      </c>
      <c r="G70" s="41" t="s">
        <v>152</v>
      </c>
      <c r="H70" s="41" t="s">
        <v>418</v>
      </c>
      <c r="I70" s="42" t="s">
        <v>378</v>
      </c>
      <c r="J70" s="42" t="s">
        <v>378</v>
      </c>
      <c r="K70" s="46"/>
      <c r="L70" s="47"/>
      <c r="M70" s="45">
        <v>1762</v>
      </c>
      <c r="N70" s="45">
        <v>67</v>
      </c>
      <c r="O70" s="52"/>
      <c r="P70" s="45">
        <v>36</v>
      </c>
      <c r="Q70" s="39" t="s">
        <v>11</v>
      </c>
      <c r="R70" s="39">
        <v>172</v>
      </c>
      <c r="S70" s="39">
        <v>1291</v>
      </c>
      <c r="T70" s="39">
        <v>-3655</v>
      </c>
      <c r="U70" s="39">
        <v>4946</v>
      </c>
      <c r="V70" s="39" t="s">
        <v>12</v>
      </c>
      <c r="W70" s="15">
        <f t="shared" si="9"/>
        <v>4.9459999999999997</v>
      </c>
      <c r="X70" s="2">
        <f t="shared" si="10"/>
        <v>26.298507462686569</v>
      </c>
      <c r="Y70" s="2">
        <f t="shared" si="11"/>
        <v>0.39251503675651594</v>
      </c>
      <c r="Z70" s="2">
        <f t="shared" si="12"/>
        <v>0.70694106463229389</v>
      </c>
      <c r="AA70" s="2">
        <f t="shared" si="13"/>
        <v>6398.4729560657897</v>
      </c>
      <c r="AB70" s="2">
        <f t="shared" si="14"/>
        <v>7.3820895522388061E-2</v>
      </c>
      <c r="AC70" s="2">
        <f t="shared" si="17"/>
        <v>4.2219676277576381</v>
      </c>
      <c r="AD70" s="2">
        <v>78.456080876657595</v>
      </c>
      <c r="AE70" s="2">
        <f t="shared" si="15"/>
        <v>13.546300040436718</v>
      </c>
    </row>
    <row r="71" spans="1:31" x14ac:dyDescent="0.2">
      <c r="A71" t="s">
        <v>291</v>
      </c>
      <c r="B71" s="16" t="s">
        <v>340</v>
      </c>
      <c r="C71" s="16" t="s">
        <v>453</v>
      </c>
      <c r="D71" s="39" t="s">
        <v>431</v>
      </c>
      <c r="G71" s="16" t="s">
        <v>342</v>
      </c>
      <c r="H71" s="5" t="s">
        <v>413</v>
      </c>
      <c r="I71" s="16"/>
      <c r="K71" s="16"/>
      <c r="M71" s="1">
        <v>994</v>
      </c>
      <c r="N71" s="1">
        <v>38</v>
      </c>
      <c r="O71" s="52"/>
      <c r="P71" s="1">
        <v>33</v>
      </c>
      <c r="Q71" t="s">
        <v>11</v>
      </c>
      <c r="R71">
        <v>155</v>
      </c>
      <c r="S71">
        <v>-1233</v>
      </c>
      <c r="T71">
        <v>-3401</v>
      </c>
      <c r="U71">
        <v>2168</v>
      </c>
      <c r="V71" t="s">
        <v>262</v>
      </c>
      <c r="W71" s="15">
        <f t="shared" si="9"/>
        <v>2.1680000000000001</v>
      </c>
      <c r="X71" s="2">
        <f t="shared" si="10"/>
        <v>26.157894736842106</v>
      </c>
      <c r="Y71" s="2">
        <f t="shared" si="11"/>
        <v>0.68836565096952906</v>
      </c>
      <c r="Z71" s="2">
        <f t="shared" si="12"/>
        <v>0.93619141837719455</v>
      </c>
      <c r="AA71" s="2">
        <f t="shared" si="13"/>
        <v>4330.8169724932959</v>
      </c>
      <c r="AB71" s="2">
        <f t="shared" si="14"/>
        <v>5.7052631578947376E-2</v>
      </c>
      <c r="AC71" s="2">
        <f t="shared" si="17"/>
        <v>3.2653351779057394</v>
      </c>
      <c r="AD71" s="2">
        <v>79.456080876657595</v>
      </c>
      <c r="AE71" s="2">
        <f t="shared" si="15"/>
        <v>17.527675276752767</v>
      </c>
    </row>
    <row r="72" spans="1:31" x14ac:dyDescent="0.2">
      <c r="A72" s="39" t="s">
        <v>25</v>
      </c>
      <c r="B72" s="39" t="s">
        <v>235</v>
      </c>
      <c r="C72" s="39" t="s">
        <v>444</v>
      </c>
      <c r="D72" s="39" t="s">
        <v>431</v>
      </c>
      <c r="E72" s="39">
        <v>12</v>
      </c>
      <c r="F72" s="40">
        <v>12</v>
      </c>
      <c r="G72" s="39" t="s">
        <v>135</v>
      </c>
      <c r="H72" s="41" t="s">
        <v>418</v>
      </c>
      <c r="I72" s="42" t="s">
        <v>136</v>
      </c>
      <c r="J72" s="43">
        <v>0.73299999999999998</v>
      </c>
      <c r="K72" s="42"/>
      <c r="L72" s="44"/>
      <c r="M72" s="45">
        <v>1125</v>
      </c>
      <c r="N72" s="45">
        <v>49</v>
      </c>
      <c r="O72" s="52"/>
      <c r="P72" s="45">
        <v>33</v>
      </c>
      <c r="Q72" s="39" t="s">
        <v>11</v>
      </c>
      <c r="R72" s="39">
        <v>134</v>
      </c>
      <c r="S72" s="39">
        <v>2694</v>
      </c>
      <c r="T72" s="39">
        <v>-2625</v>
      </c>
      <c r="U72" s="39">
        <v>5319</v>
      </c>
      <c r="V72" s="39" t="s">
        <v>12</v>
      </c>
      <c r="W72" s="15">
        <f t="shared" si="9"/>
        <v>5.319</v>
      </c>
      <c r="X72" s="2">
        <f t="shared" si="10"/>
        <v>22.959183673469386</v>
      </c>
      <c r="Y72" s="2">
        <f t="shared" si="11"/>
        <v>0.46855476884631403</v>
      </c>
      <c r="Z72" s="2">
        <f t="shared" si="12"/>
        <v>0.77238750841144899</v>
      </c>
      <c r="AA72" s="2">
        <f t="shared" si="13"/>
        <v>3983.143925478968</v>
      </c>
      <c r="AB72" s="2">
        <f t="shared" si="14"/>
        <v>0.10855102040816327</v>
      </c>
      <c r="AC72" s="2">
        <f t="shared" si="17"/>
        <v>6.1952577478091673</v>
      </c>
      <c r="AD72" s="2">
        <v>80.456080876657495</v>
      </c>
      <c r="AE72" s="2">
        <f t="shared" si="15"/>
        <v>9.2122579432224097</v>
      </c>
    </row>
    <row r="73" spans="1:31" x14ac:dyDescent="0.2">
      <c r="A73" s="39" t="s">
        <v>310</v>
      </c>
      <c r="B73" s="39" t="s">
        <v>235</v>
      </c>
      <c r="C73" s="39" t="s">
        <v>444</v>
      </c>
      <c r="D73" s="39" t="s">
        <v>431</v>
      </c>
      <c r="E73" s="39">
        <v>12</v>
      </c>
      <c r="F73" s="40">
        <v>12</v>
      </c>
      <c r="G73" s="39" t="s">
        <v>384</v>
      </c>
      <c r="H73" s="41" t="s">
        <v>418</v>
      </c>
      <c r="I73" s="39" t="s">
        <v>359</v>
      </c>
      <c r="J73" s="39">
        <v>4.4000000000000004</v>
      </c>
      <c r="K73" s="39"/>
      <c r="L73" s="39"/>
      <c r="M73" s="45">
        <v>385</v>
      </c>
      <c r="N73" s="45">
        <v>41</v>
      </c>
      <c r="O73" s="52"/>
      <c r="P73" s="45">
        <v>19</v>
      </c>
      <c r="Q73" s="39" t="s">
        <v>11</v>
      </c>
      <c r="R73" s="39">
        <v>102</v>
      </c>
      <c r="S73" s="39">
        <v>838</v>
      </c>
      <c r="T73" s="39">
        <v>-3467</v>
      </c>
      <c r="U73" s="39">
        <v>4305</v>
      </c>
      <c r="V73" s="39" t="s">
        <v>262</v>
      </c>
      <c r="W73" s="15">
        <f t="shared" si="9"/>
        <v>4.3049999999999997</v>
      </c>
      <c r="X73" s="2">
        <f t="shared" si="10"/>
        <v>9.3902439024390247</v>
      </c>
      <c r="Y73" s="2">
        <f t="shared" si="11"/>
        <v>0.22903033908387865</v>
      </c>
      <c r="Z73" s="2">
        <f t="shared" si="12"/>
        <v>0.54000970910450874</v>
      </c>
      <c r="AA73" s="2">
        <f t="shared" si="13"/>
        <v>1773.6808466593982</v>
      </c>
      <c r="AB73" s="2">
        <f t="shared" si="14"/>
        <v>0.105</v>
      </c>
      <c r="AC73" s="2">
        <f t="shared" si="17"/>
        <v>5.9940929491084702</v>
      </c>
      <c r="AD73" s="2">
        <v>81.456080876657495</v>
      </c>
      <c r="AE73" s="2">
        <f t="shared" si="15"/>
        <v>9.5238095238095237</v>
      </c>
    </row>
    <row r="74" spans="1:31" x14ac:dyDescent="0.2">
      <c r="A74" t="s">
        <v>26</v>
      </c>
      <c r="B74" s="4" t="s">
        <v>235</v>
      </c>
      <c r="C74" s="16" t="s">
        <v>444</v>
      </c>
      <c r="D74" s="39" t="s">
        <v>431</v>
      </c>
      <c r="E74" s="16">
        <v>12</v>
      </c>
      <c r="F74" s="15">
        <v>12</v>
      </c>
      <c r="G74" s="16" t="s">
        <v>152</v>
      </c>
      <c r="H74" s="41" t="s">
        <v>418</v>
      </c>
      <c r="I74" s="18" t="s">
        <v>153</v>
      </c>
      <c r="J74" s="24">
        <f>(0.78+0.84)/2</f>
        <v>0.81</v>
      </c>
      <c r="K74" s="18">
        <v>500</v>
      </c>
      <c r="L74" s="20">
        <v>500</v>
      </c>
      <c r="M74" s="1">
        <v>2779</v>
      </c>
      <c r="N74" s="1">
        <v>90</v>
      </c>
      <c r="O74" s="52">
        <f t="shared" si="16"/>
        <v>6.9307792124999991E+19</v>
      </c>
      <c r="P74" s="1">
        <v>42</v>
      </c>
      <c r="Q74" t="s">
        <v>11</v>
      </c>
      <c r="R74">
        <v>247</v>
      </c>
      <c r="S74">
        <v>2083</v>
      </c>
      <c r="T74">
        <v>-3571</v>
      </c>
      <c r="U74">
        <v>5654</v>
      </c>
      <c r="V74" t="s">
        <v>12</v>
      </c>
      <c r="W74" s="15">
        <f t="shared" si="9"/>
        <v>5.6539999999999999</v>
      </c>
      <c r="X74" s="2">
        <f t="shared" si="10"/>
        <v>30.877777777777776</v>
      </c>
      <c r="Y74" s="2">
        <f t="shared" si="11"/>
        <v>0.3430864197530864</v>
      </c>
      <c r="Z74" s="2">
        <f t="shared" si="12"/>
        <v>0.66093206820433981</v>
      </c>
      <c r="AA74" s="2">
        <f t="shared" si="13"/>
        <v>11539.478076517142</v>
      </c>
      <c r="AB74" s="2">
        <f t="shared" si="14"/>
        <v>6.2822222222222224E-2</v>
      </c>
      <c r="AC74" s="2">
        <f t="shared" si="17"/>
        <v>3.5947241423837126</v>
      </c>
      <c r="AD74" s="2">
        <v>82.456080876657396</v>
      </c>
      <c r="AE74" s="2">
        <f t="shared" si="15"/>
        <v>15.91793420587195</v>
      </c>
    </row>
    <row r="75" spans="1:31" x14ac:dyDescent="0.2">
      <c r="A75" s="39" t="s">
        <v>23</v>
      </c>
      <c r="B75" s="39" t="s">
        <v>235</v>
      </c>
      <c r="C75" s="39" t="s">
        <v>444</v>
      </c>
      <c r="D75" s="39" t="s">
        <v>431</v>
      </c>
      <c r="E75" s="39">
        <v>12</v>
      </c>
      <c r="F75" s="40">
        <v>12</v>
      </c>
      <c r="G75" s="39" t="s">
        <v>381</v>
      </c>
      <c r="H75" s="41" t="s">
        <v>418</v>
      </c>
      <c r="I75" s="42" t="s">
        <v>155</v>
      </c>
      <c r="J75" s="43">
        <v>0.16</v>
      </c>
      <c r="K75" s="42" t="s">
        <v>451</v>
      </c>
      <c r="L75" s="44">
        <v>335</v>
      </c>
      <c r="M75" s="45">
        <v>2002</v>
      </c>
      <c r="N75" s="45">
        <v>122</v>
      </c>
      <c r="O75" s="52">
        <f t="shared" si="16"/>
        <v>5.3335128648749998E+19</v>
      </c>
      <c r="P75" s="45">
        <v>24</v>
      </c>
      <c r="Q75" s="39" t="s">
        <v>11</v>
      </c>
      <c r="R75" s="39">
        <v>277</v>
      </c>
      <c r="S75" s="39">
        <v>2603</v>
      </c>
      <c r="T75" s="39">
        <v>-3891</v>
      </c>
      <c r="U75" s="39">
        <v>6494</v>
      </c>
      <c r="V75" s="39" t="s">
        <v>12</v>
      </c>
      <c r="W75" s="15">
        <f t="shared" si="9"/>
        <v>6.4939999999999998</v>
      </c>
      <c r="X75" s="2">
        <f t="shared" si="10"/>
        <v>16.409836065573771</v>
      </c>
      <c r="Y75" s="2">
        <f t="shared" si="11"/>
        <v>0.1345068529965063</v>
      </c>
      <c r="Z75" s="2">
        <f t="shared" si="12"/>
        <v>0.41383504565691315</v>
      </c>
      <c r="AA75" s="2">
        <f t="shared" si="13"/>
        <v>10983.904427302583</v>
      </c>
      <c r="AB75" s="2">
        <f t="shared" si="14"/>
        <v>5.3229508196721308E-2</v>
      </c>
      <c r="AC75" s="2">
        <f t="shared" si="17"/>
        <v>3.0469506127971577</v>
      </c>
      <c r="AD75" s="2">
        <v>83.456080876657396</v>
      </c>
      <c r="AE75" s="2">
        <f t="shared" si="15"/>
        <v>18.786572220511243</v>
      </c>
    </row>
    <row r="76" spans="1:31" x14ac:dyDescent="0.2">
      <c r="A76" s="39" t="s">
        <v>24</v>
      </c>
      <c r="B76" s="39" t="s">
        <v>235</v>
      </c>
      <c r="C76" s="39" t="s">
        <v>444</v>
      </c>
      <c r="D76" s="39" t="s">
        <v>431</v>
      </c>
      <c r="E76" s="39">
        <v>12</v>
      </c>
      <c r="F76" s="40">
        <v>12</v>
      </c>
      <c r="G76" s="41" t="s">
        <v>382</v>
      </c>
      <c r="H76" s="41" t="s">
        <v>418</v>
      </c>
      <c r="I76" s="46" t="s">
        <v>174</v>
      </c>
      <c r="J76" s="48">
        <f>(0.518+0.541)/2</f>
        <v>0.52950000000000008</v>
      </c>
      <c r="K76" s="46">
        <v>1000</v>
      </c>
      <c r="L76" s="47">
        <v>1000</v>
      </c>
      <c r="M76" s="45">
        <v>2717</v>
      </c>
      <c r="N76" s="45">
        <v>97</v>
      </c>
      <c r="O76" s="52">
        <f t="shared" si="16"/>
        <v>1.4381305575000002E+20</v>
      </c>
      <c r="P76" s="45">
        <v>53</v>
      </c>
      <c r="Q76" s="39" t="s">
        <v>11</v>
      </c>
      <c r="R76" s="39">
        <v>255</v>
      </c>
      <c r="S76" s="39">
        <v>2162</v>
      </c>
      <c r="T76" s="39">
        <v>-3704</v>
      </c>
      <c r="U76" s="39">
        <v>5866</v>
      </c>
      <c r="V76" s="39" t="s">
        <v>12</v>
      </c>
      <c r="W76" s="15">
        <f t="shared" si="9"/>
        <v>5.8659999999999997</v>
      </c>
      <c r="X76" s="2">
        <f t="shared" si="10"/>
        <v>28.010309278350515</v>
      </c>
      <c r="Y76" s="2">
        <f t="shared" si="11"/>
        <v>0.28876607503454138</v>
      </c>
      <c r="Z76" s="2">
        <f t="shared" si="12"/>
        <v>0.60635665041490772</v>
      </c>
      <c r="AA76" s="2">
        <f t="shared" si="13"/>
        <v>11779.583618142789</v>
      </c>
      <c r="AB76" s="2">
        <f t="shared" si="14"/>
        <v>6.0474226804123711E-2</v>
      </c>
      <c r="AC76" s="2">
        <f t="shared" si="17"/>
        <v>3.4607033218593832</v>
      </c>
      <c r="AD76" s="2">
        <v>84.456080876657396</v>
      </c>
      <c r="AE76" s="2">
        <f t="shared" si="15"/>
        <v>16.535969996590524</v>
      </c>
    </row>
    <row r="77" spans="1:31" x14ac:dyDescent="0.2">
      <c r="A77" s="16" t="s">
        <v>22</v>
      </c>
      <c r="B77" s="16" t="s">
        <v>235</v>
      </c>
      <c r="C77" s="39" t="s">
        <v>444</v>
      </c>
      <c r="D77" s="39" t="s">
        <v>431</v>
      </c>
      <c r="E77" s="16">
        <v>12</v>
      </c>
      <c r="F77" s="15">
        <v>12</v>
      </c>
      <c r="G77" s="5" t="s">
        <v>152</v>
      </c>
      <c r="H77" s="41" t="s">
        <v>418</v>
      </c>
      <c r="I77" s="7" t="s">
        <v>360</v>
      </c>
      <c r="J77" s="26">
        <v>1.3</v>
      </c>
      <c r="K77" s="7">
        <v>120</v>
      </c>
      <c r="L77" s="21">
        <v>120</v>
      </c>
      <c r="M77" s="1">
        <v>4487</v>
      </c>
      <c r="N77" s="1">
        <v>150</v>
      </c>
      <c r="O77" s="52">
        <f t="shared" si="16"/>
        <v>1.9237509134999998E+19</v>
      </c>
      <c r="P77" s="1">
        <v>56</v>
      </c>
      <c r="Q77" s="16" t="s">
        <v>11</v>
      </c>
      <c r="R77" s="16">
        <v>342</v>
      </c>
      <c r="S77" s="16">
        <v>2603</v>
      </c>
      <c r="T77" s="16">
        <v>-3936</v>
      </c>
      <c r="U77" s="16">
        <v>6539</v>
      </c>
      <c r="V77" s="16" t="s">
        <v>12</v>
      </c>
      <c r="W77" s="15">
        <f t="shared" si="9"/>
        <v>6.5389999999999997</v>
      </c>
      <c r="X77" s="2">
        <f t="shared" si="10"/>
        <v>29.913333333333334</v>
      </c>
      <c r="Y77" s="2">
        <f t="shared" si="11"/>
        <v>0.19942222222222222</v>
      </c>
      <c r="Z77" s="2">
        <f t="shared" si="12"/>
        <v>0.50389707334996647</v>
      </c>
      <c r="AA77" s="2">
        <f t="shared" si="13"/>
        <v>20302.479496432417</v>
      </c>
      <c r="AB77" s="2">
        <f t="shared" si="14"/>
        <v>4.3593333333333331E-2</v>
      </c>
      <c r="AC77" s="2">
        <f t="shared" si="17"/>
        <v>2.4961336156834082</v>
      </c>
      <c r="AD77" s="2">
        <v>85.456080876657296</v>
      </c>
      <c r="AE77" s="2">
        <f t="shared" si="15"/>
        <v>22.93928735280624</v>
      </c>
    </row>
    <row r="78" spans="1:31" x14ac:dyDescent="0.2">
      <c r="A78" s="39" t="s">
        <v>319</v>
      </c>
      <c r="B78" s="39" t="s">
        <v>235</v>
      </c>
      <c r="C78" s="39" t="s">
        <v>444</v>
      </c>
      <c r="D78" s="39" t="s">
        <v>431</v>
      </c>
      <c r="E78" s="39">
        <v>12</v>
      </c>
      <c r="F78" s="40">
        <v>12</v>
      </c>
      <c r="G78" s="39" t="s">
        <v>384</v>
      </c>
      <c r="H78" s="41" t="s">
        <v>418</v>
      </c>
      <c r="I78" s="39" t="s">
        <v>358</v>
      </c>
      <c r="J78" s="39">
        <v>6.15</v>
      </c>
      <c r="K78" s="39"/>
      <c r="L78" s="39"/>
      <c r="M78" s="45">
        <v>406</v>
      </c>
      <c r="N78" s="45">
        <v>47</v>
      </c>
      <c r="O78" s="52"/>
      <c r="P78" s="45">
        <v>18</v>
      </c>
      <c r="Q78" s="39" t="s">
        <v>11</v>
      </c>
      <c r="R78" s="39">
        <v>119</v>
      </c>
      <c r="S78" s="39">
        <v>1311</v>
      </c>
      <c r="T78" s="39">
        <v>-3298</v>
      </c>
      <c r="U78" s="39">
        <v>4609</v>
      </c>
      <c r="V78" s="39" t="s">
        <v>262</v>
      </c>
      <c r="W78" s="15">
        <f t="shared" si="9"/>
        <v>4.609</v>
      </c>
      <c r="X78" s="2">
        <f t="shared" si="10"/>
        <v>8.6382978723404253</v>
      </c>
      <c r="Y78" s="2">
        <f t="shared" si="11"/>
        <v>0.18379357175192396</v>
      </c>
      <c r="Z78" s="2">
        <f t="shared" si="12"/>
        <v>0.48374915466071416</v>
      </c>
      <c r="AA78" s="2">
        <f t="shared" si="13"/>
        <v>2124.9803475718454</v>
      </c>
      <c r="AB78" s="2">
        <f t="shared" si="14"/>
        <v>9.8063829787234047E-2</v>
      </c>
      <c r="AC78" s="2">
        <f t="shared" si="17"/>
        <v>5.6007361911206308</v>
      </c>
      <c r="AD78" s="2">
        <v>86.456080876657296</v>
      </c>
      <c r="AE78" s="2">
        <f t="shared" si="15"/>
        <v>10.197439791711869</v>
      </c>
    </row>
    <row r="79" spans="1:31" x14ac:dyDescent="0.2">
      <c r="A79" t="s">
        <v>58</v>
      </c>
      <c r="B79" s="4" t="s">
        <v>220</v>
      </c>
      <c r="C79" s="39" t="s">
        <v>444</v>
      </c>
      <c r="D79" s="39" t="s">
        <v>436</v>
      </c>
      <c r="E79" s="54" t="s">
        <v>457</v>
      </c>
      <c r="F79" s="15">
        <v>3</v>
      </c>
      <c r="G79" s="16" t="s">
        <v>186</v>
      </c>
      <c r="H79" s="38" t="s">
        <v>427</v>
      </c>
      <c r="I79" s="18" t="s">
        <v>149</v>
      </c>
      <c r="J79" s="24">
        <v>0.08</v>
      </c>
      <c r="K79" s="18" t="s">
        <v>150</v>
      </c>
      <c r="L79" s="20">
        <v>145</v>
      </c>
      <c r="M79" s="1">
        <v>1049</v>
      </c>
      <c r="N79" s="1">
        <v>52</v>
      </c>
      <c r="O79" s="52">
        <f t="shared" si="16"/>
        <v>2.0429863033124999E+19</v>
      </c>
      <c r="P79" s="1">
        <v>28</v>
      </c>
      <c r="Q79" t="s">
        <v>35</v>
      </c>
      <c r="R79">
        <v>161</v>
      </c>
      <c r="S79">
        <v>2208</v>
      </c>
      <c r="T79">
        <v>-3539</v>
      </c>
      <c r="U79">
        <v>5747</v>
      </c>
      <c r="V79" t="s">
        <v>12</v>
      </c>
      <c r="W79" s="15">
        <f t="shared" si="9"/>
        <v>5.7469999999999999</v>
      </c>
      <c r="X79" s="2">
        <f t="shared" si="10"/>
        <v>20.173076923076923</v>
      </c>
      <c r="Y79" s="2">
        <f t="shared" si="11"/>
        <v>0.38794378698224852</v>
      </c>
      <c r="Z79" s="2">
        <f t="shared" si="12"/>
        <v>0.70281247346415598</v>
      </c>
      <c r="AA79" s="2">
        <f t="shared" si="13"/>
        <v>4621.2403838063474</v>
      </c>
      <c r="AB79" s="2">
        <f t="shared" si="14"/>
        <v>0.11051923076923077</v>
      </c>
      <c r="AC79" s="2">
        <f t="shared" si="17"/>
        <v>6.3066908918327282</v>
      </c>
      <c r="AD79" s="2">
        <v>87.456080876657197</v>
      </c>
      <c r="AE79" s="2">
        <f t="shared" si="15"/>
        <v>9.0481990603793285</v>
      </c>
    </row>
    <row r="80" spans="1:31" x14ac:dyDescent="0.2">
      <c r="A80" t="s">
        <v>330</v>
      </c>
      <c r="B80" s="4" t="s">
        <v>220</v>
      </c>
      <c r="C80" s="39" t="s">
        <v>444</v>
      </c>
      <c r="D80" s="39" t="s">
        <v>436</v>
      </c>
      <c r="E80" s="54" t="s">
        <v>457</v>
      </c>
      <c r="F80" s="15">
        <v>3</v>
      </c>
      <c r="G80" s="16" t="s">
        <v>389</v>
      </c>
      <c r="H80" s="38" t="s">
        <v>427</v>
      </c>
      <c r="I80" s="16"/>
      <c r="K80" s="16"/>
      <c r="M80" s="1">
        <v>2298</v>
      </c>
      <c r="N80" s="1">
        <v>85</v>
      </c>
      <c r="O80" s="52"/>
      <c r="P80" s="1">
        <v>48</v>
      </c>
      <c r="Q80" t="s">
        <v>35</v>
      </c>
      <c r="R80">
        <v>263</v>
      </c>
      <c r="S80">
        <v>2208</v>
      </c>
      <c r="T80">
        <v>-4077</v>
      </c>
      <c r="U80">
        <v>6285</v>
      </c>
      <c r="V80" t="s">
        <v>262</v>
      </c>
      <c r="W80" s="15">
        <f t="shared" si="9"/>
        <v>6.2850000000000001</v>
      </c>
      <c r="X80" s="2">
        <f t="shared" si="10"/>
        <v>27.035294117647059</v>
      </c>
      <c r="Y80" s="2">
        <f t="shared" si="11"/>
        <v>0.31806228373702422</v>
      </c>
      <c r="Z80" s="2">
        <f t="shared" si="12"/>
        <v>0.63637212312809388</v>
      </c>
      <c r="AA80" s="2">
        <f t="shared" si="13"/>
        <v>11173.151831338098</v>
      </c>
      <c r="AB80" s="2">
        <f t="shared" si="14"/>
        <v>7.3941176470588232E-2</v>
      </c>
      <c r="AC80" s="2">
        <f t="shared" si="17"/>
        <v>4.2288218055419691</v>
      </c>
      <c r="AD80" s="2">
        <v>88.456080876657197</v>
      </c>
      <c r="AE80" s="2">
        <f t="shared" si="15"/>
        <v>13.524264120922831</v>
      </c>
    </row>
    <row r="81" spans="1:31" x14ac:dyDescent="0.2">
      <c r="A81" t="s">
        <v>303</v>
      </c>
      <c r="B81" s="4" t="s">
        <v>303</v>
      </c>
      <c r="C81" s="16" t="s">
        <v>446</v>
      </c>
      <c r="D81" s="39" t="s">
        <v>436</v>
      </c>
      <c r="E81" s="16"/>
      <c r="G81" s="16" t="s">
        <v>389</v>
      </c>
      <c r="H81" s="16" t="s">
        <v>421</v>
      </c>
      <c r="I81" s="16"/>
      <c r="K81" s="16"/>
      <c r="M81" s="1">
        <v>493</v>
      </c>
      <c r="N81" s="1">
        <v>28</v>
      </c>
      <c r="O81" s="52"/>
      <c r="P81" s="1">
        <v>21</v>
      </c>
      <c r="Q81" t="s">
        <v>35</v>
      </c>
      <c r="R81">
        <v>90</v>
      </c>
      <c r="S81">
        <v>-58</v>
      </c>
      <c r="T81">
        <v>-3535</v>
      </c>
      <c r="U81">
        <v>3477</v>
      </c>
      <c r="V81" t="s">
        <v>262</v>
      </c>
      <c r="W81" s="15">
        <f t="shared" si="9"/>
        <v>3.4769999999999999</v>
      </c>
      <c r="X81" s="2">
        <f t="shared" si="10"/>
        <v>17.607142857142858</v>
      </c>
      <c r="Y81" s="2">
        <f t="shared" si="11"/>
        <v>0.62882653061224492</v>
      </c>
      <c r="Z81" s="2">
        <f t="shared" si="12"/>
        <v>0.89478869517754689</v>
      </c>
      <c r="AA81" s="2">
        <f t="shared" si="13"/>
        <v>1770.9687948487406</v>
      </c>
      <c r="AB81" s="2">
        <f t="shared" si="14"/>
        <v>0.12417857142857143</v>
      </c>
      <c r="AC81" s="2">
        <f t="shared" si="17"/>
        <v>7.0786713508088415</v>
      </c>
      <c r="AD81" s="2">
        <v>89.456080876657097</v>
      </c>
      <c r="AE81" s="2">
        <f t="shared" si="15"/>
        <v>8.0529191832039118</v>
      </c>
    </row>
    <row r="82" spans="1:31" x14ac:dyDescent="0.2">
      <c r="A82" t="s">
        <v>37</v>
      </c>
      <c r="B82" s="4" t="s">
        <v>336</v>
      </c>
      <c r="C82" s="39" t="s">
        <v>444</v>
      </c>
      <c r="D82" s="39" t="s">
        <v>436</v>
      </c>
      <c r="E82" s="16">
        <v>7.5</v>
      </c>
      <c r="F82" s="15">
        <v>7.5</v>
      </c>
      <c r="G82" s="16" t="s">
        <v>186</v>
      </c>
      <c r="H82" s="16" t="s">
        <v>421</v>
      </c>
      <c r="I82" s="18" t="s">
        <v>196</v>
      </c>
      <c r="J82" s="24">
        <v>0.3</v>
      </c>
      <c r="K82" s="18">
        <v>50</v>
      </c>
      <c r="L82" s="20">
        <v>50</v>
      </c>
      <c r="M82" s="1">
        <v>1639</v>
      </c>
      <c r="N82" s="1">
        <v>53</v>
      </c>
      <c r="O82" s="52">
        <f t="shared" si="16"/>
        <v>6.4269677062500014E+18</v>
      </c>
      <c r="P82" s="1">
        <v>56</v>
      </c>
      <c r="Q82" t="s">
        <v>35</v>
      </c>
      <c r="R82">
        <v>179</v>
      </c>
      <c r="S82">
        <v>1747</v>
      </c>
      <c r="T82">
        <v>-3496</v>
      </c>
      <c r="U82">
        <v>5243</v>
      </c>
      <c r="V82" t="s">
        <v>12</v>
      </c>
      <c r="W82" s="15">
        <f t="shared" si="9"/>
        <v>5.2430000000000003</v>
      </c>
      <c r="X82" s="2">
        <f t="shared" si="10"/>
        <v>30.924528301886792</v>
      </c>
      <c r="Y82" s="2">
        <f t="shared" si="11"/>
        <v>0.58348166607333574</v>
      </c>
      <c r="Z82" s="2">
        <f t="shared" si="12"/>
        <v>0.86192339223749515</v>
      </c>
      <c r="AA82" s="2">
        <f t="shared" si="13"/>
        <v>6422.2535504785101</v>
      </c>
      <c r="AB82" s="2">
        <f t="shared" si="14"/>
        <v>9.8924528301886805E-2</v>
      </c>
      <c r="AC82" s="2">
        <f t="shared" si="17"/>
        <v>5.6495767730137345</v>
      </c>
      <c r="AD82" s="2">
        <v>90.456080876657097</v>
      </c>
      <c r="AE82" s="2">
        <f t="shared" si="15"/>
        <v>10.10871638374976</v>
      </c>
    </row>
    <row r="83" spans="1:31" x14ac:dyDescent="0.2">
      <c r="A83" t="s">
        <v>38</v>
      </c>
      <c r="B83" s="4" t="s">
        <v>336</v>
      </c>
      <c r="C83" s="39" t="s">
        <v>444</v>
      </c>
      <c r="D83" s="39" t="s">
        <v>436</v>
      </c>
      <c r="E83" s="16">
        <v>7.5</v>
      </c>
      <c r="F83" s="15">
        <v>7.5</v>
      </c>
      <c r="G83" s="16" t="s">
        <v>186</v>
      </c>
      <c r="H83" s="16" t="s">
        <v>421</v>
      </c>
      <c r="I83" s="18" t="s">
        <v>197</v>
      </c>
      <c r="J83" s="24">
        <v>0.5</v>
      </c>
      <c r="K83" s="18">
        <v>150</v>
      </c>
      <c r="L83" s="20">
        <v>150</v>
      </c>
      <c r="M83" s="1">
        <v>631</v>
      </c>
      <c r="N83" s="1">
        <v>30</v>
      </c>
      <c r="O83" s="52">
        <f t="shared" si="16"/>
        <v>1.825121536875E+19</v>
      </c>
      <c r="P83" s="1">
        <v>45</v>
      </c>
      <c r="Q83" t="s">
        <v>35</v>
      </c>
      <c r="R83">
        <v>122</v>
      </c>
      <c r="S83">
        <v>1959</v>
      </c>
      <c r="T83">
        <v>-3004</v>
      </c>
      <c r="U83">
        <v>4963</v>
      </c>
      <c r="V83" t="s">
        <v>12</v>
      </c>
      <c r="W83" s="15">
        <f t="shared" si="9"/>
        <v>4.9630000000000001</v>
      </c>
      <c r="X83" s="2">
        <f t="shared" si="10"/>
        <v>21.033333333333335</v>
      </c>
      <c r="Y83" s="2">
        <f t="shared" si="11"/>
        <v>0.70111111111111113</v>
      </c>
      <c r="Z83" s="2">
        <f t="shared" si="12"/>
        <v>0.94481871053732314</v>
      </c>
      <c r="AA83" s="2">
        <f t="shared" si="13"/>
        <v>2715.9354890498853</v>
      </c>
      <c r="AB83" s="2">
        <f t="shared" si="14"/>
        <v>0.16543333333333335</v>
      </c>
      <c r="AC83" s="2">
        <f t="shared" si="17"/>
        <v>9.3935535518942395</v>
      </c>
      <c r="AD83" s="2">
        <v>91.456080876656998</v>
      </c>
      <c r="AE83" s="2">
        <f t="shared" si="15"/>
        <v>6.0447310094700786</v>
      </c>
    </row>
    <row r="84" spans="1:31" s="5" customFormat="1" x14ac:dyDescent="0.2">
      <c r="A84" s="5" t="s">
        <v>306</v>
      </c>
      <c r="B84" s="5" t="s">
        <v>336</v>
      </c>
      <c r="C84" s="39" t="s">
        <v>444</v>
      </c>
      <c r="D84" s="41" t="s">
        <v>436</v>
      </c>
      <c r="G84" s="5" t="s">
        <v>186</v>
      </c>
      <c r="H84" s="5" t="s">
        <v>421</v>
      </c>
      <c r="M84" s="51">
        <v>328</v>
      </c>
      <c r="N84" s="51">
        <v>28</v>
      </c>
      <c r="O84" s="52"/>
      <c r="P84" s="51">
        <v>22</v>
      </c>
      <c r="Q84" s="5" t="s">
        <v>35</v>
      </c>
      <c r="R84" s="5">
        <v>89</v>
      </c>
      <c r="S84" s="5">
        <v>-14</v>
      </c>
      <c r="T84" s="5">
        <v>-3172</v>
      </c>
      <c r="U84" s="5">
        <v>3158</v>
      </c>
      <c r="V84" s="5" t="s">
        <v>262</v>
      </c>
      <c r="W84" s="15">
        <f t="shared" si="9"/>
        <v>3.1579999999999999</v>
      </c>
      <c r="X84" s="2">
        <f t="shared" si="10"/>
        <v>11.714285714285714</v>
      </c>
      <c r="Y84" s="2">
        <f t="shared" si="11"/>
        <v>0.41836734693877553</v>
      </c>
      <c r="Z84" s="2">
        <f t="shared" si="12"/>
        <v>0.72985056871433707</v>
      </c>
      <c r="AA84" s="2">
        <f t="shared" si="13"/>
        <v>1428.472448008039</v>
      </c>
      <c r="AB84" s="2">
        <f t="shared" si="14"/>
        <v>0.11278571428571428</v>
      </c>
      <c r="AC84" s="2">
        <f t="shared" si="17"/>
        <v>6.4349518432183883</v>
      </c>
      <c r="AD84" s="2">
        <v>92.456080876656998</v>
      </c>
      <c r="AE84" s="2">
        <f t="shared" si="15"/>
        <v>8.8663711209626346</v>
      </c>
    </row>
    <row r="85" spans="1:31" x14ac:dyDescent="0.2">
      <c r="A85" t="s">
        <v>307</v>
      </c>
      <c r="B85" s="4" t="s">
        <v>336</v>
      </c>
      <c r="C85" s="39" t="s">
        <v>444</v>
      </c>
      <c r="D85" s="39" t="s">
        <v>436</v>
      </c>
      <c r="E85" s="16"/>
      <c r="G85" s="16" t="s">
        <v>186</v>
      </c>
      <c r="H85" s="16" t="s">
        <v>421</v>
      </c>
      <c r="I85" s="16"/>
      <c r="K85" s="16"/>
      <c r="M85" s="1">
        <v>591</v>
      </c>
      <c r="N85" s="1">
        <v>36</v>
      </c>
      <c r="O85" s="52"/>
      <c r="P85" s="1">
        <v>35</v>
      </c>
      <c r="Q85" t="s">
        <v>35</v>
      </c>
      <c r="R85">
        <v>121</v>
      </c>
      <c r="S85">
        <v>906</v>
      </c>
      <c r="T85">
        <v>-3193</v>
      </c>
      <c r="U85">
        <v>4099</v>
      </c>
      <c r="V85" t="s">
        <v>262</v>
      </c>
      <c r="W85" s="15">
        <f t="shared" si="9"/>
        <v>4.0990000000000002</v>
      </c>
      <c r="X85" s="2">
        <f t="shared" si="10"/>
        <v>16.416666666666668</v>
      </c>
      <c r="Y85" s="2">
        <f t="shared" si="11"/>
        <v>0.45601851851851855</v>
      </c>
      <c r="Z85" s="2">
        <f t="shared" si="12"/>
        <v>0.76198478555739646</v>
      </c>
      <c r="AA85" s="2">
        <f t="shared" si="13"/>
        <v>2606.8980697739144</v>
      </c>
      <c r="AB85" s="2">
        <f t="shared" si="14"/>
        <v>0.11386111111111112</v>
      </c>
      <c r="AC85" s="2">
        <f t="shared" si="17"/>
        <v>6.4957862891795219</v>
      </c>
      <c r="AD85" s="2">
        <v>93.456080876656998</v>
      </c>
      <c r="AE85" s="2">
        <f t="shared" si="15"/>
        <v>8.7826299097340819</v>
      </c>
    </row>
    <row r="86" spans="1:31" s="5" customFormat="1" x14ac:dyDescent="0.2">
      <c r="A86" s="5" t="s">
        <v>302</v>
      </c>
      <c r="B86" s="5" t="s">
        <v>335</v>
      </c>
      <c r="C86" s="5" t="s">
        <v>453</v>
      </c>
      <c r="D86" s="41" t="s">
        <v>436</v>
      </c>
      <c r="G86" s="5" t="s">
        <v>186</v>
      </c>
      <c r="H86" s="5" t="s">
        <v>421</v>
      </c>
      <c r="M86" s="51">
        <v>246</v>
      </c>
      <c r="N86" s="51">
        <v>26</v>
      </c>
      <c r="O86" s="52"/>
      <c r="P86" s="51">
        <v>11</v>
      </c>
      <c r="Q86" s="5" t="s">
        <v>35</v>
      </c>
      <c r="R86" s="5">
        <v>70</v>
      </c>
      <c r="S86" s="5">
        <v>-365</v>
      </c>
      <c r="T86" s="5">
        <v>-3234</v>
      </c>
      <c r="U86" s="5">
        <v>2869</v>
      </c>
      <c r="V86" s="5" t="s">
        <v>262</v>
      </c>
      <c r="W86" s="15">
        <f t="shared" si="9"/>
        <v>2.8690000000000002</v>
      </c>
      <c r="X86" s="2">
        <f t="shared" si="10"/>
        <v>9.4615384615384617</v>
      </c>
      <c r="Y86" s="2">
        <f t="shared" si="11"/>
        <v>0.36390532544378701</v>
      </c>
      <c r="Z86" s="2">
        <f t="shared" si="12"/>
        <v>0.68068983604799249</v>
      </c>
      <c r="AA86" s="2">
        <f t="shared" si="13"/>
        <v>972.99483146828686</v>
      </c>
      <c r="AB86" s="2">
        <f t="shared" si="14"/>
        <v>0.11034615384615386</v>
      </c>
      <c r="AC86" s="2">
        <f t="shared" si="17"/>
        <v>6.2968937939594483</v>
      </c>
      <c r="AD86" s="2">
        <v>94.456080876656898</v>
      </c>
      <c r="AE86" s="2">
        <f t="shared" si="15"/>
        <v>9.0623910770303233</v>
      </c>
    </row>
    <row r="87" spans="1:31" s="5" customFormat="1" x14ac:dyDescent="0.2">
      <c r="A87" s="5" t="s">
        <v>305</v>
      </c>
      <c r="B87" s="5" t="s">
        <v>335</v>
      </c>
      <c r="C87" s="5" t="s">
        <v>453</v>
      </c>
      <c r="D87" s="41" t="s">
        <v>436</v>
      </c>
      <c r="G87" s="5" t="s">
        <v>186</v>
      </c>
      <c r="H87" s="5" t="s">
        <v>421</v>
      </c>
      <c r="M87" s="51">
        <v>363</v>
      </c>
      <c r="N87" s="51">
        <v>27</v>
      </c>
      <c r="O87" s="52"/>
      <c r="P87" s="51">
        <v>18</v>
      </c>
      <c r="Q87" s="5" t="s">
        <v>35</v>
      </c>
      <c r="R87" s="5">
        <v>83</v>
      </c>
      <c r="S87" s="5">
        <v>-253</v>
      </c>
      <c r="T87" s="5">
        <v>-3380</v>
      </c>
      <c r="U87" s="5">
        <v>3127</v>
      </c>
      <c r="V87" s="5" t="s">
        <v>262</v>
      </c>
      <c r="W87" s="15">
        <f t="shared" si="9"/>
        <v>3.1269999999999998</v>
      </c>
      <c r="X87" s="2">
        <f t="shared" si="10"/>
        <v>13.444444444444445</v>
      </c>
      <c r="Y87" s="2">
        <f t="shared" si="11"/>
        <v>0.49794238683127573</v>
      </c>
      <c r="Z87" s="2">
        <f t="shared" si="12"/>
        <v>0.7962411322306383</v>
      </c>
      <c r="AA87" s="2">
        <f t="shared" si="13"/>
        <v>1401.4459235015527</v>
      </c>
      <c r="AB87" s="2">
        <f t="shared" si="14"/>
        <v>0.1158148148148148</v>
      </c>
      <c r="AC87" s="2">
        <f t="shared" si="17"/>
        <v>6.6062682235239008</v>
      </c>
      <c r="AD87" s="2">
        <v>95.456080876656898</v>
      </c>
      <c r="AE87" s="2">
        <f t="shared" si="15"/>
        <v>8.634473936680525</v>
      </c>
    </row>
    <row r="88" spans="1:31" s="5" customFormat="1" x14ac:dyDescent="0.2">
      <c r="A88" s="5" t="s">
        <v>315</v>
      </c>
      <c r="B88" s="5" t="s">
        <v>335</v>
      </c>
      <c r="C88" s="5" t="s">
        <v>453</v>
      </c>
      <c r="D88" s="41" t="s">
        <v>436</v>
      </c>
      <c r="G88" s="5" t="s">
        <v>186</v>
      </c>
      <c r="H88" s="5" t="s">
        <v>421</v>
      </c>
      <c r="M88" s="51">
        <v>369</v>
      </c>
      <c r="N88" s="51">
        <v>26</v>
      </c>
      <c r="O88" s="52"/>
      <c r="P88" s="51">
        <v>19</v>
      </c>
      <c r="Q88" s="5" t="s">
        <v>35</v>
      </c>
      <c r="R88" s="5">
        <v>81</v>
      </c>
      <c r="S88" s="5">
        <v>-468</v>
      </c>
      <c r="T88" s="5">
        <v>-3150</v>
      </c>
      <c r="U88" s="5">
        <v>2682</v>
      </c>
      <c r="V88" s="5" t="s">
        <v>262</v>
      </c>
      <c r="W88" s="15">
        <f t="shared" si="9"/>
        <v>2.6819999999999999</v>
      </c>
      <c r="X88" s="2">
        <f t="shared" si="10"/>
        <v>14.192307692307692</v>
      </c>
      <c r="Y88" s="2">
        <f t="shared" si="11"/>
        <v>0.54585798816568043</v>
      </c>
      <c r="Z88" s="2">
        <f t="shared" si="12"/>
        <v>0.83367138570816046</v>
      </c>
      <c r="AA88" s="2">
        <f t="shared" si="13"/>
        <v>1378.9329258319419</v>
      </c>
      <c r="AB88" s="2">
        <f t="shared" si="14"/>
        <v>0.10315384615384615</v>
      </c>
      <c r="AC88" s="2">
        <f t="shared" si="17"/>
        <v>5.8894496506671254</v>
      </c>
      <c r="AD88" s="2">
        <v>96.456080876656799</v>
      </c>
      <c r="AE88" s="2">
        <f t="shared" si="15"/>
        <v>9.6942580164056675</v>
      </c>
    </row>
    <row r="89" spans="1:31" x14ac:dyDescent="0.2">
      <c r="A89" t="s">
        <v>311</v>
      </c>
      <c r="B89" s="4" t="s">
        <v>335</v>
      </c>
      <c r="C89" s="5" t="s">
        <v>453</v>
      </c>
      <c r="D89" s="39" t="s">
        <v>436</v>
      </c>
      <c r="E89" s="16"/>
      <c r="G89" s="16" t="s">
        <v>186</v>
      </c>
      <c r="H89" s="16" t="s">
        <v>421</v>
      </c>
      <c r="I89" s="16"/>
      <c r="K89" s="16"/>
      <c r="M89" s="1">
        <v>1938</v>
      </c>
      <c r="N89" s="1">
        <v>66</v>
      </c>
      <c r="O89" s="52"/>
      <c r="P89" s="1">
        <v>43</v>
      </c>
      <c r="Q89" t="s">
        <v>35</v>
      </c>
      <c r="R89">
        <v>184</v>
      </c>
      <c r="S89">
        <v>559</v>
      </c>
      <c r="T89">
        <v>-3747</v>
      </c>
      <c r="U89">
        <v>4306</v>
      </c>
      <c r="V89" t="s">
        <v>262</v>
      </c>
      <c r="W89" s="15">
        <f t="shared" si="9"/>
        <v>4.306</v>
      </c>
      <c r="X89" s="2">
        <f t="shared" si="10"/>
        <v>29.363636363636363</v>
      </c>
      <c r="Y89" s="2">
        <f t="shared" si="11"/>
        <v>0.44490358126721763</v>
      </c>
      <c r="Z89" s="2">
        <f t="shared" si="12"/>
        <v>0.75264123971127639</v>
      </c>
      <c r="AA89" s="2">
        <f t="shared" si="13"/>
        <v>7178.5982561648116</v>
      </c>
      <c r="AB89" s="2">
        <f t="shared" si="14"/>
        <v>6.5242424242424241E-2</v>
      </c>
      <c r="AC89" s="2">
        <f t="shared" si="17"/>
        <v>3.7328252039341052</v>
      </c>
      <c r="AD89" s="2">
        <v>97.456080876656799</v>
      </c>
      <c r="AE89" s="2">
        <f t="shared" si="15"/>
        <v>15.327450069670228</v>
      </c>
    </row>
    <row r="90" spans="1:31" s="5" customFormat="1" x14ac:dyDescent="0.2">
      <c r="A90" s="5" t="s">
        <v>36</v>
      </c>
      <c r="B90" s="5" t="s">
        <v>36</v>
      </c>
      <c r="C90" s="5" t="s">
        <v>453</v>
      </c>
      <c r="D90" s="41" t="s">
        <v>436</v>
      </c>
      <c r="E90" s="5">
        <v>6.6</v>
      </c>
      <c r="F90" s="53">
        <v>6.6</v>
      </c>
      <c r="G90" s="5" t="s">
        <v>186</v>
      </c>
      <c r="H90" s="5" t="s">
        <v>421</v>
      </c>
      <c r="I90" s="7">
        <v>6.5</v>
      </c>
      <c r="J90" s="26">
        <v>6.5</v>
      </c>
      <c r="K90" s="7"/>
      <c r="L90" s="21"/>
      <c r="M90" s="51">
        <v>949</v>
      </c>
      <c r="N90" s="51">
        <v>43</v>
      </c>
      <c r="O90" s="52"/>
      <c r="P90" s="51">
        <v>36</v>
      </c>
      <c r="Q90" s="5" t="s">
        <v>35</v>
      </c>
      <c r="R90" s="5">
        <v>132</v>
      </c>
      <c r="S90" s="5">
        <v>-1017</v>
      </c>
      <c r="T90" s="5">
        <v>-3720</v>
      </c>
      <c r="U90" s="5">
        <v>2703</v>
      </c>
      <c r="V90" s="5" t="s">
        <v>262</v>
      </c>
      <c r="W90" s="15">
        <f t="shared" si="9"/>
        <v>2.7029999999999998</v>
      </c>
      <c r="X90" s="2">
        <f t="shared" si="10"/>
        <v>22.069767441860463</v>
      </c>
      <c r="Y90" s="2">
        <f t="shared" si="11"/>
        <v>0.51325040562466195</v>
      </c>
      <c r="Z90" s="2">
        <f t="shared" si="12"/>
        <v>0.80838772604458187</v>
      </c>
      <c r="AA90" s="2">
        <f t="shared" si="13"/>
        <v>3603.7277762489439</v>
      </c>
      <c r="AB90" s="2">
        <f t="shared" si="14"/>
        <v>6.286046511627906E-2</v>
      </c>
      <c r="AC90" s="2">
        <f t="shared" si="17"/>
        <v>3.5969066798934071</v>
      </c>
      <c r="AD90" s="2">
        <v>98.456080876656699</v>
      </c>
      <c r="AE90" s="2">
        <f t="shared" si="15"/>
        <v>15.908250092489826</v>
      </c>
    </row>
    <row r="91" spans="1:31" x14ac:dyDescent="0.2">
      <c r="A91" t="s">
        <v>272</v>
      </c>
      <c r="B91" s="4" t="s">
        <v>332</v>
      </c>
      <c r="C91" s="5" t="s">
        <v>453</v>
      </c>
      <c r="D91" s="39" t="s">
        <v>440</v>
      </c>
      <c r="E91" s="16"/>
      <c r="G91" s="16" t="s">
        <v>407</v>
      </c>
      <c r="H91" s="16" t="s">
        <v>422</v>
      </c>
      <c r="I91" s="16"/>
      <c r="K91" s="16"/>
      <c r="M91" s="1">
        <v>100</v>
      </c>
      <c r="N91" s="1">
        <v>22</v>
      </c>
      <c r="O91" s="52"/>
      <c r="P91" s="1">
        <v>6</v>
      </c>
      <c r="Q91" t="s">
        <v>268</v>
      </c>
      <c r="R91">
        <v>52</v>
      </c>
      <c r="S91">
        <v>-20</v>
      </c>
      <c r="T91">
        <v>-557</v>
      </c>
      <c r="U91">
        <v>537</v>
      </c>
      <c r="V91" t="s">
        <v>262</v>
      </c>
      <c r="W91" s="15">
        <f t="shared" si="9"/>
        <v>0.53700000000000003</v>
      </c>
      <c r="X91" s="2">
        <f t="shared" si="10"/>
        <v>4.5454545454545459</v>
      </c>
      <c r="Y91" s="2">
        <f t="shared" si="11"/>
        <v>0.20661157024793389</v>
      </c>
      <c r="Z91" s="2">
        <f t="shared" si="12"/>
        <v>0.51289962251639298</v>
      </c>
      <c r="AA91" s="2">
        <f t="shared" si="13"/>
        <v>460.8380002386956</v>
      </c>
      <c r="AB91" s="2">
        <f t="shared" si="14"/>
        <v>2.4409090909090912E-2</v>
      </c>
      <c r="AC91" s="2">
        <f t="shared" si="17"/>
        <v>1.3982602387321486</v>
      </c>
      <c r="AD91" s="2">
        <v>99.456080876656699</v>
      </c>
      <c r="AE91" s="2">
        <f t="shared" si="15"/>
        <v>40.968342644320295</v>
      </c>
    </row>
    <row r="92" spans="1:31" x14ac:dyDescent="0.2">
      <c r="A92" t="s">
        <v>267</v>
      </c>
      <c r="B92" s="4" t="s">
        <v>332</v>
      </c>
      <c r="C92" s="5" t="s">
        <v>453</v>
      </c>
      <c r="D92" s="39" t="s">
        <v>440</v>
      </c>
      <c r="E92" s="16"/>
      <c r="G92" s="16" t="s">
        <v>407</v>
      </c>
      <c r="H92" s="16" t="s">
        <v>422</v>
      </c>
      <c r="I92" s="16"/>
      <c r="K92" s="16"/>
      <c r="M92" s="1">
        <v>25</v>
      </c>
      <c r="N92" s="1">
        <v>7</v>
      </c>
      <c r="O92" s="52"/>
      <c r="P92" s="1">
        <v>5</v>
      </c>
      <c r="Q92" t="s">
        <v>268</v>
      </c>
      <c r="R92">
        <v>20</v>
      </c>
      <c r="S92">
        <v>-31</v>
      </c>
      <c r="T92">
        <v>-330</v>
      </c>
      <c r="U92">
        <v>299</v>
      </c>
      <c r="V92" t="s">
        <v>262</v>
      </c>
      <c r="W92" s="15">
        <f t="shared" si="9"/>
        <v>0.29899999999999999</v>
      </c>
      <c r="X92" s="2">
        <f t="shared" si="10"/>
        <v>3.5714285714285716</v>
      </c>
      <c r="Y92" s="2">
        <f t="shared" si="11"/>
        <v>0.51020408163265307</v>
      </c>
      <c r="Z92" s="2">
        <f t="shared" si="12"/>
        <v>0.80598512109718889</v>
      </c>
      <c r="AA92" s="2">
        <f t="shared" si="13"/>
        <v>88.622692353595312</v>
      </c>
      <c r="AB92" s="2">
        <f t="shared" si="14"/>
        <v>4.2714285714285712E-2</v>
      </c>
      <c r="AC92" s="2">
        <f t="shared" si="17"/>
        <v>2.4458615196091769</v>
      </c>
      <c r="AD92" s="2">
        <v>100.456080876657</v>
      </c>
      <c r="AE92" s="2">
        <f t="shared" si="15"/>
        <v>23.411371237458194</v>
      </c>
    </row>
    <row r="93" spans="1:31" x14ac:dyDescent="0.2">
      <c r="A93" s="16" t="s">
        <v>324</v>
      </c>
      <c r="B93" s="16" t="s">
        <v>238</v>
      </c>
      <c r="C93" s="16" t="s">
        <v>444</v>
      </c>
      <c r="D93" s="16" t="s">
        <v>238</v>
      </c>
      <c r="E93" s="16" t="s">
        <v>251</v>
      </c>
      <c r="F93" s="15">
        <v>0.43</v>
      </c>
      <c r="G93" s="16" t="s">
        <v>398</v>
      </c>
      <c r="H93" s="5" t="s">
        <v>345</v>
      </c>
      <c r="I93" s="16"/>
      <c r="K93" s="16"/>
      <c r="M93" s="1">
        <v>2091</v>
      </c>
      <c r="N93" s="1">
        <v>98</v>
      </c>
      <c r="O93" s="52"/>
      <c r="P93" s="1">
        <v>62</v>
      </c>
      <c r="Q93" s="16" t="s">
        <v>110</v>
      </c>
      <c r="R93" s="16">
        <v>306</v>
      </c>
      <c r="S93" s="16">
        <v>17</v>
      </c>
      <c r="T93" s="16">
        <v>-4883</v>
      </c>
      <c r="U93" s="16">
        <v>4900</v>
      </c>
      <c r="V93" s="16" t="s">
        <v>262</v>
      </c>
      <c r="W93" s="15">
        <f t="shared" si="9"/>
        <v>4.9000000000000004</v>
      </c>
      <c r="X93" s="2">
        <f t="shared" si="10"/>
        <v>21.336734693877553</v>
      </c>
      <c r="Y93" s="2">
        <f t="shared" si="11"/>
        <v>0.21772178259058725</v>
      </c>
      <c r="Z93" s="2">
        <f t="shared" si="12"/>
        <v>0.52650924449977277</v>
      </c>
      <c r="AA93" s="2">
        <f t="shared" si="13"/>
        <v>12400.619522891111</v>
      </c>
      <c r="AB93" s="2">
        <f t="shared" si="14"/>
        <v>0.05</v>
      </c>
      <c r="AC93" s="2">
        <f t="shared" si="17"/>
        <v>2.8624052261117479</v>
      </c>
      <c r="AD93" s="2">
        <v>101.456080876657</v>
      </c>
      <c r="AE93" s="2">
        <f t="shared" si="15"/>
        <v>20</v>
      </c>
    </row>
    <row r="94" spans="1:31" x14ac:dyDescent="0.2">
      <c r="A94" t="s">
        <v>323</v>
      </c>
      <c r="B94" s="4" t="s">
        <v>238</v>
      </c>
      <c r="C94" s="16" t="s">
        <v>444</v>
      </c>
      <c r="D94" s="16" t="s">
        <v>238</v>
      </c>
      <c r="E94" s="16" t="s">
        <v>251</v>
      </c>
      <c r="F94" s="15">
        <v>0.43</v>
      </c>
      <c r="G94" s="16" t="s">
        <v>398</v>
      </c>
      <c r="H94" s="5" t="s">
        <v>345</v>
      </c>
      <c r="I94" s="16"/>
      <c r="K94" s="16"/>
      <c r="M94" s="1">
        <v>1917</v>
      </c>
      <c r="N94" s="1">
        <v>110</v>
      </c>
      <c r="O94" s="52"/>
      <c r="P94" s="1">
        <v>35</v>
      </c>
      <c r="Q94" t="s">
        <v>110</v>
      </c>
      <c r="R94">
        <v>275</v>
      </c>
      <c r="S94">
        <v>28</v>
      </c>
      <c r="T94">
        <v>-4868</v>
      </c>
      <c r="U94">
        <v>4896</v>
      </c>
      <c r="V94" t="s">
        <v>262</v>
      </c>
      <c r="W94" s="15">
        <f t="shared" si="9"/>
        <v>4.8959999999999999</v>
      </c>
      <c r="X94" s="2">
        <f t="shared" si="10"/>
        <v>17.427272727272726</v>
      </c>
      <c r="Y94" s="2">
        <f t="shared" si="11"/>
        <v>0.1584297520661157</v>
      </c>
      <c r="Z94" s="2">
        <f t="shared" si="12"/>
        <v>0.44913141313623911</v>
      </c>
      <c r="AA94" s="2">
        <f t="shared" si="13"/>
        <v>10670.59631063091</v>
      </c>
      <c r="AB94" s="2">
        <f t="shared" si="14"/>
        <v>4.4509090909090908E-2</v>
      </c>
      <c r="AC94" s="2">
        <f t="shared" si="17"/>
        <v>2.5485010367331329</v>
      </c>
      <c r="AD94" s="2">
        <v>102.456080876657</v>
      </c>
      <c r="AE94" s="2">
        <f t="shared" si="15"/>
        <v>22.467320261437909</v>
      </c>
    </row>
    <row r="95" spans="1:31" x14ac:dyDescent="0.2">
      <c r="A95" t="s">
        <v>118</v>
      </c>
      <c r="B95" s="4" t="s">
        <v>238</v>
      </c>
      <c r="C95" s="16" t="s">
        <v>448</v>
      </c>
      <c r="D95" s="39" t="s">
        <v>238</v>
      </c>
      <c r="E95" s="16" t="s">
        <v>251</v>
      </c>
      <c r="F95" s="15">
        <v>0.43</v>
      </c>
      <c r="G95" s="5" t="s">
        <v>399</v>
      </c>
      <c r="H95" s="5" t="s">
        <v>345</v>
      </c>
      <c r="I95" s="18" t="s">
        <v>154</v>
      </c>
      <c r="J95" s="24">
        <f>(0.01+0.1)/2</f>
        <v>5.5E-2</v>
      </c>
      <c r="K95" s="18" t="s">
        <v>260</v>
      </c>
      <c r="L95" s="20">
        <v>11000</v>
      </c>
      <c r="M95" s="1">
        <v>6913</v>
      </c>
      <c r="N95" s="1">
        <v>111</v>
      </c>
      <c r="O95" s="52">
        <f t="shared" si="16"/>
        <v>1.83867909225E+21</v>
      </c>
      <c r="P95" s="1">
        <v>133</v>
      </c>
      <c r="Q95" t="s">
        <v>110</v>
      </c>
      <c r="R95">
        <v>396</v>
      </c>
      <c r="S95">
        <v>1158</v>
      </c>
      <c r="T95">
        <v>-5660</v>
      </c>
      <c r="U95">
        <v>6818</v>
      </c>
      <c r="V95" t="s">
        <v>12</v>
      </c>
      <c r="W95" s="15">
        <f t="shared" ref="W95:W158" si="18">U95/1000</f>
        <v>6.8179999999999996</v>
      </c>
      <c r="X95" s="2">
        <f t="shared" ref="X95:X158" si="19">M95/N95</f>
        <v>62.27927927927928</v>
      </c>
      <c r="Y95" s="2">
        <f t="shared" ref="Y95:Y158" si="20">M95/(N95*N95)</f>
        <v>0.56107458810161515</v>
      </c>
      <c r="Z95" s="2">
        <f t="shared" ref="Z95:Z158" si="21">(2*(SQRT(M95/3.14159264)))/N95</f>
        <v>0.84521142692655304</v>
      </c>
      <c r="AA95" s="2">
        <f t="shared" ref="AA95:AA158" si="22">R95/(2/SQRT(M95*3.14159264))</f>
        <v>29179.201568861085</v>
      </c>
      <c r="AB95" s="2">
        <f t="shared" ref="AB95:AB158" si="23">W95/N95</f>
        <v>6.1423423423423419E-2</v>
      </c>
      <c r="AC95" s="2">
        <f t="shared" si="17"/>
        <v>3.5148869987486955</v>
      </c>
      <c r="AD95" s="2">
        <v>103.456080876656</v>
      </c>
      <c r="AE95" s="2">
        <f t="shared" ref="AE95:AE158" si="24">N95/W95</f>
        <v>16.280434144910533</v>
      </c>
    </row>
    <row r="96" spans="1:31" x14ac:dyDescent="0.2">
      <c r="A96" t="s">
        <v>318</v>
      </c>
      <c r="B96" s="4" t="s">
        <v>238</v>
      </c>
      <c r="C96" s="16" t="s">
        <v>448</v>
      </c>
      <c r="D96" s="39" t="s">
        <v>238</v>
      </c>
      <c r="E96" s="16" t="s">
        <v>251</v>
      </c>
      <c r="F96" s="15">
        <v>0.43</v>
      </c>
      <c r="G96" s="16" t="s">
        <v>393</v>
      </c>
      <c r="H96" s="5" t="s">
        <v>345</v>
      </c>
      <c r="I96" s="16"/>
      <c r="K96" s="16"/>
      <c r="M96" s="1">
        <v>837</v>
      </c>
      <c r="N96" s="1">
        <v>32</v>
      </c>
      <c r="O96" s="52"/>
      <c r="P96" s="1">
        <v>43</v>
      </c>
      <c r="Q96" t="s">
        <v>110</v>
      </c>
      <c r="R96">
        <v>128</v>
      </c>
      <c r="S96">
        <v>15</v>
      </c>
      <c r="T96">
        <v>-4576</v>
      </c>
      <c r="U96">
        <v>4591</v>
      </c>
      <c r="V96" t="s">
        <v>262</v>
      </c>
      <c r="W96" s="15">
        <f t="shared" si="18"/>
        <v>4.5910000000000002</v>
      </c>
      <c r="X96" s="2">
        <f t="shared" si="19"/>
        <v>26.15625</v>
      </c>
      <c r="Y96" s="2">
        <f t="shared" si="20"/>
        <v>0.8173828125</v>
      </c>
      <c r="Z96" s="2">
        <f t="shared" si="21"/>
        <v>1.02015887221735</v>
      </c>
      <c r="AA96" s="2">
        <f t="shared" si="22"/>
        <v>3281.8417710988565</v>
      </c>
      <c r="AB96" s="2">
        <f t="shared" si="23"/>
        <v>0.14346875000000001</v>
      </c>
      <c r="AC96" s="2">
        <f t="shared" si="17"/>
        <v>8.1644410676375792</v>
      </c>
      <c r="AD96" s="2">
        <v>104.456080876656</v>
      </c>
      <c r="AE96" s="2">
        <f t="shared" si="24"/>
        <v>6.9701590067523416</v>
      </c>
    </row>
    <row r="97" spans="1:31" x14ac:dyDescent="0.2">
      <c r="A97" t="s">
        <v>329</v>
      </c>
      <c r="B97" s="4" t="s">
        <v>238</v>
      </c>
      <c r="C97" s="16" t="s">
        <v>444</v>
      </c>
      <c r="D97" s="39" t="s">
        <v>238</v>
      </c>
      <c r="E97" s="16" t="s">
        <v>251</v>
      </c>
      <c r="F97" s="15">
        <v>0.43</v>
      </c>
      <c r="G97" s="16" t="s">
        <v>396</v>
      </c>
      <c r="H97" s="5" t="s">
        <v>345</v>
      </c>
      <c r="I97" s="16"/>
      <c r="K97" s="16"/>
      <c r="M97" s="1">
        <v>1222</v>
      </c>
      <c r="N97" s="1">
        <v>82</v>
      </c>
      <c r="O97" s="52"/>
      <c r="P97" s="1">
        <v>27</v>
      </c>
      <c r="Q97" t="s">
        <v>110</v>
      </c>
      <c r="R97">
        <v>196</v>
      </c>
      <c r="S97">
        <v>18</v>
      </c>
      <c r="T97">
        <v>-5218</v>
      </c>
      <c r="U97">
        <v>5236</v>
      </c>
      <c r="V97" t="s">
        <v>262</v>
      </c>
      <c r="W97" s="15">
        <f t="shared" si="18"/>
        <v>5.2359999999999998</v>
      </c>
      <c r="X97" s="2">
        <f t="shared" si="19"/>
        <v>14.902439024390244</v>
      </c>
      <c r="Y97" s="2">
        <f t="shared" si="20"/>
        <v>0.18173706127305175</v>
      </c>
      <c r="Z97" s="2">
        <f t="shared" si="21"/>
        <v>0.48103514856792584</v>
      </c>
      <c r="AA97" s="2">
        <f t="shared" si="22"/>
        <v>6072.0678259710103</v>
      </c>
      <c r="AB97" s="2">
        <f t="shared" si="23"/>
        <v>6.3853658536585367E-2</v>
      </c>
      <c r="AC97" s="2">
        <f t="shared" si="17"/>
        <v>3.6535849532956699</v>
      </c>
      <c r="AD97" s="2">
        <v>105.456080876656</v>
      </c>
      <c r="AE97" s="2">
        <f t="shared" si="24"/>
        <v>15.660809778456837</v>
      </c>
    </row>
    <row r="98" spans="1:31" x14ac:dyDescent="0.2">
      <c r="A98" t="s">
        <v>327</v>
      </c>
      <c r="B98" s="4" t="s">
        <v>238</v>
      </c>
      <c r="C98" s="16" t="s">
        <v>444</v>
      </c>
      <c r="D98" s="39" t="s">
        <v>238</v>
      </c>
      <c r="E98" s="16" t="s">
        <v>251</v>
      </c>
      <c r="F98" s="15">
        <v>0.43</v>
      </c>
      <c r="G98" s="16" t="s">
        <v>396</v>
      </c>
      <c r="H98" s="5" t="s">
        <v>345</v>
      </c>
      <c r="I98" s="16"/>
      <c r="K98" s="16"/>
      <c r="M98" s="1">
        <v>1236</v>
      </c>
      <c r="N98" s="1">
        <v>96</v>
      </c>
      <c r="O98" s="52"/>
      <c r="P98" s="1">
        <v>25</v>
      </c>
      <c r="Q98" t="s">
        <v>110</v>
      </c>
      <c r="R98">
        <v>226</v>
      </c>
      <c r="S98">
        <v>18</v>
      </c>
      <c r="T98">
        <v>-5108</v>
      </c>
      <c r="U98">
        <v>5126</v>
      </c>
      <c r="V98" t="s">
        <v>262</v>
      </c>
      <c r="W98" s="15">
        <f t="shared" si="18"/>
        <v>5.1260000000000003</v>
      </c>
      <c r="X98" s="2">
        <f t="shared" si="19"/>
        <v>12.875</v>
      </c>
      <c r="Y98" s="2">
        <f t="shared" si="20"/>
        <v>0.13411458333333334</v>
      </c>
      <c r="Z98" s="2">
        <f t="shared" si="21"/>
        <v>0.4132311602049718</v>
      </c>
      <c r="AA98" s="2">
        <f t="shared" si="22"/>
        <v>7041.4583415168881</v>
      </c>
      <c r="AB98" s="2">
        <f t="shared" si="23"/>
        <v>5.3395833333333337E-2</v>
      </c>
      <c r="AC98" s="2">
        <f t="shared" si="17"/>
        <v>3.0564533321131453</v>
      </c>
      <c r="AD98" s="2">
        <v>106.456080876656</v>
      </c>
      <c r="AE98" s="2">
        <f t="shared" si="24"/>
        <v>18.728053062817011</v>
      </c>
    </row>
    <row r="99" spans="1:31" x14ac:dyDescent="0.2">
      <c r="A99" s="16" t="s">
        <v>322</v>
      </c>
      <c r="B99" s="16" t="s">
        <v>238</v>
      </c>
      <c r="C99" s="16" t="s">
        <v>448</v>
      </c>
      <c r="D99" s="39" t="s">
        <v>238</v>
      </c>
      <c r="E99" s="16" t="s">
        <v>251</v>
      </c>
      <c r="F99" s="15">
        <v>0.43</v>
      </c>
      <c r="G99" s="16" t="s">
        <v>398</v>
      </c>
      <c r="H99" s="5" t="s">
        <v>345</v>
      </c>
      <c r="I99" s="16"/>
      <c r="K99" s="16"/>
      <c r="M99" s="1">
        <v>2306</v>
      </c>
      <c r="N99" s="1">
        <v>32</v>
      </c>
      <c r="O99" s="52"/>
      <c r="P99" s="1">
        <v>103</v>
      </c>
      <c r="Q99" s="16" t="s">
        <v>110</v>
      </c>
      <c r="R99" s="16">
        <v>249</v>
      </c>
      <c r="S99" s="16">
        <v>28</v>
      </c>
      <c r="T99" s="16">
        <v>-4826</v>
      </c>
      <c r="U99" s="16">
        <v>4854</v>
      </c>
      <c r="V99" s="16" t="s">
        <v>262</v>
      </c>
      <c r="W99" s="15">
        <f t="shared" si="18"/>
        <v>4.8540000000000001</v>
      </c>
      <c r="X99" s="2">
        <f t="shared" si="19"/>
        <v>72.0625</v>
      </c>
      <c r="Y99" s="2">
        <f t="shared" si="20"/>
        <v>2.251953125</v>
      </c>
      <c r="Z99" s="2">
        <f t="shared" si="21"/>
        <v>1.6933032168052744</v>
      </c>
      <c r="AA99" s="2">
        <f t="shared" si="22"/>
        <v>10596.780495021918</v>
      </c>
      <c r="AB99" s="2">
        <f t="shared" si="23"/>
        <v>0.1516875</v>
      </c>
      <c r="AC99" s="2">
        <f t="shared" si="17"/>
        <v>8.6253011707070311</v>
      </c>
      <c r="AD99" s="2">
        <v>107.456080876656</v>
      </c>
      <c r="AE99" s="2">
        <f t="shared" si="24"/>
        <v>6.592501030078286</v>
      </c>
    </row>
    <row r="100" spans="1:31" x14ac:dyDescent="0.2">
      <c r="A100" t="s">
        <v>119</v>
      </c>
      <c r="B100" s="4" t="s">
        <v>238</v>
      </c>
      <c r="C100" s="16" t="s">
        <v>449</v>
      </c>
      <c r="D100" s="39" t="s">
        <v>238</v>
      </c>
      <c r="E100" s="16" t="s">
        <v>251</v>
      </c>
      <c r="F100" s="15">
        <v>0.43</v>
      </c>
      <c r="G100" s="5" t="s">
        <v>395</v>
      </c>
      <c r="H100" s="5" t="s">
        <v>345</v>
      </c>
      <c r="I100" s="7" t="s">
        <v>175</v>
      </c>
      <c r="J100" s="26">
        <v>5.0000000000000001E-3</v>
      </c>
      <c r="K100" s="7"/>
      <c r="L100" s="21"/>
      <c r="M100" s="1">
        <v>335</v>
      </c>
      <c r="N100" s="1">
        <v>37</v>
      </c>
      <c r="O100" s="52"/>
      <c r="P100" s="1">
        <v>14</v>
      </c>
      <c r="Q100" t="s">
        <v>110</v>
      </c>
      <c r="R100">
        <v>88</v>
      </c>
      <c r="S100">
        <v>581</v>
      </c>
      <c r="T100">
        <v>-2830</v>
      </c>
      <c r="U100">
        <v>3411</v>
      </c>
      <c r="V100" t="s">
        <v>12</v>
      </c>
      <c r="W100" s="15">
        <f t="shared" si="18"/>
        <v>3.411</v>
      </c>
      <c r="X100" s="2">
        <f t="shared" si="19"/>
        <v>9.0540540540540544</v>
      </c>
      <c r="Y100" s="2">
        <f t="shared" si="20"/>
        <v>0.24470416362308253</v>
      </c>
      <c r="Z100" s="2">
        <f t="shared" si="21"/>
        <v>0.55818188723212636</v>
      </c>
      <c r="AA100" s="2">
        <f t="shared" si="22"/>
        <v>1427.414208489743</v>
      </c>
      <c r="AB100" s="2">
        <f t="shared" si="23"/>
        <v>9.2189189189189197E-2</v>
      </c>
      <c r="AC100" s="2">
        <f t="shared" si="17"/>
        <v>5.2671635203330336</v>
      </c>
      <c r="AD100" s="2">
        <v>108.456080876656</v>
      </c>
      <c r="AE100" s="2">
        <f t="shared" si="24"/>
        <v>10.847258868367048</v>
      </c>
    </row>
    <row r="101" spans="1:31" x14ac:dyDescent="0.2">
      <c r="A101" t="s">
        <v>116</v>
      </c>
      <c r="B101" s="4" t="s">
        <v>238</v>
      </c>
      <c r="C101" s="16" t="s">
        <v>444</v>
      </c>
      <c r="D101" s="39" t="s">
        <v>238</v>
      </c>
      <c r="E101" s="16" t="s">
        <v>251</v>
      </c>
      <c r="F101" s="15">
        <v>0.43</v>
      </c>
      <c r="G101" s="5" t="s">
        <v>397</v>
      </c>
      <c r="H101" s="5" t="s">
        <v>345</v>
      </c>
      <c r="I101" s="7" t="s">
        <v>180</v>
      </c>
      <c r="J101" s="26">
        <f>(0.254+0.306)/2</f>
        <v>0.28000000000000003</v>
      </c>
      <c r="K101" s="7"/>
      <c r="L101" s="21"/>
      <c r="M101" s="1">
        <v>4759</v>
      </c>
      <c r="N101" s="1">
        <v>158</v>
      </c>
      <c r="O101" s="52"/>
      <c r="P101" s="1">
        <v>49</v>
      </c>
      <c r="Q101" t="s">
        <v>110</v>
      </c>
      <c r="R101">
        <v>385</v>
      </c>
      <c r="S101">
        <v>1616</v>
      </c>
      <c r="T101">
        <v>-5690</v>
      </c>
      <c r="U101">
        <v>7306</v>
      </c>
      <c r="V101" t="s">
        <v>12</v>
      </c>
      <c r="W101" s="15">
        <f t="shared" si="18"/>
        <v>7.306</v>
      </c>
      <c r="X101" s="2">
        <f t="shared" si="19"/>
        <v>30.120253164556964</v>
      </c>
      <c r="Y101" s="2">
        <f t="shared" si="20"/>
        <v>0.19063451369972761</v>
      </c>
      <c r="Z101" s="2">
        <f t="shared" si="21"/>
        <v>0.49266966872724655</v>
      </c>
      <c r="AA101" s="2">
        <f t="shared" si="22"/>
        <v>23537.672814955476</v>
      </c>
      <c r="AB101" s="2">
        <f t="shared" si="23"/>
        <v>4.6240506329113924E-2</v>
      </c>
      <c r="AC101" s="2">
        <f t="shared" si="17"/>
        <v>2.6474999821646032</v>
      </c>
      <c r="AD101" s="2">
        <v>109.456080876656</v>
      </c>
      <c r="AE101" s="2">
        <f t="shared" si="24"/>
        <v>21.626060771968245</v>
      </c>
    </row>
    <row r="102" spans="1:31" x14ac:dyDescent="0.2">
      <c r="A102" t="s">
        <v>117</v>
      </c>
      <c r="B102" s="4" t="s">
        <v>238</v>
      </c>
      <c r="C102" s="16" t="s">
        <v>448</v>
      </c>
      <c r="D102" s="39" t="s">
        <v>238</v>
      </c>
      <c r="E102" s="16" t="s">
        <v>251</v>
      </c>
      <c r="F102" s="15">
        <v>0.43</v>
      </c>
      <c r="G102" s="5" t="s">
        <v>394</v>
      </c>
      <c r="H102" s="5" t="s">
        <v>345</v>
      </c>
      <c r="I102" s="7" t="s">
        <v>181</v>
      </c>
      <c r="J102" s="26">
        <v>0.15</v>
      </c>
      <c r="K102" s="7"/>
      <c r="L102" s="21"/>
      <c r="M102" s="1">
        <v>3389</v>
      </c>
      <c r="N102" s="1">
        <v>141</v>
      </c>
      <c r="O102" s="52"/>
      <c r="P102" s="1">
        <v>40</v>
      </c>
      <c r="Q102" t="s">
        <v>110</v>
      </c>
      <c r="R102">
        <v>350</v>
      </c>
      <c r="S102">
        <v>310</v>
      </c>
      <c r="T102">
        <v>-5435</v>
      </c>
      <c r="U102">
        <v>5745</v>
      </c>
      <c r="V102" t="s">
        <v>12</v>
      </c>
      <c r="W102" s="15">
        <f t="shared" si="18"/>
        <v>5.7450000000000001</v>
      </c>
      <c r="X102" s="2">
        <f t="shared" si="19"/>
        <v>24.035460992907801</v>
      </c>
      <c r="Y102" s="2">
        <f t="shared" si="20"/>
        <v>0.17046426236104822</v>
      </c>
      <c r="Z102" s="2">
        <f t="shared" si="21"/>
        <v>0.46587749542242163</v>
      </c>
      <c r="AA102" s="2">
        <f t="shared" si="22"/>
        <v>18057.131821510302</v>
      </c>
      <c r="AB102" s="2">
        <f t="shared" si="23"/>
        <v>4.0744680851063829E-2</v>
      </c>
      <c r="AC102" s="2">
        <f t="shared" si="17"/>
        <v>2.3332076795425172</v>
      </c>
      <c r="AD102" s="2">
        <v>110.456080876656</v>
      </c>
      <c r="AE102" s="2">
        <f t="shared" si="24"/>
        <v>24.543080939947782</v>
      </c>
    </row>
    <row r="103" spans="1:31" x14ac:dyDescent="0.2">
      <c r="A103" t="s">
        <v>328</v>
      </c>
      <c r="B103" s="4" t="s">
        <v>238</v>
      </c>
      <c r="C103" s="16" t="s">
        <v>448</v>
      </c>
      <c r="D103" s="39" t="s">
        <v>238</v>
      </c>
      <c r="E103" s="16" t="s">
        <v>251</v>
      </c>
      <c r="F103" s="15">
        <v>0.43</v>
      </c>
      <c r="G103" s="16" t="s">
        <v>398</v>
      </c>
      <c r="H103" s="5" t="s">
        <v>345</v>
      </c>
      <c r="I103" s="16"/>
      <c r="K103" s="16"/>
      <c r="M103" s="1">
        <v>3418</v>
      </c>
      <c r="N103" s="1">
        <v>106</v>
      </c>
      <c r="O103" s="52"/>
      <c r="P103" s="1">
        <v>40</v>
      </c>
      <c r="Q103" t="s">
        <v>110</v>
      </c>
      <c r="R103">
        <v>327</v>
      </c>
      <c r="S103">
        <v>22</v>
      </c>
      <c r="T103">
        <v>-5164</v>
      </c>
      <c r="U103">
        <v>5186</v>
      </c>
      <c r="V103" t="s">
        <v>262</v>
      </c>
      <c r="W103" s="15">
        <f t="shared" si="18"/>
        <v>5.1859999999999999</v>
      </c>
      <c r="X103" s="2">
        <f t="shared" si="19"/>
        <v>32.245283018867923</v>
      </c>
      <c r="Y103" s="2">
        <f t="shared" si="20"/>
        <v>0.30420078319686722</v>
      </c>
      <c r="Z103" s="2">
        <f t="shared" si="21"/>
        <v>0.62235075992651978</v>
      </c>
      <c r="AA103" s="2">
        <f t="shared" si="22"/>
        <v>16942.547878329504</v>
      </c>
      <c r="AB103" s="2">
        <f t="shared" si="23"/>
        <v>4.8924528301886795E-2</v>
      </c>
      <c r="AC103" s="2">
        <f t="shared" si="17"/>
        <v>2.8009356290177752</v>
      </c>
      <c r="AD103" s="2">
        <v>111.456080876656</v>
      </c>
      <c r="AE103" s="2">
        <f t="shared" si="24"/>
        <v>20.439645198611647</v>
      </c>
    </row>
    <row r="104" spans="1:31" s="5" customFormat="1" x14ac:dyDescent="0.2">
      <c r="A104" s="5" t="s">
        <v>112</v>
      </c>
      <c r="B104" s="5" t="s">
        <v>240</v>
      </c>
      <c r="C104" s="5" t="s">
        <v>444</v>
      </c>
      <c r="D104" s="41" t="s">
        <v>238</v>
      </c>
      <c r="E104" s="5">
        <v>5.0999999999999996</v>
      </c>
      <c r="F104" s="53">
        <v>5.0999999999999996</v>
      </c>
      <c r="G104" s="5" t="s">
        <v>397</v>
      </c>
      <c r="H104" s="5" t="s">
        <v>345</v>
      </c>
      <c r="I104" s="7">
        <v>5</v>
      </c>
      <c r="J104" s="26">
        <v>5</v>
      </c>
      <c r="K104" s="7"/>
      <c r="L104" s="21"/>
      <c r="M104" s="51">
        <v>12361</v>
      </c>
      <c r="N104" s="51">
        <v>120</v>
      </c>
      <c r="O104" s="52"/>
      <c r="P104" s="51">
        <v>144</v>
      </c>
      <c r="Q104" s="5" t="s">
        <v>110</v>
      </c>
      <c r="R104" s="5">
        <v>558</v>
      </c>
      <c r="S104" s="5">
        <v>-239</v>
      </c>
      <c r="T104" s="5">
        <v>-5084</v>
      </c>
      <c r="U104" s="5">
        <v>4845</v>
      </c>
      <c r="V104" s="5" t="s">
        <v>12</v>
      </c>
      <c r="W104" s="15">
        <f t="shared" si="18"/>
        <v>4.8449999999999998</v>
      </c>
      <c r="X104" s="2">
        <f t="shared" si="19"/>
        <v>103.00833333333334</v>
      </c>
      <c r="Y104" s="2">
        <f t="shared" si="20"/>
        <v>0.85840277777777774</v>
      </c>
      <c r="Z104" s="2">
        <f t="shared" si="21"/>
        <v>1.0454436219639165</v>
      </c>
      <c r="AA104" s="2">
        <f t="shared" si="22"/>
        <v>54980.152724088141</v>
      </c>
      <c r="AB104" s="2">
        <f t="shared" si="23"/>
        <v>4.0375000000000001E-2</v>
      </c>
      <c r="AC104" s="2">
        <f t="shared" si="17"/>
        <v>2.3120613151469271</v>
      </c>
      <c r="AD104" s="2">
        <v>112.456080876657</v>
      </c>
      <c r="AE104" s="2">
        <f t="shared" si="24"/>
        <v>24.767801857585141</v>
      </c>
    </row>
    <row r="105" spans="1:31" s="5" customFormat="1" x14ac:dyDescent="0.2">
      <c r="A105" s="5" t="s">
        <v>113</v>
      </c>
      <c r="B105" s="5" t="s">
        <v>240</v>
      </c>
      <c r="C105" s="5" t="s">
        <v>444</v>
      </c>
      <c r="D105" s="41" t="s">
        <v>238</v>
      </c>
      <c r="E105" s="5">
        <v>5.0999999999999996</v>
      </c>
      <c r="F105" s="53">
        <v>5.0999999999999996</v>
      </c>
      <c r="G105" s="5" t="s">
        <v>400</v>
      </c>
      <c r="H105" s="5" t="s">
        <v>345</v>
      </c>
      <c r="I105" s="7">
        <v>5</v>
      </c>
      <c r="J105" s="26">
        <v>5</v>
      </c>
      <c r="K105" s="7"/>
      <c r="L105" s="21"/>
      <c r="M105" s="51">
        <v>9088</v>
      </c>
      <c r="N105" s="51">
        <v>130</v>
      </c>
      <c r="O105" s="52"/>
      <c r="P105" s="51">
        <v>108</v>
      </c>
      <c r="Q105" s="5" t="s">
        <v>110</v>
      </c>
      <c r="R105" s="5">
        <v>512</v>
      </c>
      <c r="S105" s="5">
        <v>-409</v>
      </c>
      <c r="T105" s="5">
        <v>-4918</v>
      </c>
      <c r="U105" s="5">
        <v>4509</v>
      </c>
      <c r="V105" s="5" t="s">
        <v>12</v>
      </c>
      <c r="W105" s="15">
        <f t="shared" si="18"/>
        <v>4.5090000000000003</v>
      </c>
      <c r="X105" s="2">
        <f t="shared" si="19"/>
        <v>69.907692307692301</v>
      </c>
      <c r="Y105" s="2">
        <f t="shared" si="20"/>
        <v>0.53775147928994083</v>
      </c>
      <c r="Z105" s="2">
        <f t="shared" si="21"/>
        <v>0.82745782468569207</v>
      </c>
      <c r="AA105" s="2">
        <f t="shared" si="22"/>
        <v>43256.269254731196</v>
      </c>
      <c r="AB105" s="2">
        <f t="shared" si="23"/>
        <v>3.468461538461539E-2</v>
      </c>
      <c r="AC105" s="2">
        <f t="shared" si="17"/>
        <v>1.9864857352568994</v>
      </c>
      <c r="AD105" s="2">
        <v>113.456080876656</v>
      </c>
      <c r="AE105" s="2">
        <f t="shared" si="24"/>
        <v>28.831226436016852</v>
      </c>
    </row>
    <row r="106" spans="1:31" x14ac:dyDescent="0.2">
      <c r="A106" t="s">
        <v>115</v>
      </c>
      <c r="B106" s="4" t="s">
        <v>239</v>
      </c>
      <c r="C106" s="16" t="s">
        <v>444</v>
      </c>
      <c r="D106" s="39" t="s">
        <v>238</v>
      </c>
      <c r="E106" s="16">
        <v>1.3</v>
      </c>
      <c r="F106" s="15">
        <v>1.3</v>
      </c>
      <c r="G106" s="5" t="s">
        <v>397</v>
      </c>
      <c r="H106" s="41" t="s">
        <v>345</v>
      </c>
      <c r="I106" s="18" t="s">
        <v>138</v>
      </c>
      <c r="J106" s="24">
        <v>1.3</v>
      </c>
      <c r="K106" s="18"/>
      <c r="L106" s="20"/>
      <c r="M106" s="1">
        <v>8207</v>
      </c>
      <c r="N106" s="1">
        <v>191</v>
      </c>
      <c r="O106" s="52"/>
      <c r="P106" s="1">
        <v>85</v>
      </c>
      <c r="Q106" t="s">
        <v>110</v>
      </c>
      <c r="R106">
        <v>700</v>
      </c>
      <c r="S106">
        <v>530</v>
      </c>
      <c r="T106">
        <v>-4899</v>
      </c>
      <c r="U106">
        <v>5429</v>
      </c>
      <c r="V106" t="s">
        <v>12</v>
      </c>
      <c r="W106" s="15">
        <f t="shared" si="18"/>
        <v>5.4290000000000003</v>
      </c>
      <c r="X106" s="2">
        <f t="shared" si="19"/>
        <v>42.968586387434556</v>
      </c>
      <c r="Y106" s="2">
        <f t="shared" si="20"/>
        <v>0.22496642087662069</v>
      </c>
      <c r="Z106" s="2">
        <f t="shared" si="21"/>
        <v>0.53519729496392565</v>
      </c>
      <c r="AA106" s="2">
        <f t="shared" si="22"/>
        <v>56199.855182809857</v>
      </c>
      <c r="AB106" s="2">
        <f t="shared" si="23"/>
        <v>2.8424083769633509E-2</v>
      </c>
      <c r="AC106" s="2">
        <f t="shared" si="17"/>
        <v>1.6281416569182738</v>
      </c>
      <c r="AD106" s="2">
        <v>114.456080876656</v>
      </c>
      <c r="AE106" s="2">
        <f t="shared" si="24"/>
        <v>35.181433044759622</v>
      </c>
    </row>
    <row r="107" spans="1:31" x14ac:dyDescent="0.2">
      <c r="A107" t="s">
        <v>317</v>
      </c>
      <c r="B107" s="4" t="s">
        <v>341</v>
      </c>
      <c r="C107" s="16" t="s">
        <v>448</v>
      </c>
      <c r="D107" s="39" t="s">
        <v>238</v>
      </c>
      <c r="E107" s="16"/>
      <c r="G107" s="16" t="s">
        <v>396</v>
      </c>
      <c r="H107" s="41" t="s">
        <v>345</v>
      </c>
      <c r="I107" s="16"/>
      <c r="K107" s="16"/>
      <c r="M107" s="1">
        <v>5996</v>
      </c>
      <c r="N107" s="1">
        <v>95</v>
      </c>
      <c r="O107" s="52"/>
      <c r="P107" s="1">
        <v>101</v>
      </c>
      <c r="Q107" t="s">
        <v>110</v>
      </c>
      <c r="R107">
        <v>332</v>
      </c>
      <c r="S107">
        <v>-1206</v>
      </c>
      <c r="T107">
        <v>-5796</v>
      </c>
      <c r="U107">
        <v>4590</v>
      </c>
      <c r="V107" t="s">
        <v>262</v>
      </c>
      <c r="W107" s="15">
        <f t="shared" si="18"/>
        <v>4.59</v>
      </c>
      <c r="X107" s="2">
        <f t="shared" si="19"/>
        <v>63.11578947368421</v>
      </c>
      <c r="Y107" s="2">
        <f t="shared" si="20"/>
        <v>0.66437673130193908</v>
      </c>
      <c r="Z107" s="2">
        <f t="shared" si="21"/>
        <v>0.91973405425412413</v>
      </c>
      <c r="AA107" s="2">
        <f t="shared" si="22"/>
        <v>22783.153465222691</v>
      </c>
      <c r="AB107" s="2">
        <f t="shared" si="23"/>
        <v>4.8315789473684208E-2</v>
      </c>
      <c r="AC107" s="2">
        <f t="shared" si="17"/>
        <v>2.7661397191424602</v>
      </c>
      <c r="AD107" s="2">
        <v>115.456080876656</v>
      </c>
      <c r="AE107" s="2">
        <f t="shared" si="24"/>
        <v>20.697167755991288</v>
      </c>
    </row>
    <row r="108" spans="1:31" x14ac:dyDescent="0.2">
      <c r="A108" t="s">
        <v>242</v>
      </c>
      <c r="B108" s="4" t="s">
        <v>241</v>
      </c>
      <c r="C108" s="16" t="s">
        <v>444</v>
      </c>
      <c r="D108" s="39" t="s">
        <v>238</v>
      </c>
      <c r="E108" s="16" t="s">
        <v>253</v>
      </c>
      <c r="F108" s="15">
        <v>1.9</v>
      </c>
      <c r="G108" s="5" t="s">
        <v>397</v>
      </c>
      <c r="H108" s="41" t="s">
        <v>345</v>
      </c>
      <c r="I108" s="18" t="s">
        <v>200</v>
      </c>
      <c r="J108" s="24">
        <v>1</v>
      </c>
      <c r="K108" s="18"/>
      <c r="L108" s="20"/>
      <c r="M108" s="1">
        <v>8976</v>
      </c>
      <c r="N108" s="1">
        <v>167</v>
      </c>
      <c r="O108" s="52"/>
      <c r="P108" s="1">
        <v>65</v>
      </c>
      <c r="Q108" t="s">
        <v>110</v>
      </c>
      <c r="R108">
        <v>463</v>
      </c>
      <c r="S108">
        <v>1253</v>
      </c>
      <c r="T108">
        <v>-5250</v>
      </c>
      <c r="U108">
        <v>6503</v>
      </c>
      <c r="V108" t="s">
        <v>12</v>
      </c>
      <c r="W108" s="15">
        <f t="shared" si="18"/>
        <v>6.5030000000000001</v>
      </c>
      <c r="X108" s="2">
        <f t="shared" si="19"/>
        <v>53.748502994011979</v>
      </c>
      <c r="Y108" s="2">
        <f t="shared" si="20"/>
        <v>0.32184732331743698</v>
      </c>
      <c r="Z108" s="2">
        <f t="shared" si="21"/>
        <v>0.64014743707022226</v>
      </c>
      <c r="AA108" s="2">
        <f t="shared" si="22"/>
        <v>38874.727047446839</v>
      </c>
      <c r="AB108" s="2">
        <f t="shared" si="23"/>
        <v>3.8940119760479043E-2</v>
      </c>
      <c r="AC108" s="2">
        <f t="shared" si="17"/>
        <v>2.2299778417994784</v>
      </c>
      <c r="AD108" s="2">
        <v>116.456080876656</v>
      </c>
      <c r="AE108" s="2">
        <f t="shared" si="24"/>
        <v>25.680455174534831</v>
      </c>
    </row>
    <row r="109" spans="1:31" x14ac:dyDescent="0.2">
      <c r="A109" t="s">
        <v>111</v>
      </c>
      <c r="B109" s="16" t="s">
        <v>237</v>
      </c>
      <c r="C109" s="16" t="s">
        <v>444</v>
      </c>
      <c r="D109" s="39" t="s">
        <v>238</v>
      </c>
      <c r="E109" s="16" t="s">
        <v>252</v>
      </c>
      <c r="F109" s="15">
        <v>3.7</v>
      </c>
      <c r="G109" s="5" t="s">
        <v>397</v>
      </c>
      <c r="H109" s="41" t="s">
        <v>345</v>
      </c>
      <c r="I109" s="18">
        <v>3.6</v>
      </c>
      <c r="J109" s="24">
        <v>3.6</v>
      </c>
      <c r="K109" s="18"/>
      <c r="L109" s="20"/>
      <c r="M109" s="1">
        <v>4803</v>
      </c>
      <c r="N109" s="1">
        <v>107</v>
      </c>
      <c r="O109" s="52"/>
      <c r="P109" s="1">
        <v>84</v>
      </c>
      <c r="Q109" t="s">
        <v>110</v>
      </c>
      <c r="R109">
        <v>345</v>
      </c>
      <c r="S109">
        <v>-1111</v>
      </c>
      <c r="T109">
        <v>-5106</v>
      </c>
      <c r="U109">
        <v>3995</v>
      </c>
      <c r="V109" t="s">
        <v>12</v>
      </c>
      <c r="W109" s="15">
        <f t="shared" si="18"/>
        <v>3.9950000000000001</v>
      </c>
      <c r="X109" s="2">
        <f t="shared" si="19"/>
        <v>44.887850467289717</v>
      </c>
      <c r="Y109" s="2">
        <f t="shared" si="20"/>
        <v>0.41951262118962357</v>
      </c>
      <c r="Z109" s="2">
        <f t="shared" si="21"/>
        <v>0.73084886339426958</v>
      </c>
      <c r="AA109" s="2">
        <f t="shared" si="22"/>
        <v>21189.481419307598</v>
      </c>
      <c r="AB109" s="2">
        <f t="shared" si="23"/>
        <v>3.7336448598130845E-2</v>
      </c>
      <c r="AC109" s="2">
        <f t="shared" si="17"/>
        <v>2.138227725198802</v>
      </c>
      <c r="AD109" s="2">
        <v>117.456080876656</v>
      </c>
      <c r="AE109" s="2">
        <f t="shared" si="24"/>
        <v>26.783479349186482</v>
      </c>
    </row>
    <row r="110" spans="1:31" x14ac:dyDescent="0.2">
      <c r="A110" t="s">
        <v>109</v>
      </c>
      <c r="B110" s="4" t="s">
        <v>237</v>
      </c>
      <c r="C110" s="16" t="s">
        <v>444</v>
      </c>
      <c r="D110" s="39" t="s">
        <v>238</v>
      </c>
      <c r="E110" s="16" t="s">
        <v>252</v>
      </c>
      <c r="F110" s="15">
        <v>3.7</v>
      </c>
      <c r="G110" s="5" t="s">
        <v>403</v>
      </c>
      <c r="H110" s="41" t="s">
        <v>345</v>
      </c>
      <c r="I110" s="7" t="s">
        <v>172</v>
      </c>
      <c r="J110" s="26">
        <v>2.15</v>
      </c>
      <c r="K110" s="7" t="s">
        <v>173</v>
      </c>
      <c r="L110" s="21">
        <v>2500</v>
      </c>
      <c r="M110" s="1">
        <v>29241</v>
      </c>
      <c r="N110" s="1">
        <v>270</v>
      </c>
      <c r="O110" s="52">
        <f t="shared" si="16"/>
        <v>3.8288448656249992E+20</v>
      </c>
      <c r="P110" s="1">
        <v>193</v>
      </c>
      <c r="Q110" t="s">
        <v>110</v>
      </c>
      <c r="R110">
        <v>785</v>
      </c>
      <c r="S110">
        <v>736</v>
      </c>
      <c r="T110">
        <v>-5511</v>
      </c>
      <c r="U110">
        <v>6247</v>
      </c>
      <c r="V110" t="s">
        <v>12</v>
      </c>
      <c r="W110" s="15">
        <f t="shared" si="18"/>
        <v>6.2469999999999999</v>
      </c>
      <c r="X110" s="2">
        <f t="shared" si="19"/>
        <v>108.3</v>
      </c>
      <c r="Y110" s="2">
        <f t="shared" si="20"/>
        <v>0.40111111111111108</v>
      </c>
      <c r="Z110" s="2">
        <f t="shared" si="21"/>
        <v>0.7146401407061741</v>
      </c>
      <c r="AA110" s="2">
        <f t="shared" si="22"/>
        <v>118962.67108084865</v>
      </c>
      <c r="AB110" s="2">
        <f t="shared" si="23"/>
        <v>2.3137037037037036E-2</v>
      </c>
      <c r="AC110" s="2">
        <f t="shared" si="17"/>
        <v>1.3254180977105814</v>
      </c>
      <c r="AD110" s="2">
        <v>118.456080876656</v>
      </c>
      <c r="AE110" s="2">
        <f t="shared" si="24"/>
        <v>43.220745958059872</v>
      </c>
    </row>
    <row r="111" spans="1:31" s="5" customFormat="1" x14ac:dyDescent="0.2">
      <c r="A111" s="5" t="s">
        <v>114</v>
      </c>
      <c r="B111" s="5" t="s">
        <v>237</v>
      </c>
      <c r="C111" s="5" t="s">
        <v>448</v>
      </c>
      <c r="D111" s="41" t="s">
        <v>238</v>
      </c>
      <c r="E111" s="5" t="s">
        <v>252</v>
      </c>
      <c r="F111" s="53">
        <v>3.7</v>
      </c>
      <c r="G111" s="5" t="s">
        <v>397</v>
      </c>
      <c r="H111" s="41" t="s">
        <v>345</v>
      </c>
      <c r="I111" s="7" t="s">
        <v>199</v>
      </c>
      <c r="J111" s="26">
        <v>3</v>
      </c>
      <c r="K111" s="7"/>
      <c r="L111" s="21"/>
      <c r="M111" s="51">
        <v>6847</v>
      </c>
      <c r="N111" s="51">
        <v>85</v>
      </c>
      <c r="O111" s="52"/>
      <c r="P111" s="51">
        <v>142</v>
      </c>
      <c r="Q111" s="5" t="s">
        <v>110</v>
      </c>
      <c r="R111" s="5">
        <v>434</v>
      </c>
      <c r="S111" s="5">
        <v>-1602</v>
      </c>
      <c r="T111" s="5">
        <v>-4778</v>
      </c>
      <c r="U111" s="5">
        <v>3176</v>
      </c>
      <c r="V111" s="5" t="s">
        <v>12</v>
      </c>
      <c r="W111" s="15">
        <f t="shared" si="18"/>
        <v>3.1760000000000002</v>
      </c>
      <c r="X111" s="2">
        <f t="shared" si="19"/>
        <v>80.552941176470583</v>
      </c>
      <c r="Y111" s="2">
        <f t="shared" si="20"/>
        <v>0.947681660899654</v>
      </c>
      <c r="Z111" s="2">
        <f t="shared" si="21"/>
        <v>1.0984651891149388</v>
      </c>
      <c r="AA111" s="2">
        <f t="shared" si="22"/>
        <v>31826.203339913183</v>
      </c>
      <c r="AB111" s="2">
        <f t="shared" si="23"/>
        <v>3.7364705882352946E-2</v>
      </c>
      <c r="AC111" s="2">
        <f t="shared" si="17"/>
        <v>2.1398444928281872</v>
      </c>
      <c r="AD111" s="2">
        <v>119.456080876656</v>
      </c>
      <c r="AE111" s="2">
        <f t="shared" si="24"/>
        <v>26.763224181360201</v>
      </c>
    </row>
    <row r="112" spans="1:31" x14ac:dyDescent="0.2">
      <c r="A112" t="s">
        <v>48</v>
      </c>
      <c r="B112" s="4" t="s">
        <v>48</v>
      </c>
      <c r="C112" s="5" t="s">
        <v>444</v>
      </c>
      <c r="D112" s="39" t="s">
        <v>435</v>
      </c>
      <c r="E112" s="16"/>
      <c r="F112" s="15"/>
      <c r="G112" s="16" t="s">
        <v>139</v>
      </c>
      <c r="H112" s="16" t="s">
        <v>420</v>
      </c>
      <c r="I112" s="18" t="s">
        <v>459</v>
      </c>
      <c r="J112" s="24">
        <v>0.2</v>
      </c>
      <c r="K112" s="18"/>
      <c r="L112" s="20"/>
      <c r="M112" s="1">
        <v>3538</v>
      </c>
      <c r="N112" s="1">
        <v>103</v>
      </c>
      <c r="O112" s="52"/>
      <c r="P112" s="1">
        <v>53</v>
      </c>
      <c r="Q112" t="s">
        <v>44</v>
      </c>
      <c r="R112">
        <v>267</v>
      </c>
      <c r="S112">
        <v>913</v>
      </c>
      <c r="T112">
        <v>-2891</v>
      </c>
      <c r="U112">
        <v>3804</v>
      </c>
      <c r="V112" t="s">
        <v>12</v>
      </c>
      <c r="W112" s="15">
        <f t="shared" si="18"/>
        <v>3.8039999999999998</v>
      </c>
      <c r="X112" s="2">
        <f t="shared" si="19"/>
        <v>34.349514563106794</v>
      </c>
      <c r="Y112" s="2">
        <f t="shared" si="20"/>
        <v>0.33349043265152228</v>
      </c>
      <c r="Z112" s="2">
        <f t="shared" si="21"/>
        <v>0.65162351743896862</v>
      </c>
      <c r="AA112" s="2">
        <f t="shared" si="22"/>
        <v>14074.56935316719</v>
      </c>
      <c r="AB112" s="2">
        <f t="shared" si="23"/>
        <v>3.6932038834951456E-2</v>
      </c>
      <c r="AC112" s="2">
        <f t="shared" si="17"/>
        <v>2.1150886605491435</v>
      </c>
      <c r="AD112" s="2">
        <v>120.456080876656</v>
      </c>
      <c r="AE112" s="2">
        <f t="shared" si="24"/>
        <v>27.076761303890642</v>
      </c>
    </row>
    <row r="113" spans="1:31" x14ac:dyDescent="0.2">
      <c r="A113" t="s">
        <v>45</v>
      </c>
      <c r="B113" s="4" t="s">
        <v>221</v>
      </c>
      <c r="C113" s="5" t="s">
        <v>444</v>
      </c>
      <c r="D113" s="39" t="s">
        <v>435</v>
      </c>
      <c r="E113" s="16"/>
      <c r="F113" s="15"/>
      <c r="G113" s="16" t="s">
        <v>158</v>
      </c>
      <c r="H113" s="16" t="s">
        <v>420</v>
      </c>
      <c r="I113" s="18" t="s">
        <v>159</v>
      </c>
      <c r="J113" s="24">
        <f>(0.124+0.129)/2</f>
        <v>0.1265</v>
      </c>
      <c r="K113" s="18" t="s">
        <v>160</v>
      </c>
      <c r="L113" s="20">
        <v>25</v>
      </c>
      <c r="M113" s="1">
        <v>2014</v>
      </c>
      <c r="N113" s="1">
        <v>90</v>
      </c>
      <c r="O113" s="52">
        <f t="shared" si="16"/>
        <v>2.5693161000000005E+18</v>
      </c>
      <c r="P113" s="1">
        <v>35</v>
      </c>
      <c r="Q113" t="s">
        <v>44</v>
      </c>
      <c r="R113">
        <v>212</v>
      </c>
      <c r="S113">
        <v>1263</v>
      </c>
      <c r="T113">
        <v>-2929</v>
      </c>
      <c r="U113">
        <v>4192</v>
      </c>
      <c r="V113" t="s">
        <v>12</v>
      </c>
      <c r="W113" s="15">
        <f t="shared" si="18"/>
        <v>4.1920000000000002</v>
      </c>
      <c r="X113" s="2">
        <f t="shared" si="19"/>
        <v>22.377777777777776</v>
      </c>
      <c r="Y113" s="2">
        <f t="shared" si="20"/>
        <v>0.24864197530864199</v>
      </c>
      <c r="Z113" s="2">
        <f t="shared" si="21"/>
        <v>0.56265513133133438</v>
      </c>
      <c r="AA113" s="2">
        <f t="shared" si="22"/>
        <v>8431.6104567705552</v>
      </c>
      <c r="AB113" s="2">
        <f t="shared" si="23"/>
        <v>4.657777777777778E-2</v>
      </c>
      <c r="AC113" s="2">
        <f t="shared" si="17"/>
        <v>2.6667826813014388</v>
      </c>
      <c r="AD113" s="2">
        <v>121.456080876656</v>
      </c>
      <c r="AE113" s="2">
        <f t="shared" si="24"/>
        <v>21.46946564885496</v>
      </c>
    </row>
    <row r="114" spans="1:31" x14ac:dyDescent="0.2">
      <c r="A114" t="s">
        <v>46</v>
      </c>
      <c r="B114" s="4" t="s">
        <v>221</v>
      </c>
      <c r="C114" s="5" t="s">
        <v>444</v>
      </c>
      <c r="D114" s="39" t="s">
        <v>435</v>
      </c>
      <c r="E114" s="16"/>
      <c r="F114" s="15"/>
      <c r="G114" s="5" t="s">
        <v>161</v>
      </c>
      <c r="H114" s="16" t="s">
        <v>420</v>
      </c>
      <c r="I114" s="7" t="s">
        <v>162</v>
      </c>
      <c r="J114" s="26">
        <v>2.5000000000000001E-2</v>
      </c>
      <c r="K114" s="7">
        <v>13</v>
      </c>
      <c r="L114" s="21">
        <v>13</v>
      </c>
      <c r="M114" s="1">
        <v>852</v>
      </c>
      <c r="N114" s="1">
        <v>69</v>
      </c>
      <c r="O114" s="52">
        <f t="shared" si="16"/>
        <v>1.3175590252500001E+18</v>
      </c>
      <c r="P114" s="1">
        <v>24</v>
      </c>
      <c r="Q114" t="s">
        <v>44</v>
      </c>
      <c r="R114">
        <v>159</v>
      </c>
      <c r="S114">
        <v>1263</v>
      </c>
      <c r="T114">
        <v>-2871</v>
      </c>
      <c r="U114">
        <v>4134</v>
      </c>
      <c r="V114" t="s">
        <v>12</v>
      </c>
      <c r="W114" s="15">
        <f t="shared" si="18"/>
        <v>4.1340000000000003</v>
      </c>
      <c r="X114" s="2">
        <f t="shared" si="19"/>
        <v>12.347826086956522</v>
      </c>
      <c r="Y114" s="2">
        <f t="shared" si="20"/>
        <v>0.17895400126023944</v>
      </c>
      <c r="Z114" s="2">
        <f t="shared" si="21"/>
        <v>0.47733773376798361</v>
      </c>
      <c r="AA114" s="2">
        <f t="shared" si="22"/>
        <v>4113.0298506431873</v>
      </c>
      <c r="AB114" s="2">
        <f t="shared" si="23"/>
        <v>5.9913043478260875E-2</v>
      </c>
      <c r="AC114" s="2">
        <f t="shared" si="17"/>
        <v>3.4286659666897439</v>
      </c>
      <c r="AD114" s="2">
        <v>122.456080876656</v>
      </c>
      <c r="AE114" s="2">
        <f t="shared" si="24"/>
        <v>16.690856313497822</v>
      </c>
    </row>
    <row r="115" spans="1:31" x14ac:dyDescent="0.2">
      <c r="A115" t="s">
        <v>60</v>
      </c>
      <c r="B115" s="4" t="s">
        <v>221</v>
      </c>
      <c r="C115" s="5" t="s">
        <v>444</v>
      </c>
      <c r="D115" s="39" t="s">
        <v>435</v>
      </c>
      <c r="E115" s="16"/>
      <c r="F115" s="15"/>
      <c r="G115" s="5" t="s">
        <v>401</v>
      </c>
      <c r="H115" s="16" t="s">
        <v>420</v>
      </c>
      <c r="I115" s="7" t="s">
        <v>163</v>
      </c>
      <c r="J115" s="26">
        <f>(0.03+0.045)/2</f>
        <v>3.7499999999999999E-2</v>
      </c>
      <c r="K115" s="7">
        <v>2</v>
      </c>
      <c r="L115" s="21">
        <v>2</v>
      </c>
      <c r="M115" s="1">
        <v>23</v>
      </c>
      <c r="N115" s="1">
        <v>13</v>
      </c>
      <c r="O115" s="52">
        <f t="shared" si="16"/>
        <v>2.2064737499999996E+16</v>
      </c>
      <c r="P115" s="1">
        <v>4</v>
      </c>
      <c r="Q115" t="s">
        <v>44</v>
      </c>
      <c r="R115">
        <v>27</v>
      </c>
      <c r="S115">
        <v>-2099</v>
      </c>
      <c r="T115">
        <v>-2549</v>
      </c>
      <c r="U115">
        <v>450</v>
      </c>
      <c r="V115" t="s">
        <v>12</v>
      </c>
      <c r="W115" s="15">
        <f t="shared" si="18"/>
        <v>0.45</v>
      </c>
      <c r="X115" s="2">
        <f t="shared" si="19"/>
        <v>1.7692307692307692</v>
      </c>
      <c r="Y115" s="2">
        <f t="shared" si="20"/>
        <v>0.13609467455621302</v>
      </c>
      <c r="Z115" s="2">
        <f t="shared" si="21"/>
        <v>0.4162704916546528</v>
      </c>
      <c r="AA115" s="2">
        <f t="shared" si="22"/>
        <v>114.75526545095872</v>
      </c>
      <c r="AB115" s="2">
        <f t="shared" si="23"/>
        <v>3.4615384615384617E-2</v>
      </c>
      <c r="AC115" s="2">
        <f t="shared" si="17"/>
        <v>1.9825238610843805</v>
      </c>
      <c r="AD115" s="2">
        <v>123.456080876656</v>
      </c>
      <c r="AE115" s="2">
        <f t="shared" si="24"/>
        <v>28.888888888888889</v>
      </c>
    </row>
    <row r="116" spans="1:31" s="16" customFormat="1" x14ac:dyDescent="0.2">
      <c r="A116" s="16" t="s">
        <v>59</v>
      </c>
      <c r="B116" s="16" t="s">
        <v>222</v>
      </c>
      <c r="C116" s="5" t="s">
        <v>444</v>
      </c>
      <c r="D116" s="39" t="s">
        <v>435</v>
      </c>
      <c r="F116" s="15"/>
      <c r="G116" s="5" t="s">
        <v>402</v>
      </c>
      <c r="H116" s="16" t="s">
        <v>420</v>
      </c>
      <c r="I116" s="10" t="s">
        <v>164</v>
      </c>
      <c r="J116" s="26">
        <v>12.5</v>
      </c>
      <c r="K116" s="7">
        <v>1.8</v>
      </c>
      <c r="L116" s="21">
        <v>1.8</v>
      </c>
      <c r="M116" s="1">
        <v>73</v>
      </c>
      <c r="N116" s="1">
        <v>16</v>
      </c>
      <c r="O116" s="52">
        <f t="shared" si="16"/>
        <v>7.757961705E+16</v>
      </c>
      <c r="P116" s="1">
        <v>10</v>
      </c>
      <c r="Q116" s="16" t="s">
        <v>44</v>
      </c>
      <c r="R116" s="16">
        <v>40</v>
      </c>
      <c r="S116" s="16">
        <v>750</v>
      </c>
      <c r="T116" s="16">
        <v>-1008</v>
      </c>
      <c r="U116" s="16">
        <v>1758</v>
      </c>
      <c r="V116" s="16" t="s">
        <v>12</v>
      </c>
      <c r="W116" s="15">
        <f t="shared" si="18"/>
        <v>1.758</v>
      </c>
      <c r="X116" s="2">
        <f t="shared" si="19"/>
        <v>4.5625</v>
      </c>
      <c r="Y116" s="2">
        <f t="shared" si="20"/>
        <v>0.28515625</v>
      </c>
      <c r="Z116" s="2">
        <f t="shared" si="21"/>
        <v>0.60255474066590131</v>
      </c>
      <c r="AA116" s="2">
        <f t="shared" si="22"/>
        <v>302.87704615569663</v>
      </c>
      <c r="AB116" s="2">
        <f t="shared" si="23"/>
        <v>0.109875</v>
      </c>
      <c r="AC116" s="2">
        <f t="shared" si="17"/>
        <v>6.2702220448748651</v>
      </c>
      <c r="AD116" s="2">
        <v>124.456080876656</v>
      </c>
      <c r="AE116" s="2">
        <f t="shared" si="24"/>
        <v>9.1012514220705345</v>
      </c>
    </row>
    <row r="117" spans="1:31" s="16" customFormat="1" x14ac:dyDescent="0.2">
      <c r="A117" s="16" t="s">
        <v>266</v>
      </c>
      <c r="B117" s="16" t="s">
        <v>222</v>
      </c>
      <c r="C117" s="5" t="s">
        <v>444</v>
      </c>
      <c r="D117" s="39" t="s">
        <v>435</v>
      </c>
      <c r="G117" s="5" t="s">
        <v>402</v>
      </c>
      <c r="H117" s="16" t="s">
        <v>420</v>
      </c>
      <c r="M117" s="1">
        <v>200</v>
      </c>
      <c r="N117" s="1">
        <v>31</v>
      </c>
      <c r="O117" s="52"/>
      <c r="P117" s="1">
        <v>10</v>
      </c>
      <c r="Q117" s="16" t="s">
        <v>44</v>
      </c>
      <c r="R117" s="16">
        <v>73</v>
      </c>
      <c r="S117" s="16">
        <v>-799</v>
      </c>
      <c r="T117" s="16">
        <v>-1063</v>
      </c>
      <c r="U117" s="16">
        <v>264</v>
      </c>
      <c r="V117" s="16" t="s">
        <v>262</v>
      </c>
      <c r="W117" s="15">
        <f t="shared" si="18"/>
        <v>0.26400000000000001</v>
      </c>
      <c r="X117" s="2">
        <f t="shared" si="19"/>
        <v>6.4516129032258061</v>
      </c>
      <c r="Y117" s="2">
        <f t="shared" si="20"/>
        <v>0.20811654526534859</v>
      </c>
      <c r="Z117" s="2">
        <f t="shared" si="21"/>
        <v>0.51476423388941683</v>
      </c>
      <c r="AA117" s="2">
        <f t="shared" si="22"/>
        <v>914.91931826145196</v>
      </c>
      <c r="AB117" s="2">
        <f t="shared" si="23"/>
        <v>8.516129032258065E-3</v>
      </c>
      <c r="AC117" s="2">
        <f t="shared" si="17"/>
        <v>0.48792645603211027</v>
      </c>
      <c r="AD117" s="2">
        <v>125.456080876656</v>
      </c>
      <c r="AE117" s="2">
        <f t="shared" si="24"/>
        <v>117.42424242424242</v>
      </c>
    </row>
    <row r="118" spans="1:31" s="16" customFormat="1" x14ac:dyDescent="0.2">
      <c r="A118" s="16" t="s">
        <v>49</v>
      </c>
      <c r="B118" s="16" t="s">
        <v>222</v>
      </c>
      <c r="C118" s="5" t="s">
        <v>444</v>
      </c>
      <c r="D118" s="39" t="s">
        <v>435</v>
      </c>
      <c r="F118" s="15"/>
      <c r="G118" s="5" t="s">
        <v>402</v>
      </c>
      <c r="H118" s="16" t="s">
        <v>420</v>
      </c>
      <c r="I118" s="11" t="s">
        <v>165</v>
      </c>
      <c r="J118" s="26">
        <v>10</v>
      </c>
      <c r="K118" s="7">
        <v>0.3</v>
      </c>
      <c r="L118" s="21">
        <v>0.3</v>
      </c>
      <c r="M118" s="1">
        <v>77</v>
      </c>
      <c r="N118" s="1">
        <v>14</v>
      </c>
      <c r="O118" s="52">
        <f t="shared" si="16"/>
        <v>1.0929399974999998E+16</v>
      </c>
      <c r="P118" s="1">
        <v>11</v>
      </c>
      <c r="Q118" s="16" t="s">
        <v>44</v>
      </c>
      <c r="R118" s="16">
        <v>40</v>
      </c>
      <c r="S118" s="16">
        <v>593</v>
      </c>
      <c r="T118" s="16">
        <v>-893</v>
      </c>
      <c r="U118" s="16">
        <v>1486</v>
      </c>
      <c r="V118" s="16" t="s">
        <v>12</v>
      </c>
      <c r="W118" s="15">
        <f t="shared" si="18"/>
        <v>1.486</v>
      </c>
      <c r="X118" s="2">
        <f t="shared" si="19"/>
        <v>5.5</v>
      </c>
      <c r="Y118" s="2">
        <f t="shared" si="20"/>
        <v>0.39285714285714285</v>
      </c>
      <c r="Z118" s="2">
        <f t="shared" si="21"/>
        <v>0.70724907343957599</v>
      </c>
      <c r="AA118" s="2">
        <f t="shared" si="22"/>
        <v>311.06438772704274</v>
      </c>
      <c r="AB118" s="2">
        <f t="shared" si="23"/>
        <v>0.10614285714285714</v>
      </c>
      <c r="AC118" s="2">
        <f t="shared" si="17"/>
        <v>6.0588520716758749</v>
      </c>
      <c r="AD118" s="2">
        <v>126.456080876656</v>
      </c>
      <c r="AE118" s="2">
        <f t="shared" si="24"/>
        <v>9.4212651413189779</v>
      </c>
    </row>
    <row r="119" spans="1:31" s="16" customFormat="1" x14ac:dyDescent="0.2">
      <c r="A119" s="16" t="s">
        <v>273</v>
      </c>
      <c r="B119" s="16" t="s">
        <v>222</v>
      </c>
      <c r="C119" s="5" t="s">
        <v>444</v>
      </c>
      <c r="D119" s="39" t="s">
        <v>435</v>
      </c>
      <c r="G119" s="5" t="s">
        <v>402</v>
      </c>
      <c r="H119" s="16" t="s">
        <v>420</v>
      </c>
      <c r="M119" s="1">
        <v>74</v>
      </c>
      <c r="N119" s="1">
        <v>12</v>
      </c>
      <c r="O119" s="52"/>
      <c r="P119" s="1">
        <v>11</v>
      </c>
      <c r="Q119" s="16" t="s">
        <v>44</v>
      </c>
      <c r="R119" s="16">
        <v>38</v>
      </c>
      <c r="S119" s="16">
        <v>-213</v>
      </c>
      <c r="T119" s="16">
        <v>-937</v>
      </c>
      <c r="U119" s="16">
        <v>724</v>
      </c>
      <c r="V119" s="16" t="s">
        <v>262</v>
      </c>
      <c r="W119" s="15">
        <f t="shared" si="18"/>
        <v>0.72399999999999998</v>
      </c>
      <c r="X119" s="2">
        <f t="shared" si="19"/>
        <v>6.166666666666667</v>
      </c>
      <c r="Y119" s="2">
        <f t="shared" si="20"/>
        <v>0.51388888888888884</v>
      </c>
      <c r="Z119" s="2">
        <f t="shared" si="21"/>
        <v>0.80889038674205527</v>
      </c>
      <c r="AA119" s="2">
        <f t="shared" si="22"/>
        <v>289.69726575333772</v>
      </c>
      <c r="AB119" s="2">
        <f t="shared" si="23"/>
        <v>6.0333333333333329E-2</v>
      </c>
      <c r="AC119" s="2">
        <f t="shared" si="17"/>
        <v>3.4526600673874164</v>
      </c>
      <c r="AD119" s="2">
        <v>127.456080876656</v>
      </c>
      <c r="AE119" s="2">
        <f t="shared" si="24"/>
        <v>16.574585635359117</v>
      </c>
    </row>
    <row r="120" spans="1:31" s="16" customFormat="1" x14ac:dyDescent="0.2">
      <c r="A120" s="16" t="s">
        <v>278</v>
      </c>
      <c r="B120" s="16" t="s">
        <v>222</v>
      </c>
      <c r="C120" s="5" t="s">
        <v>444</v>
      </c>
      <c r="D120" s="39" t="s">
        <v>435</v>
      </c>
      <c r="G120" s="5" t="s">
        <v>402</v>
      </c>
      <c r="H120" s="16" t="s">
        <v>420</v>
      </c>
      <c r="M120" s="1">
        <v>19</v>
      </c>
      <c r="N120" s="1">
        <v>11</v>
      </c>
      <c r="O120" s="52"/>
      <c r="P120" s="1">
        <v>3</v>
      </c>
      <c r="Q120" s="16" t="s">
        <v>44</v>
      </c>
      <c r="R120" s="16">
        <v>25</v>
      </c>
      <c r="S120" s="16">
        <v>4</v>
      </c>
      <c r="T120" s="16">
        <v>-870</v>
      </c>
      <c r="U120" s="16">
        <v>874</v>
      </c>
      <c r="V120" s="16" t="s">
        <v>262</v>
      </c>
      <c r="W120" s="15">
        <f t="shared" si="18"/>
        <v>0.874</v>
      </c>
      <c r="X120" s="2">
        <f t="shared" si="19"/>
        <v>1.7272727272727273</v>
      </c>
      <c r="Y120" s="2">
        <f t="shared" si="20"/>
        <v>0.15702479338842976</v>
      </c>
      <c r="Z120" s="2">
        <f t="shared" si="21"/>
        <v>0.44713552454582312</v>
      </c>
      <c r="AA120" s="2">
        <f t="shared" si="22"/>
        <v>96.57434001845418</v>
      </c>
      <c r="AB120" s="2">
        <f t="shared" si="23"/>
        <v>7.9454545454545458E-2</v>
      </c>
      <c r="AC120" s="2">
        <f t="shared" si="17"/>
        <v>4.5428664154743013</v>
      </c>
      <c r="AD120" s="2">
        <v>128.45608087665599</v>
      </c>
      <c r="AE120" s="2">
        <f t="shared" si="24"/>
        <v>12.585812356979405</v>
      </c>
    </row>
    <row r="121" spans="1:31" s="16" customFormat="1" x14ac:dyDescent="0.2">
      <c r="A121" s="16" t="s">
        <v>271</v>
      </c>
      <c r="B121" s="16" t="s">
        <v>222</v>
      </c>
      <c r="C121" s="5" t="s">
        <v>444</v>
      </c>
      <c r="D121" s="39" t="s">
        <v>435</v>
      </c>
      <c r="G121" s="5" t="s">
        <v>402</v>
      </c>
      <c r="H121" s="16" t="s">
        <v>420</v>
      </c>
      <c r="M121" s="1">
        <v>294</v>
      </c>
      <c r="N121" s="1">
        <v>31</v>
      </c>
      <c r="O121" s="52"/>
      <c r="P121" s="1">
        <v>18</v>
      </c>
      <c r="Q121" s="16" t="s">
        <v>44</v>
      </c>
      <c r="R121" s="16">
        <v>86</v>
      </c>
      <c r="S121" s="16">
        <v>-701</v>
      </c>
      <c r="T121" s="16">
        <v>-1218</v>
      </c>
      <c r="U121" s="16">
        <v>517</v>
      </c>
      <c r="V121" s="16" t="s">
        <v>262</v>
      </c>
      <c r="W121" s="15">
        <f t="shared" si="18"/>
        <v>0.51700000000000002</v>
      </c>
      <c r="X121" s="2">
        <f t="shared" si="19"/>
        <v>9.4838709677419359</v>
      </c>
      <c r="Y121" s="2">
        <f t="shared" si="20"/>
        <v>0.30593132154006242</v>
      </c>
      <c r="Z121" s="2">
        <f t="shared" si="21"/>
        <v>0.62411846491101719</v>
      </c>
      <c r="AA121" s="2">
        <f t="shared" si="22"/>
        <v>1306.8238629057246</v>
      </c>
      <c r="AB121" s="2">
        <f t="shared" si="23"/>
        <v>1.6677419354838709E-2</v>
      </c>
      <c r="AC121" s="2">
        <f t="shared" si="17"/>
        <v>0.95545716632567212</v>
      </c>
      <c r="AD121" s="2">
        <v>129.45608087665599</v>
      </c>
      <c r="AE121" s="2">
        <f t="shared" si="24"/>
        <v>59.961315280464213</v>
      </c>
    </row>
    <row r="122" spans="1:31" s="16" customFormat="1" x14ac:dyDescent="0.2">
      <c r="A122" s="16" t="s">
        <v>265</v>
      </c>
      <c r="B122" s="16" t="s">
        <v>222</v>
      </c>
      <c r="C122" s="5" t="s">
        <v>444</v>
      </c>
      <c r="D122" s="39" t="s">
        <v>435</v>
      </c>
      <c r="G122" s="5" t="s">
        <v>402</v>
      </c>
      <c r="H122" s="16" t="s">
        <v>420</v>
      </c>
      <c r="M122" s="1">
        <v>24</v>
      </c>
      <c r="N122" s="1">
        <v>7</v>
      </c>
      <c r="O122" s="52"/>
      <c r="P122" s="1">
        <v>4</v>
      </c>
      <c r="Q122" s="16" t="s">
        <v>44</v>
      </c>
      <c r="R122" s="16">
        <v>19</v>
      </c>
      <c r="S122" s="16">
        <v>-860</v>
      </c>
      <c r="T122" s="16">
        <v>-932</v>
      </c>
      <c r="U122" s="16">
        <v>72</v>
      </c>
      <c r="V122" s="16" t="s">
        <v>262</v>
      </c>
      <c r="W122" s="15">
        <f t="shared" si="18"/>
        <v>7.1999999999999995E-2</v>
      </c>
      <c r="X122" s="2">
        <f t="shared" si="19"/>
        <v>3.4285714285714284</v>
      </c>
      <c r="Y122" s="2">
        <f t="shared" si="20"/>
        <v>0.48979591836734693</v>
      </c>
      <c r="Z122" s="2">
        <f t="shared" si="21"/>
        <v>0.78970091478536886</v>
      </c>
      <c r="AA122" s="2">
        <f t="shared" si="22"/>
        <v>82.490542841225135</v>
      </c>
      <c r="AB122" s="2">
        <f t="shared" si="23"/>
        <v>1.0285714285714285E-2</v>
      </c>
      <c r="AC122" s="2">
        <f t="shared" si="17"/>
        <v>0.58930723633503446</v>
      </c>
      <c r="AD122" s="2">
        <v>130.45608087665599</v>
      </c>
      <c r="AE122" s="2">
        <f t="shared" si="24"/>
        <v>97.222222222222229</v>
      </c>
    </row>
    <row r="123" spans="1:31" s="16" customFormat="1" x14ac:dyDescent="0.2">
      <c r="A123" s="16" t="s">
        <v>43</v>
      </c>
      <c r="B123" s="16" t="s">
        <v>43</v>
      </c>
      <c r="C123" s="5" t="s">
        <v>444</v>
      </c>
      <c r="D123" s="39" t="s">
        <v>435</v>
      </c>
      <c r="F123" s="15"/>
      <c r="G123" s="5" t="s">
        <v>139</v>
      </c>
      <c r="H123" s="16" t="s">
        <v>420</v>
      </c>
      <c r="I123" s="18" t="s">
        <v>459</v>
      </c>
      <c r="J123" s="26">
        <v>0.2</v>
      </c>
      <c r="K123" s="7"/>
      <c r="L123" s="21"/>
      <c r="M123" s="1">
        <v>2311</v>
      </c>
      <c r="N123" s="1">
        <v>75</v>
      </c>
      <c r="O123" s="52"/>
      <c r="P123" s="1">
        <v>58</v>
      </c>
      <c r="Q123" s="16" t="s">
        <v>44</v>
      </c>
      <c r="R123" s="16">
        <v>220</v>
      </c>
      <c r="S123" s="16">
        <v>572</v>
      </c>
      <c r="T123" s="16">
        <v>-2979</v>
      </c>
      <c r="U123" s="16">
        <v>3551</v>
      </c>
      <c r="V123" s="16" t="s">
        <v>12</v>
      </c>
      <c r="W123" s="15">
        <f t="shared" si="18"/>
        <v>3.5510000000000002</v>
      </c>
      <c r="X123" s="2">
        <f t="shared" si="19"/>
        <v>30.813333333333333</v>
      </c>
      <c r="Y123" s="2">
        <f t="shared" si="20"/>
        <v>0.41084444444444446</v>
      </c>
      <c r="Z123" s="2">
        <f t="shared" si="21"/>
        <v>0.72325887181854742</v>
      </c>
      <c r="AA123" s="2">
        <f t="shared" si="22"/>
        <v>9372.7620876443889</v>
      </c>
      <c r="AB123" s="2">
        <f t="shared" si="23"/>
        <v>4.7346666666666669E-2</v>
      </c>
      <c r="AC123" s="2">
        <f t="shared" si="17"/>
        <v>2.7107398221126573</v>
      </c>
      <c r="AD123" s="2">
        <v>131.45608087665599</v>
      </c>
      <c r="AE123" s="2">
        <f t="shared" si="24"/>
        <v>21.120811039143902</v>
      </c>
    </row>
    <row r="124" spans="1:31" s="16" customFormat="1" x14ac:dyDescent="0.2">
      <c r="A124" s="16" t="s">
        <v>47</v>
      </c>
      <c r="B124" s="16" t="s">
        <v>47</v>
      </c>
      <c r="C124" s="5" t="s">
        <v>444</v>
      </c>
      <c r="D124" s="39" t="s">
        <v>435</v>
      </c>
      <c r="F124" s="15"/>
      <c r="G124" s="5" t="s">
        <v>139</v>
      </c>
      <c r="H124" s="16" t="s">
        <v>420</v>
      </c>
      <c r="I124" s="7"/>
      <c r="J124" s="26"/>
      <c r="K124" s="7"/>
      <c r="L124" s="21"/>
      <c r="M124" s="1">
        <v>880</v>
      </c>
      <c r="N124" s="1">
        <v>54</v>
      </c>
      <c r="O124" s="52"/>
      <c r="P124" s="1">
        <v>42</v>
      </c>
      <c r="Q124" s="16" t="s">
        <v>44</v>
      </c>
      <c r="R124" s="16">
        <v>148</v>
      </c>
      <c r="S124" s="16">
        <v>23</v>
      </c>
      <c r="T124" s="16">
        <v>-2964</v>
      </c>
      <c r="U124" s="16">
        <v>2987</v>
      </c>
      <c r="V124" s="16" t="s">
        <v>12</v>
      </c>
      <c r="W124" s="15">
        <f t="shared" si="18"/>
        <v>2.9870000000000001</v>
      </c>
      <c r="X124" s="2">
        <f t="shared" si="19"/>
        <v>16.296296296296298</v>
      </c>
      <c r="Y124" s="2">
        <f t="shared" si="20"/>
        <v>0.30178326474622769</v>
      </c>
      <c r="Z124" s="2">
        <f t="shared" si="21"/>
        <v>0.61987288073952751</v>
      </c>
      <c r="AA124" s="2">
        <f t="shared" si="22"/>
        <v>3890.8813835740611</v>
      </c>
      <c r="AB124" s="2">
        <f t="shared" si="23"/>
        <v>5.5314814814814817E-2</v>
      </c>
      <c r="AC124" s="2">
        <f t="shared" si="17"/>
        <v>3.1660789496961854</v>
      </c>
      <c r="AD124" s="2">
        <v>132.45608087665599</v>
      </c>
      <c r="AE124" s="2">
        <f t="shared" si="24"/>
        <v>18.078339471041179</v>
      </c>
    </row>
    <row r="125" spans="1:31" s="16" customFormat="1" x14ac:dyDescent="0.2">
      <c r="A125" s="16" t="s">
        <v>55</v>
      </c>
      <c r="B125" s="16" t="s">
        <v>225</v>
      </c>
      <c r="C125" s="5" t="s">
        <v>444</v>
      </c>
      <c r="D125" s="39" t="s">
        <v>223</v>
      </c>
      <c r="F125" s="15"/>
      <c r="G125" s="5" t="s">
        <v>388</v>
      </c>
      <c r="H125" s="5" t="s">
        <v>412</v>
      </c>
      <c r="I125" s="7"/>
      <c r="J125" s="26"/>
      <c r="K125" s="7"/>
      <c r="L125" s="21"/>
      <c r="M125" s="1">
        <v>1148</v>
      </c>
      <c r="N125" s="1">
        <v>59</v>
      </c>
      <c r="O125" s="52"/>
      <c r="P125" s="1">
        <v>29</v>
      </c>
      <c r="Q125" s="16" t="s">
        <v>51</v>
      </c>
      <c r="R125" s="16">
        <v>150</v>
      </c>
      <c r="S125" s="16">
        <v>-83</v>
      </c>
      <c r="T125" s="16">
        <v>-4305</v>
      </c>
      <c r="U125" s="16">
        <v>4222</v>
      </c>
      <c r="V125" s="16" t="s">
        <v>12</v>
      </c>
      <c r="W125" s="15">
        <f t="shared" si="18"/>
        <v>4.2220000000000004</v>
      </c>
      <c r="X125" s="2">
        <f t="shared" si="19"/>
        <v>19.457627118644069</v>
      </c>
      <c r="Y125" s="2">
        <f t="shared" si="20"/>
        <v>0.32979029014650962</v>
      </c>
      <c r="Z125" s="2">
        <f t="shared" si="21"/>
        <v>0.64799848819315697</v>
      </c>
      <c r="AA125" s="2">
        <f t="shared" si="22"/>
        <v>4504.0908597407315</v>
      </c>
      <c r="AB125" s="2">
        <f t="shared" si="23"/>
        <v>7.1559322033898309E-2</v>
      </c>
      <c r="AC125" s="2">
        <f t="shared" si="17"/>
        <v>4.0930701408259607</v>
      </c>
      <c r="AD125" s="2">
        <v>133.45608087665599</v>
      </c>
      <c r="AE125" s="2">
        <f t="shared" si="24"/>
        <v>13.974419706300329</v>
      </c>
    </row>
    <row r="126" spans="1:31" s="16" customFormat="1" x14ac:dyDescent="0.2">
      <c r="A126" s="16" t="s">
        <v>304</v>
      </c>
      <c r="B126" s="16" t="s">
        <v>225</v>
      </c>
      <c r="C126" s="5" t="s">
        <v>444</v>
      </c>
      <c r="D126" s="39" t="s">
        <v>223</v>
      </c>
      <c r="G126" s="5" t="s">
        <v>388</v>
      </c>
      <c r="H126" s="5" t="s">
        <v>412</v>
      </c>
      <c r="M126" s="1">
        <v>253</v>
      </c>
      <c r="N126" s="1">
        <v>25</v>
      </c>
      <c r="O126" s="52"/>
      <c r="P126" s="1">
        <v>22</v>
      </c>
      <c r="Q126" s="16" t="s">
        <v>51</v>
      </c>
      <c r="R126" s="16">
        <v>88</v>
      </c>
      <c r="S126" s="16">
        <v>-190</v>
      </c>
      <c r="T126" s="16">
        <v>-3678</v>
      </c>
      <c r="U126" s="16">
        <v>3488</v>
      </c>
      <c r="V126" s="16" t="s">
        <v>262</v>
      </c>
      <c r="W126" s="15">
        <f t="shared" si="18"/>
        <v>3.488</v>
      </c>
      <c r="X126" s="2">
        <f t="shared" si="19"/>
        <v>10.119999999999999</v>
      </c>
      <c r="Y126" s="2">
        <f t="shared" si="20"/>
        <v>0.40479999999999999</v>
      </c>
      <c r="Z126" s="2">
        <f t="shared" si="21"/>
        <v>0.71791877669993098</v>
      </c>
      <c r="AA126" s="2">
        <f t="shared" si="22"/>
        <v>1240.4745897490684</v>
      </c>
      <c r="AB126" s="2">
        <f t="shared" si="23"/>
        <v>0.13952000000000001</v>
      </c>
      <c r="AC126" s="2">
        <f t="shared" si="17"/>
        <v>7.9426353209011769</v>
      </c>
      <c r="AD126" s="2">
        <v>134.45608087665599</v>
      </c>
      <c r="AE126" s="2">
        <f t="shared" si="24"/>
        <v>7.1674311926605503</v>
      </c>
    </row>
    <row r="127" spans="1:31" s="16" customFormat="1" x14ac:dyDescent="0.2">
      <c r="A127" s="16" t="s">
        <v>53</v>
      </c>
      <c r="B127" s="16" t="s">
        <v>223</v>
      </c>
      <c r="C127" s="5" t="s">
        <v>444</v>
      </c>
      <c r="D127" s="39" t="s">
        <v>223</v>
      </c>
      <c r="F127" s="15"/>
      <c r="G127" s="5" t="s">
        <v>388</v>
      </c>
      <c r="H127" s="5" t="s">
        <v>412</v>
      </c>
      <c r="I127" s="7"/>
      <c r="J127" s="26"/>
      <c r="K127" s="7"/>
      <c r="L127" s="21"/>
      <c r="M127" s="1">
        <v>605</v>
      </c>
      <c r="N127" s="1">
        <v>35</v>
      </c>
      <c r="O127" s="52"/>
      <c r="P127" s="1">
        <v>26</v>
      </c>
      <c r="Q127" s="16" t="s">
        <v>51</v>
      </c>
      <c r="R127" s="16">
        <v>97</v>
      </c>
      <c r="S127" s="16">
        <v>-154</v>
      </c>
      <c r="T127" s="16">
        <v>-2531</v>
      </c>
      <c r="U127" s="16">
        <v>2377</v>
      </c>
      <c r="V127" s="16" t="s">
        <v>12</v>
      </c>
      <c r="W127" s="15">
        <f t="shared" si="18"/>
        <v>2.3769999999999998</v>
      </c>
      <c r="X127" s="2">
        <f t="shared" si="19"/>
        <v>17.285714285714285</v>
      </c>
      <c r="Y127" s="2">
        <f t="shared" si="20"/>
        <v>0.49387755102040815</v>
      </c>
      <c r="Z127" s="2">
        <f t="shared" si="21"/>
        <v>0.7929845086357542</v>
      </c>
      <c r="AA127" s="2">
        <f t="shared" si="22"/>
        <v>2114.4351086995316</v>
      </c>
      <c r="AB127" s="2">
        <f t="shared" si="23"/>
        <v>6.7914285714285705E-2</v>
      </c>
      <c r="AC127" s="2">
        <f t="shared" si="17"/>
        <v>3.885235913147401</v>
      </c>
      <c r="AD127" s="2">
        <v>135.45608087665499</v>
      </c>
      <c r="AE127" s="2">
        <f t="shared" si="24"/>
        <v>14.72444257467396</v>
      </c>
    </row>
    <row r="128" spans="1:31" s="16" customFormat="1" x14ac:dyDescent="0.2">
      <c r="A128" s="16" t="s">
        <v>52</v>
      </c>
      <c r="B128" s="16" t="s">
        <v>223</v>
      </c>
      <c r="C128" s="5" t="s">
        <v>444</v>
      </c>
      <c r="D128" s="39" t="s">
        <v>223</v>
      </c>
      <c r="F128" s="15"/>
      <c r="G128" s="5" t="s">
        <v>388</v>
      </c>
      <c r="H128" s="5" t="s">
        <v>412</v>
      </c>
      <c r="I128" s="7"/>
      <c r="J128" s="26"/>
      <c r="K128" s="7"/>
      <c r="L128" s="21"/>
      <c r="M128" s="1">
        <v>790</v>
      </c>
      <c r="N128" s="1">
        <v>53</v>
      </c>
      <c r="O128" s="52"/>
      <c r="P128" s="1">
        <v>21</v>
      </c>
      <c r="Q128" s="16" t="s">
        <v>51</v>
      </c>
      <c r="R128" s="16">
        <v>123</v>
      </c>
      <c r="S128" s="16">
        <v>-133</v>
      </c>
      <c r="T128" s="16">
        <v>-3723</v>
      </c>
      <c r="U128" s="16">
        <v>3590</v>
      </c>
      <c r="V128" s="16" t="s">
        <v>12</v>
      </c>
      <c r="W128" s="15">
        <f t="shared" si="18"/>
        <v>3.59</v>
      </c>
      <c r="X128" s="2">
        <f t="shared" si="19"/>
        <v>14.90566037735849</v>
      </c>
      <c r="Y128" s="2">
        <f t="shared" si="20"/>
        <v>0.28123887504449985</v>
      </c>
      <c r="Z128" s="2">
        <f t="shared" si="21"/>
        <v>0.59840158653907127</v>
      </c>
      <c r="AA128" s="2">
        <f t="shared" si="22"/>
        <v>3063.8224691528067</v>
      </c>
      <c r="AB128" s="2">
        <f t="shared" si="23"/>
        <v>6.7735849056603764E-2</v>
      </c>
      <c r="AC128" s="2">
        <f t="shared" si="17"/>
        <v>3.8750590617348717</v>
      </c>
      <c r="AD128" s="2">
        <v>136.45608087665499</v>
      </c>
      <c r="AE128" s="2">
        <f t="shared" si="24"/>
        <v>14.763231197771589</v>
      </c>
    </row>
    <row r="129" spans="1:31" s="16" customFormat="1" x14ac:dyDescent="0.2">
      <c r="A129" s="16" t="s">
        <v>50</v>
      </c>
      <c r="B129" s="16" t="s">
        <v>223</v>
      </c>
      <c r="C129" s="5" t="s">
        <v>444</v>
      </c>
      <c r="D129" s="39" t="s">
        <v>223</v>
      </c>
      <c r="F129" s="15"/>
      <c r="G129" s="5" t="s">
        <v>388</v>
      </c>
      <c r="H129" s="5" t="s">
        <v>412</v>
      </c>
      <c r="I129" s="7"/>
      <c r="J129" s="26"/>
      <c r="K129" s="7"/>
      <c r="L129" s="21"/>
      <c r="M129" s="1">
        <v>1898</v>
      </c>
      <c r="N129" s="1">
        <v>90</v>
      </c>
      <c r="O129" s="52"/>
      <c r="P129" s="1">
        <v>34</v>
      </c>
      <c r="Q129" s="16" t="s">
        <v>51</v>
      </c>
      <c r="R129" s="16">
        <v>210</v>
      </c>
      <c r="S129" s="16">
        <v>-84</v>
      </c>
      <c r="T129" s="16">
        <v>-4014</v>
      </c>
      <c r="U129" s="16">
        <v>3930</v>
      </c>
      <c r="V129" s="16" t="s">
        <v>12</v>
      </c>
      <c r="W129" s="15">
        <f t="shared" si="18"/>
        <v>3.93</v>
      </c>
      <c r="X129" s="2">
        <f t="shared" si="19"/>
        <v>21.088888888888889</v>
      </c>
      <c r="Y129" s="2">
        <f t="shared" si="20"/>
        <v>0.23432098765432099</v>
      </c>
      <c r="Z129" s="2">
        <f t="shared" si="21"/>
        <v>0.54621126767347028</v>
      </c>
      <c r="AA129" s="2">
        <f t="shared" si="22"/>
        <v>8107.9738349780091</v>
      </c>
      <c r="AB129" s="2">
        <f t="shared" si="23"/>
        <v>4.3666666666666666E-2</v>
      </c>
      <c r="AC129" s="2">
        <f t="shared" si="17"/>
        <v>2.50032732313454</v>
      </c>
      <c r="AD129" s="2">
        <v>137.45608087665499</v>
      </c>
      <c r="AE129" s="2">
        <f t="shared" si="24"/>
        <v>22.900763358778626</v>
      </c>
    </row>
    <row r="130" spans="1:31" s="16" customFormat="1" x14ac:dyDescent="0.2">
      <c r="A130" s="16" t="s">
        <v>54</v>
      </c>
      <c r="B130" s="14" t="s">
        <v>223</v>
      </c>
      <c r="C130" s="5" t="s">
        <v>444</v>
      </c>
      <c r="D130" s="49" t="s">
        <v>223</v>
      </c>
      <c r="F130" s="15"/>
      <c r="G130" s="5" t="s">
        <v>388</v>
      </c>
      <c r="H130" s="5" t="s">
        <v>412</v>
      </c>
      <c r="I130" s="7"/>
      <c r="J130" s="26"/>
      <c r="K130" s="7"/>
      <c r="L130" s="21"/>
      <c r="M130" s="1">
        <v>5530</v>
      </c>
      <c r="N130" s="1">
        <v>134</v>
      </c>
      <c r="O130" s="52"/>
      <c r="P130" s="1">
        <v>56</v>
      </c>
      <c r="Q130" s="16" t="s">
        <v>51</v>
      </c>
      <c r="R130" s="16">
        <v>309</v>
      </c>
      <c r="S130" s="16">
        <v>525</v>
      </c>
      <c r="T130" s="16">
        <v>-4423</v>
      </c>
      <c r="U130" s="16">
        <v>4948</v>
      </c>
      <c r="V130" s="16" t="s">
        <v>12</v>
      </c>
      <c r="W130" s="15">
        <f t="shared" si="18"/>
        <v>4.9480000000000004</v>
      </c>
      <c r="X130" s="2">
        <f t="shared" si="19"/>
        <v>41.268656716417908</v>
      </c>
      <c r="Y130" s="2">
        <f t="shared" si="20"/>
        <v>0.30797505012252174</v>
      </c>
      <c r="Z130" s="2">
        <f t="shared" si="21"/>
        <v>0.62619966009575068</v>
      </c>
      <c r="AA130" s="2">
        <f t="shared" si="22"/>
        <v>20364.135814802667</v>
      </c>
      <c r="AB130" s="2">
        <f t="shared" si="23"/>
        <v>3.6925373134328358E-2</v>
      </c>
      <c r="AC130" s="2">
        <f t="shared" si="17"/>
        <v>2.1147072641573876</v>
      </c>
      <c r="AD130" s="2">
        <v>138.45608087665499</v>
      </c>
      <c r="AE130" s="2">
        <f t="shared" si="24"/>
        <v>27.08164915117219</v>
      </c>
    </row>
    <row r="131" spans="1:31" s="16" customFormat="1" x14ac:dyDescent="0.2">
      <c r="A131" s="16" t="s">
        <v>57</v>
      </c>
      <c r="B131" s="16" t="s">
        <v>224</v>
      </c>
      <c r="C131" s="5" t="s">
        <v>444</v>
      </c>
      <c r="D131" s="39" t="s">
        <v>223</v>
      </c>
      <c r="F131" s="15"/>
      <c r="G131" s="5" t="s">
        <v>388</v>
      </c>
      <c r="H131" s="5" t="s">
        <v>412</v>
      </c>
      <c r="I131" s="7"/>
      <c r="J131" s="26"/>
      <c r="K131" s="7"/>
      <c r="L131" s="21"/>
      <c r="M131" s="1">
        <v>1013</v>
      </c>
      <c r="N131" s="1">
        <v>52</v>
      </c>
      <c r="O131" s="52"/>
      <c r="P131" s="1">
        <v>39</v>
      </c>
      <c r="Q131" s="16" t="s">
        <v>51</v>
      </c>
      <c r="R131" s="16">
        <v>143</v>
      </c>
      <c r="S131" s="16">
        <v>-40</v>
      </c>
      <c r="T131" s="16">
        <v>-3660</v>
      </c>
      <c r="U131" s="16">
        <v>3620</v>
      </c>
      <c r="V131" s="16" t="s">
        <v>12</v>
      </c>
      <c r="W131" s="15">
        <f t="shared" si="18"/>
        <v>3.62</v>
      </c>
      <c r="X131" s="2">
        <f t="shared" si="19"/>
        <v>19.48076923076923</v>
      </c>
      <c r="Y131" s="2">
        <f t="shared" si="20"/>
        <v>0.37463017751479288</v>
      </c>
      <c r="Z131" s="2">
        <f t="shared" si="21"/>
        <v>0.69064749237679279</v>
      </c>
      <c r="AA131" s="2">
        <f t="shared" si="22"/>
        <v>4033.5337936479368</v>
      </c>
      <c r="AB131" s="2">
        <f t="shared" si="23"/>
        <v>6.9615384615384621E-2</v>
      </c>
      <c r="AC131" s="2">
        <f t="shared" si="17"/>
        <v>3.9822429699456934</v>
      </c>
      <c r="AD131" s="2">
        <v>139.45608087665499</v>
      </c>
      <c r="AE131" s="2">
        <f t="shared" si="24"/>
        <v>14.3646408839779</v>
      </c>
    </row>
    <row r="132" spans="1:31" s="16" customFormat="1" x14ac:dyDescent="0.2">
      <c r="A132" s="16" t="s">
        <v>56</v>
      </c>
      <c r="B132" s="16" t="s">
        <v>224</v>
      </c>
      <c r="C132" s="5" t="s">
        <v>444</v>
      </c>
      <c r="D132" s="39" t="s">
        <v>223</v>
      </c>
      <c r="F132" s="15"/>
      <c r="G132" s="5" t="s">
        <v>388</v>
      </c>
      <c r="H132" s="5" t="s">
        <v>412</v>
      </c>
      <c r="I132" s="7"/>
      <c r="J132" s="26"/>
      <c r="K132" s="7"/>
      <c r="L132" s="21"/>
      <c r="M132" s="1">
        <v>802</v>
      </c>
      <c r="N132" s="1">
        <v>62</v>
      </c>
      <c r="O132" s="52"/>
      <c r="P132" s="1">
        <v>18</v>
      </c>
      <c r="Q132" s="16" t="s">
        <v>51</v>
      </c>
      <c r="R132" s="16">
        <v>137</v>
      </c>
      <c r="S132" s="16">
        <v>-28</v>
      </c>
      <c r="T132" s="16">
        <v>-4077</v>
      </c>
      <c r="U132" s="16">
        <v>4049</v>
      </c>
      <c r="V132" s="16" t="s">
        <v>12</v>
      </c>
      <c r="W132" s="15">
        <f t="shared" si="18"/>
        <v>4.0490000000000004</v>
      </c>
      <c r="X132" s="2">
        <f t="shared" si="19"/>
        <v>12.935483870967742</v>
      </c>
      <c r="Y132" s="2">
        <f t="shared" si="20"/>
        <v>0.20863683662851196</v>
      </c>
      <c r="Z132" s="2">
        <f t="shared" si="21"/>
        <v>0.51540728752413623</v>
      </c>
      <c r="AA132" s="2">
        <f t="shared" si="22"/>
        <v>3438.3706502007722</v>
      </c>
      <c r="AB132" s="2">
        <f t="shared" si="23"/>
        <v>6.530645161290323E-2</v>
      </c>
      <c r="AC132" s="2">
        <f t="shared" ref="AC132:AC184" si="25">DEGREES(ATAN(AB132))</f>
        <v>3.7364781377885175</v>
      </c>
      <c r="AD132" s="2">
        <v>140.45608087665499</v>
      </c>
      <c r="AE132" s="2">
        <f t="shared" si="24"/>
        <v>15.312422820449493</v>
      </c>
    </row>
    <row r="133" spans="1:31" s="16" customFormat="1" x14ac:dyDescent="0.2">
      <c r="A133" s="16" t="s">
        <v>293</v>
      </c>
      <c r="B133" s="16" t="s">
        <v>226</v>
      </c>
      <c r="C133" s="5" t="s">
        <v>458</v>
      </c>
      <c r="D133" s="39" t="s">
        <v>226</v>
      </c>
      <c r="E133" s="16">
        <v>2.1</v>
      </c>
      <c r="F133" s="15">
        <f t="shared" ref="F133:F172" si="26">2.1</f>
        <v>2.1</v>
      </c>
      <c r="G133" s="5" t="s">
        <v>405</v>
      </c>
      <c r="H133" s="5" t="s">
        <v>426</v>
      </c>
      <c r="I133" s="5" t="s">
        <v>353</v>
      </c>
      <c r="M133" s="1">
        <v>2737</v>
      </c>
      <c r="N133" s="1">
        <v>57</v>
      </c>
      <c r="O133" s="52"/>
      <c r="P133" s="1">
        <v>69</v>
      </c>
      <c r="Q133" s="16" t="s">
        <v>62</v>
      </c>
      <c r="R133" s="16">
        <v>209</v>
      </c>
      <c r="S133" s="16">
        <v>-1446</v>
      </c>
      <c r="T133" s="16">
        <v>-3932</v>
      </c>
      <c r="U133" s="16">
        <v>2486</v>
      </c>
      <c r="V133" s="16" t="s">
        <v>262</v>
      </c>
      <c r="W133" s="15">
        <f t="shared" si="18"/>
        <v>2.4860000000000002</v>
      </c>
      <c r="X133" s="2">
        <f t="shared" si="19"/>
        <v>48.017543859649123</v>
      </c>
      <c r="Y133" s="2">
        <f t="shared" si="20"/>
        <v>0.84241305016928281</v>
      </c>
      <c r="Z133" s="2">
        <f t="shared" si="21"/>
        <v>1.0356609547126348</v>
      </c>
      <c r="AA133" s="2">
        <f t="shared" si="22"/>
        <v>9690.108158467041</v>
      </c>
      <c r="AB133" s="2">
        <f t="shared" si="23"/>
        <v>4.3614035087719299E-2</v>
      </c>
      <c r="AC133" s="2">
        <f t="shared" si="25"/>
        <v>2.4973174879639979</v>
      </c>
      <c r="AD133" s="2">
        <v>141.45608087665499</v>
      </c>
      <c r="AE133" s="2">
        <f t="shared" si="24"/>
        <v>22.928399034593724</v>
      </c>
    </row>
    <row r="134" spans="1:31" s="16" customFormat="1" x14ac:dyDescent="0.2">
      <c r="A134" s="16" t="s">
        <v>65</v>
      </c>
      <c r="B134" s="16" t="s">
        <v>226</v>
      </c>
      <c r="C134" s="5" t="s">
        <v>458</v>
      </c>
      <c r="D134" s="39" t="s">
        <v>226</v>
      </c>
      <c r="E134" s="16">
        <v>2.1</v>
      </c>
      <c r="F134" s="15">
        <f t="shared" si="26"/>
        <v>2.1</v>
      </c>
      <c r="G134" s="5" t="s">
        <v>405</v>
      </c>
      <c r="H134" s="5" t="s">
        <v>426</v>
      </c>
      <c r="I134" s="18" t="s">
        <v>142</v>
      </c>
      <c r="J134" s="24">
        <f>(0.15+0.18)/2</f>
        <v>0.16499999999999998</v>
      </c>
      <c r="K134" s="18" t="s">
        <v>143</v>
      </c>
      <c r="L134" s="20">
        <v>50</v>
      </c>
      <c r="M134" s="1">
        <v>1782</v>
      </c>
      <c r="N134" s="1">
        <v>89</v>
      </c>
      <c r="O134" s="52">
        <f t="shared" ref="O134:O184" si="27">W134*L134*9.80655*1000*1000000000*2500</f>
        <v>7.4713652812499999E+18</v>
      </c>
      <c r="P134" s="1">
        <v>28</v>
      </c>
      <c r="Q134" s="16" t="s">
        <v>62</v>
      </c>
      <c r="R134" s="16">
        <v>292</v>
      </c>
      <c r="S134" s="16">
        <v>2307</v>
      </c>
      <c r="T134" s="16">
        <v>-3788</v>
      </c>
      <c r="U134" s="16">
        <v>6095</v>
      </c>
      <c r="V134" s="16" t="s">
        <v>12</v>
      </c>
      <c r="W134" s="15">
        <f t="shared" si="18"/>
        <v>6.0949999999999998</v>
      </c>
      <c r="X134" s="2">
        <f t="shared" si="19"/>
        <v>20.022471910112358</v>
      </c>
      <c r="Y134" s="2">
        <f t="shared" si="20"/>
        <v>0.22497159449564449</v>
      </c>
      <c r="Z134" s="2">
        <f t="shared" si="21"/>
        <v>0.53520344897343675</v>
      </c>
      <c r="AA134" s="2">
        <f t="shared" si="22"/>
        <v>10923.998731635576</v>
      </c>
      <c r="AB134" s="2">
        <f t="shared" si="23"/>
        <v>6.8483146067415734E-2</v>
      </c>
      <c r="AC134" s="2">
        <f t="shared" si="25"/>
        <v>3.9176783179269132</v>
      </c>
      <c r="AD134" s="2">
        <v>142.45608087665499</v>
      </c>
      <c r="AE134" s="2">
        <f t="shared" si="24"/>
        <v>14.602132895816244</v>
      </c>
    </row>
    <row r="135" spans="1:31" s="16" customFormat="1" x14ac:dyDescent="0.2">
      <c r="A135" s="16" t="s">
        <v>72</v>
      </c>
      <c r="B135" s="16" t="s">
        <v>226</v>
      </c>
      <c r="C135" s="5" t="s">
        <v>458</v>
      </c>
      <c r="D135" s="39" t="s">
        <v>226</v>
      </c>
      <c r="E135" s="16">
        <v>2.1</v>
      </c>
      <c r="F135" s="15">
        <f t="shared" si="26"/>
        <v>2.1</v>
      </c>
      <c r="G135" s="5" t="s">
        <v>405</v>
      </c>
      <c r="H135" s="5" t="s">
        <v>426</v>
      </c>
      <c r="I135" s="18" t="s">
        <v>144</v>
      </c>
      <c r="J135" s="24">
        <f>(0.33+0.4)/2</f>
        <v>0.36499999999999999</v>
      </c>
      <c r="K135" s="18" t="s">
        <v>145</v>
      </c>
      <c r="L135" s="20">
        <v>5</v>
      </c>
      <c r="M135" s="1">
        <v>792</v>
      </c>
      <c r="N135" s="1">
        <v>14</v>
      </c>
      <c r="O135" s="52">
        <f t="shared" si="27"/>
        <v>6.3705800437499994E+17</v>
      </c>
      <c r="P135" s="1">
        <v>15</v>
      </c>
      <c r="Q135" s="16" t="s">
        <v>62</v>
      </c>
      <c r="R135" s="16">
        <v>249</v>
      </c>
      <c r="S135" s="16">
        <v>2270</v>
      </c>
      <c r="T135" s="16">
        <v>-2927</v>
      </c>
      <c r="U135" s="16">
        <v>5197</v>
      </c>
      <c r="V135" s="16" t="s">
        <v>12</v>
      </c>
      <c r="W135" s="15">
        <f t="shared" si="18"/>
        <v>5.1970000000000001</v>
      </c>
      <c r="X135" s="2">
        <f t="shared" si="19"/>
        <v>56.571428571428569</v>
      </c>
      <c r="Y135" s="2">
        <f t="shared" si="20"/>
        <v>4.0408163265306118</v>
      </c>
      <c r="Z135" s="2">
        <f t="shared" si="21"/>
        <v>2.26824318850647</v>
      </c>
      <c r="AA135" s="2">
        <f t="shared" si="22"/>
        <v>6210.2184570257041</v>
      </c>
      <c r="AB135" s="2">
        <f t="shared" si="23"/>
        <v>0.37121428571428572</v>
      </c>
      <c r="AC135" s="2">
        <f t="shared" si="25"/>
        <v>20.365645261207433</v>
      </c>
      <c r="AD135" s="2">
        <v>143.45608087665499</v>
      </c>
      <c r="AE135" s="2">
        <f t="shared" si="24"/>
        <v>2.6938618433711756</v>
      </c>
    </row>
    <row r="136" spans="1:31" s="16" customFormat="1" x14ac:dyDescent="0.2">
      <c r="A136" s="16" t="s">
        <v>73</v>
      </c>
      <c r="B136" s="16" t="s">
        <v>226</v>
      </c>
      <c r="C136" s="5" t="s">
        <v>458</v>
      </c>
      <c r="D136" s="39" t="s">
        <v>226</v>
      </c>
      <c r="E136" s="16">
        <v>2.1</v>
      </c>
      <c r="F136" s="15">
        <f t="shared" si="26"/>
        <v>2.1</v>
      </c>
      <c r="G136" s="5" t="s">
        <v>405</v>
      </c>
      <c r="H136" s="5" t="s">
        <v>426</v>
      </c>
      <c r="I136" s="18" t="s">
        <v>146</v>
      </c>
      <c r="J136" s="24">
        <f>(0.02+0.068)/2</f>
        <v>4.4000000000000004E-2</v>
      </c>
      <c r="K136" s="18" t="s">
        <v>145</v>
      </c>
      <c r="L136" s="20">
        <v>5</v>
      </c>
      <c r="M136" s="1">
        <v>1421</v>
      </c>
      <c r="N136" s="1">
        <v>97</v>
      </c>
      <c r="O136" s="52">
        <f t="shared" si="27"/>
        <v>3.2435164125E+17</v>
      </c>
      <c r="P136" s="1">
        <v>31</v>
      </c>
      <c r="Q136" s="16" t="s">
        <v>62</v>
      </c>
      <c r="R136" s="16">
        <v>255</v>
      </c>
      <c r="S136" s="16">
        <v>-1411</v>
      </c>
      <c r="T136" s="16">
        <v>-4057</v>
      </c>
      <c r="U136" s="16">
        <v>2646</v>
      </c>
      <c r="V136" s="16" t="s">
        <v>12</v>
      </c>
      <c r="W136" s="15">
        <f t="shared" si="18"/>
        <v>2.6459999999999999</v>
      </c>
      <c r="X136" s="2">
        <f t="shared" si="19"/>
        <v>14.649484536082474</v>
      </c>
      <c r="Y136" s="2">
        <f t="shared" si="20"/>
        <v>0.15102561377404614</v>
      </c>
      <c r="Z136" s="2">
        <f t="shared" si="21"/>
        <v>0.43851087165180319</v>
      </c>
      <c r="AA136" s="2">
        <f t="shared" si="22"/>
        <v>8518.8733009731968</v>
      </c>
      <c r="AB136" s="2">
        <f t="shared" si="23"/>
        <v>2.7278350515463918E-2</v>
      </c>
      <c r="AC136" s="2">
        <f t="shared" si="25"/>
        <v>1.562546865403136</v>
      </c>
      <c r="AD136" s="2">
        <v>144.45608087665499</v>
      </c>
      <c r="AE136" s="2">
        <f t="shared" si="24"/>
        <v>36.65910808767952</v>
      </c>
    </row>
    <row r="137" spans="1:31" s="16" customFormat="1" x14ac:dyDescent="0.2">
      <c r="A137" s="16" t="s">
        <v>74</v>
      </c>
      <c r="B137" s="16" t="s">
        <v>226</v>
      </c>
      <c r="C137" s="5" t="s">
        <v>458</v>
      </c>
      <c r="D137" s="39" t="s">
        <v>226</v>
      </c>
      <c r="E137" s="16">
        <v>2.1</v>
      </c>
      <c r="F137" s="15">
        <f t="shared" si="26"/>
        <v>2.1</v>
      </c>
      <c r="G137" s="5" t="s">
        <v>405</v>
      </c>
      <c r="H137" s="5" t="s">
        <v>426</v>
      </c>
      <c r="I137" s="18" t="s">
        <v>146</v>
      </c>
      <c r="J137" s="24">
        <f>(0.02+0.068)/2</f>
        <v>4.4000000000000004E-2</v>
      </c>
      <c r="K137" s="18" t="s">
        <v>145</v>
      </c>
      <c r="L137" s="20">
        <v>5</v>
      </c>
      <c r="M137" s="1">
        <v>176</v>
      </c>
      <c r="N137" s="1">
        <v>34</v>
      </c>
      <c r="O137" s="52">
        <f t="shared" si="27"/>
        <v>1.8509863125E+17</v>
      </c>
      <c r="P137" s="1">
        <v>10</v>
      </c>
      <c r="Q137" s="16" t="s">
        <v>62</v>
      </c>
      <c r="R137" s="16">
        <v>80</v>
      </c>
      <c r="S137" s="16">
        <v>-1764</v>
      </c>
      <c r="T137" s="16">
        <v>-3274</v>
      </c>
      <c r="U137" s="16">
        <v>1510</v>
      </c>
      <c r="V137" s="16" t="s">
        <v>12</v>
      </c>
      <c r="W137" s="15">
        <f t="shared" si="18"/>
        <v>1.51</v>
      </c>
      <c r="X137" s="2">
        <f t="shared" si="19"/>
        <v>5.1764705882352944</v>
      </c>
      <c r="Y137" s="2">
        <f t="shared" si="20"/>
        <v>0.15224913494809689</v>
      </c>
      <c r="Z137" s="2">
        <f t="shared" si="21"/>
        <v>0.44028356783575884</v>
      </c>
      <c r="AA137" s="2">
        <f t="shared" si="22"/>
        <v>940.57029903351724</v>
      </c>
      <c r="AB137" s="2">
        <f t="shared" si="23"/>
        <v>4.4411764705882352E-2</v>
      </c>
      <c r="AC137" s="2">
        <f t="shared" si="25"/>
        <v>2.5429356573080804</v>
      </c>
      <c r="AD137" s="2">
        <v>145.45608087665499</v>
      </c>
      <c r="AE137" s="2">
        <f t="shared" si="24"/>
        <v>22.516556291390728</v>
      </c>
    </row>
    <row r="138" spans="1:31" s="16" customFormat="1" x14ac:dyDescent="0.2">
      <c r="A138" s="16" t="s">
        <v>75</v>
      </c>
      <c r="B138" s="16" t="s">
        <v>226</v>
      </c>
      <c r="C138" s="5" t="s">
        <v>458</v>
      </c>
      <c r="D138" s="39" t="s">
        <v>226</v>
      </c>
      <c r="E138" s="16">
        <v>2.1</v>
      </c>
      <c r="F138" s="15">
        <f t="shared" si="26"/>
        <v>2.1</v>
      </c>
      <c r="G138" s="5" t="s">
        <v>405</v>
      </c>
      <c r="H138" s="5" t="s">
        <v>426</v>
      </c>
      <c r="I138" s="18">
        <v>5.0000000000000001E-3</v>
      </c>
      <c r="J138" s="24">
        <v>5.0000000000000001E-3</v>
      </c>
      <c r="K138" s="18" t="s">
        <v>145</v>
      </c>
      <c r="L138" s="20">
        <v>5</v>
      </c>
      <c r="M138" s="1">
        <v>210</v>
      </c>
      <c r="N138" s="1">
        <v>40</v>
      </c>
      <c r="O138" s="52">
        <f t="shared" si="27"/>
        <v>4.314882E+17</v>
      </c>
      <c r="P138" s="1">
        <v>9</v>
      </c>
      <c r="Q138" s="16" t="s">
        <v>62</v>
      </c>
      <c r="R138" s="16">
        <v>112</v>
      </c>
      <c r="S138" s="16">
        <v>1066</v>
      </c>
      <c r="T138" s="16">
        <v>-2454</v>
      </c>
      <c r="U138" s="16">
        <v>3520</v>
      </c>
      <c r="V138" s="16" t="s">
        <v>12</v>
      </c>
      <c r="W138" s="15">
        <f t="shared" si="18"/>
        <v>3.52</v>
      </c>
      <c r="X138" s="2">
        <f t="shared" si="19"/>
        <v>5.25</v>
      </c>
      <c r="Y138" s="2">
        <f t="shared" si="20"/>
        <v>0.13125000000000001</v>
      </c>
      <c r="Z138" s="2">
        <f t="shared" si="21"/>
        <v>0.40879419145748691</v>
      </c>
      <c r="AA138" s="2">
        <f t="shared" si="22"/>
        <v>1438.3766019365025</v>
      </c>
      <c r="AB138" s="2">
        <f t="shared" si="23"/>
        <v>8.7999999999999995E-2</v>
      </c>
      <c r="AC138" s="2">
        <f t="shared" si="25"/>
        <v>5.0290735817854468</v>
      </c>
      <c r="AD138" s="2">
        <v>146.45608087665499</v>
      </c>
      <c r="AE138" s="2">
        <f t="shared" si="24"/>
        <v>11.363636363636363</v>
      </c>
    </row>
    <row r="139" spans="1:31" s="16" customFormat="1" x14ac:dyDescent="0.2">
      <c r="A139" s="16" t="s">
        <v>76</v>
      </c>
      <c r="B139" s="16" t="s">
        <v>226</v>
      </c>
      <c r="C139" s="5" t="s">
        <v>458</v>
      </c>
      <c r="D139" s="39" t="s">
        <v>226</v>
      </c>
      <c r="E139" s="16">
        <v>2.1</v>
      </c>
      <c r="F139" s="15">
        <f t="shared" si="26"/>
        <v>2.1</v>
      </c>
      <c r="G139" s="5" t="s">
        <v>405</v>
      </c>
      <c r="H139" s="5" t="s">
        <v>426</v>
      </c>
      <c r="I139" s="18">
        <v>5.0000000000000001E-3</v>
      </c>
      <c r="J139" s="24">
        <v>5.0000000000000001E-3</v>
      </c>
      <c r="K139" s="18" t="s">
        <v>143</v>
      </c>
      <c r="L139" s="20">
        <v>50</v>
      </c>
      <c r="M139" s="1">
        <v>650</v>
      </c>
      <c r="N139" s="1">
        <v>60</v>
      </c>
      <c r="O139" s="52">
        <f t="shared" si="27"/>
        <v>3.3109364437500001E+18</v>
      </c>
      <c r="P139" s="1">
        <v>25</v>
      </c>
      <c r="Q139" s="16" t="s">
        <v>62</v>
      </c>
      <c r="R139" s="16">
        <v>142</v>
      </c>
      <c r="S139" s="16">
        <v>-998</v>
      </c>
      <c r="T139" s="16">
        <v>-3699</v>
      </c>
      <c r="U139" s="16">
        <v>2701</v>
      </c>
      <c r="V139" s="16" t="s">
        <v>12</v>
      </c>
      <c r="W139" s="15">
        <f t="shared" si="18"/>
        <v>2.7010000000000001</v>
      </c>
      <c r="X139" s="2">
        <f t="shared" si="19"/>
        <v>10.833333333333334</v>
      </c>
      <c r="Y139" s="2">
        <f t="shared" si="20"/>
        <v>0.18055555555555555</v>
      </c>
      <c r="Z139" s="2">
        <f t="shared" si="21"/>
        <v>0.47946895034966786</v>
      </c>
      <c r="AA139" s="2">
        <f t="shared" si="22"/>
        <v>3208.410747372599</v>
      </c>
      <c r="AB139" s="2">
        <f t="shared" si="23"/>
        <v>4.501666666666667E-2</v>
      </c>
      <c r="AC139" s="2">
        <f t="shared" si="25"/>
        <v>2.5775248293893256</v>
      </c>
      <c r="AD139" s="2">
        <v>147.45608087665499</v>
      </c>
      <c r="AE139" s="2">
        <f t="shared" si="24"/>
        <v>22.213994816734541</v>
      </c>
    </row>
    <row r="140" spans="1:31" s="16" customFormat="1" x14ac:dyDescent="0.2">
      <c r="A140" s="16" t="s">
        <v>77</v>
      </c>
      <c r="B140" s="16" t="s">
        <v>226</v>
      </c>
      <c r="C140" s="5" t="s">
        <v>458</v>
      </c>
      <c r="D140" s="39" t="s">
        <v>226</v>
      </c>
      <c r="E140" s="16">
        <v>2.1</v>
      </c>
      <c r="F140" s="15">
        <f t="shared" si="26"/>
        <v>2.1</v>
      </c>
      <c r="G140" s="5" t="s">
        <v>405</v>
      </c>
      <c r="H140" s="5" t="s">
        <v>426</v>
      </c>
      <c r="I140" s="18">
        <v>5.0000000000000001E-3</v>
      </c>
      <c r="J140" s="24">
        <v>5.0000000000000001E-3</v>
      </c>
      <c r="K140" s="18" t="s">
        <v>145</v>
      </c>
      <c r="L140" s="20">
        <v>5</v>
      </c>
      <c r="M140" s="1">
        <v>162</v>
      </c>
      <c r="N140" s="1">
        <v>45</v>
      </c>
      <c r="O140" s="52">
        <f t="shared" si="27"/>
        <v>2.4369276749999997E+17</v>
      </c>
      <c r="P140" s="1">
        <v>8</v>
      </c>
      <c r="Q140" s="16" t="s">
        <v>62</v>
      </c>
      <c r="R140" s="16">
        <v>100</v>
      </c>
      <c r="S140" s="16">
        <v>-1274</v>
      </c>
      <c r="T140" s="16">
        <v>-3262</v>
      </c>
      <c r="U140" s="16">
        <v>1988</v>
      </c>
      <c r="V140" s="16" t="s">
        <v>12</v>
      </c>
      <c r="W140" s="15">
        <f t="shared" si="18"/>
        <v>1.988</v>
      </c>
      <c r="X140" s="2">
        <f t="shared" si="19"/>
        <v>3.6</v>
      </c>
      <c r="Y140" s="2">
        <f t="shared" si="20"/>
        <v>0.08</v>
      </c>
      <c r="Z140" s="2">
        <f t="shared" si="21"/>
        <v>0.31915382501143846</v>
      </c>
      <c r="AA140" s="2">
        <f t="shared" si="22"/>
        <v>1127.9827211442559</v>
      </c>
      <c r="AB140" s="2">
        <f t="shared" si="23"/>
        <v>4.4177777777777774E-2</v>
      </c>
      <c r="AC140" s="2">
        <f t="shared" si="25"/>
        <v>2.5295554462591499</v>
      </c>
      <c r="AD140" s="2">
        <v>148.45608087665499</v>
      </c>
      <c r="AE140" s="2">
        <f t="shared" si="24"/>
        <v>22.635814889336014</v>
      </c>
    </row>
    <row r="141" spans="1:31" s="16" customFormat="1" x14ac:dyDescent="0.2">
      <c r="A141" s="16" t="s">
        <v>64</v>
      </c>
      <c r="B141" s="16" t="s">
        <v>226</v>
      </c>
      <c r="C141" s="5" t="s">
        <v>458</v>
      </c>
      <c r="D141" s="39" t="s">
        <v>226</v>
      </c>
      <c r="E141" s="16">
        <v>2.1</v>
      </c>
      <c r="F141" s="15">
        <f t="shared" si="26"/>
        <v>2.1</v>
      </c>
      <c r="G141" s="5" t="s">
        <v>405</v>
      </c>
      <c r="H141" s="5" t="s">
        <v>426</v>
      </c>
      <c r="I141" s="7" t="s">
        <v>166</v>
      </c>
      <c r="J141" s="26">
        <f>(1.42+2)/2</f>
        <v>1.71</v>
      </c>
      <c r="K141" s="7" t="s">
        <v>167</v>
      </c>
      <c r="L141" s="21">
        <v>100</v>
      </c>
      <c r="M141" s="1">
        <v>4945</v>
      </c>
      <c r="N141" s="1">
        <v>118</v>
      </c>
      <c r="O141" s="52">
        <f t="shared" si="27"/>
        <v>1.57689324E+19</v>
      </c>
      <c r="P141" s="1">
        <v>82</v>
      </c>
      <c r="Q141" s="16" t="s">
        <v>62</v>
      </c>
      <c r="R141" s="16">
        <v>368</v>
      </c>
      <c r="S141" s="16">
        <v>2206</v>
      </c>
      <c r="T141" s="16">
        <v>-4226</v>
      </c>
      <c r="U141" s="16">
        <v>6432</v>
      </c>
      <c r="V141" s="16" t="s">
        <v>12</v>
      </c>
      <c r="W141" s="15">
        <f t="shared" si="18"/>
        <v>6.4320000000000004</v>
      </c>
      <c r="X141" s="2">
        <f t="shared" si="19"/>
        <v>41.906779661016948</v>
      </c>
      <c r="Y141" s="2">
        <f t="shared" si="20"/>
        <v>0.35514220051709278</v>
      </c>
      <c r="Z141" s="2">
        <f t="shared" si="21"/>
        <v>0.67244412084474081</v>
      </c>
      <c r="AA141" s="2">
        <f t="shared" si="22"/>
        <v>22933.793957304766</v>
      </c>
      <c r="AB141" s="2">
        <f t="shared" si="23"/>
        <v>5.4508474576271192E-2</v>
      </c>
      <c r="AC141" s="2">
        <f t="shared" si="25"/>
        <v>3.12001794686415</v>
      </c>
      <c r="AD141" s="2">
        <v>149.45608087665499</v>
      </c>
      <c r="AE141" s="2">
        <f t="shared" si="24"/>
        <v>18.345771144278604</v>
      </c>
    </row>
    <row r="142" spans="1:31" s="16" customFormat="1" x14ac:dyDescent="0.2">
      <c r="A142" s="16" t="s">
        <v>296</v>
      </c>
      <c r="B142" s="16" t="s">
        <v>226</v>
      </c>
      <c r="C142" s="5" t="s">
        <v>458</v>
      </c>
      <c r="D142" s="39" t="s">
        <v>226</v>
      </c>
      <c r="E142" s="16">
        <v>2.1</v>
      </c>
      <c r="F142" s="15">
        <f t="shared" si="26"/>
        <v>2.1</v>
      </c>
      <c r="G142" s="5" t="s">
        <v>405</v>
      </c>
      <c r="H142" s="5" t="s">
        <v>426</v>
      </c>
      <c r="I142" s="36" t="s">
        <v>352</v>
      </c>
      <c r="M142" s="1">
        <v>1008</v>
      </c>
      <c r="N142" s="1">
        <v>59</v>
      </c>
      <c r="O142" s="52"/>
      <c r="P142" s="1">
        <v>33</v>
      </c>
      <c r="Q142" s="16" t="s">
        <v>62</v>
      </c>
      <c r="R142" s="16">
        <v>173</v>
      </c>
      <c r="S142" s="16">
        <v>-1103</v>
      </c>
      <c r="T142" s="16">
        <v>-3793</v>
      </c>
      <c r="U142" s="16">
        <v>2690</v>
      </c>
      <c r="V142" s="16" t="s">
        <v>262</v>
      </c>
      <c r="W142" s="15">
        <f t="shared" si="18"/>
        <v>2.69</v>
      </c>
      <c r="X142" s="2">
        <f t="shared" si="19"/>
        <v>17.084745762711865</v>
      </c>
      <c r="Y142" s="2">
        <f t="shared" si="20"/>
        <v>0.28957196207986213</v>
      </c>
      <c r="Z142" s="2">
        <f t="shared" si="21"/>
        <v>0.60720216959552875</v>
      </c>
      <c r="AA142" s="2">
        <f t="shared" si="22"/>
        <v>4867.6720291002675</v>
      </c>
      <c r="AB142" s="2">
        <f t="shared" si="23"/>
        <v>4.5593220338983047E-2</v>
      </c>
      <c r="AC142" s="2">
        <f t="shared" si="25"/>
        <v>2.6104912557304125</v>
      </c>
      <c r="AD142" s="2">
        <v>150.45608087665499</v>
      </c>
      <c r="AE142" s="2">
        <f t="shared" si="24"/>
        <v>21.933085501858738</v>
      </c>
    </row>
    <row r="143" spans="1:31" s="16" customFormat="1" x14ac:dyDescent="0.2">
      <c r="A143" s="16" t="s">
        <v>288</v>
      </c>
      <c r="B143" s="16" t="s">
        <v>226</v>
      </c>
      <c r="C143" s="5" t="s">
        <v>458</v>
      </c>
      <c r="D143" s="39" t="s">
        <v>226</v>
      </c>
      <c r="E143" s="16">
        <v>2.1</v>
      </c>
      <c r="F143" s="15">
        <f t="shared" si="26"/>
        <v>2.1</v>
      </c>
      <c r="G143" s="5" t="s">
        <v>405</v>
      </c>
      <c r="H143" s="5" t="s">
        <v>426</v>
      </c>
      <c r="I143" s="5" t="s">
        <v>354</v>
      </c>
      <c r="M143" s="1">
        <v>914</v>
      </c>
      <c r="N143" s="1">
        <v>52</v>
      </c>
      <c r="O143" s="52"/>
      <c r="P143" s="1">
        <v>27</v>
      </c>
      <c r="Q143" s="16" t="s">
        <v>62</v>
      </c>
      <c r="R143" s="16">
        <v>125</v>
      </c>
      <c r="S143" s="16">
        <v>-1880</v>
      </c>
      <c r="T143" s="16">
        <v>-3985</v>
      </c>
      <c r="U143" s="16">
        <v>2105</v>
      </c>
      <c r="V143" s="16" t="s">
        <v>262</v>
      </c>
      <c r="W143" s="15">
        <f t="shared" si="18"/>
        <v>2.105</v>
      </c>
      <c r="X143" s="2">
        <f t="shared" si="19"/>
        <v>17.576923076923077</v>
      </c>
      <c r="Y143" s="2">
        <f t="shared" si="20"/>
        <v>0.33801775147928992</v>
      </c>
      <c r="Z143" s="2">
        <f t="shared" si="21"/>
        <v>0.65603168358518105</v>
      </c>
      <c r="AA143" s="2">
        <f t="shared" si="22"/>
        <v>3349.0995017317714</v>
      </c>
      <c r="AB143" s="2">
        <f t="shared" si="23"/>
        <v>4.048076923076923E-2</v>
      </c>
      <c r="AC143" s="2">
        <f t="shared" si="25"/>
        <v>2.3181115570675277</v>
      </c>
      <c r="AD143" s="2">
        <v>151.45608087665499</v>
      </c>
      <c r="AE143" s="2">
        <f t="shared" si="24"/>
        <v>24.703087885985749</v>
      </c>
    </row>
    <row r="144" spans="1:31" s="16" customFormat="1" x14ac:dyDescent="0.2">
      <c r="A144" s="16" t="s">
        <v>78</v>
      </c>
      <c r="B144" s="16" t="s">
        <v>226</v>
      </c>
      <c r="C144" s="5" t="s">
        <v>458</v>
      </c>
      <c r="D144" s="39" t="s">
        <v>226</v>
      </c>
      <c r="E144" s="16">
        <v>2.1</v>
      </c>
      <c r="F144" s="15">
        <f t="shared" si="26"/>
        <v>2.1</v>
      </c>
      <c r="G144" s="5" t="s">
        <v>405</v>
      </c>
      <c r="H144" s="5" t="s">
        <v>426</v>
      </c>
      <c r="I144" s="7" t="s">
        <v>168</v>
      </c>
      <c r="J144" s="26">
        <f>(0.23+0.6)/2</f>
        <v>0.41499999999999998</v>
      </c>
      <c r="K144" s="7" t="s">
        <v>143</v>
      </c>
      <c r="L144" s="21">
        <v>50</v>
      </c>
      <c r="M144" s="1">
        <v>554</v>
      </c>
      <c r="N144" s="1">
        <v>54</v>
      </c>
      <c r="O144" s="52">
        <f t="shared" si="27"/>
        <v>1.13388234375E+18</v>
      </c>
      <c r="P144" s="1">
        <v>18</v>
      </c>
      <c r="Q144" s="16" t="s">
        <v>62</v>
      </c>
      <c r="R144" s="16">
        <v>132</v>
      </c>
      <c r="S144" s="16">
        <v>-3192</v>
      </c>
      <c r="T144" s="16">
        <v>-4117</v>
      </c>
      <c r="U144" s="16">
        <v>925</v>
      </c>
      <c r="V144" s="16" t="s">
        <v>12</v>
      </c>
      <c r="W144" s="15">
        <f t="shared" si="18"/>
        <v>0.92500000000000004</v>
      </c>
      <c r="X144" s="2">
        <f t="shared" si="19"/>
        <v>10.25925925925926</v>
      </c>
      <c r="Y144" s="2">
        <f t="shared" si="20"/>
        <v>0.18998628257887518</v>
      </c>
      <c r="Z144" s="2">
        <f t="shared" si="21"/>
        <v>0.49183132167751098</v>
      </c>
      <c r="AA144" s="2">
        <f t="shared" si="22"/>
        <v>2753.4281826609094</v>
      </c>
      <c r="AB144" s="2">
        <f t="shared" si="23"/>
        <v>1.712962962962963E-2</v>
      </c>
      <c r="AC144" s="2">
        <f t="shared" si="25"/>
        <v>0.98135950502977232</v>
      </c>
      <c r="AD144" s="2">
        <v>152.45608087665499</v>
      </c>
      <c r="AE144" s="2">
        <f t="shared" si="24"/>
        <v>58.378378378378379</v>
      </c>
    </row>
    <row r="145" spans="1:31" s="16" customFormat="1" x14ac:dyDescent="0.2">
      <c r="A145" s="16" t="s">
        <v>79</v>
      </c>
      <c r="B145" s="16" t="s">
        <v>226</v>
      </c>
      <c r="C145" s="5" t="s">
        <v>458</v>
      </c>
      <c r="D145" s="39" t="s">
        <v>226</v>
      </c>
      <c r="E145" s="16">
        <v>2.1</v>
      </c>
      <c r="F145" s="15">
        <f t="shared" si="26"/>
        <v>2.1</v>
      </c>
      <c r="G145" s="5" t="s">
        <v>405</v>
      </c>
      <c r="H145" s="5" t="s">
        <v>426</v>
      </c>
      <c r="I145" s="7" t="s">
        <v>169</v>
      </c>
      <c r="J145" s="26">
        <f>(0.23+0.5)/2</f>
        <v>0.36499999999999999</v>
      </c>
      <c r="K145" s="7" t="s">
        <v>143</v>
      </c>
      <c r="L145" s="21">
        <v>50</v>
      </c>
      <c r="M145" s="1">
        <v>1292</v>
      </c>
      <c r="N145" s="1">
        <v>110</v>
      </c>
      <c r="O145" s="52">
        <f t="shared" si="27"/>
        <v>8.8197659062500004E+18</v>
      </c>
      <c r="P145" s="1">
        <v>17</v>
      </c>
      <c r="Q145" s="16" t="s">
        <v>62</v>
      </c>
      <c r="R145" s="16">
        <v>296</v>
      </c>
      <c r="S145" s="16">
        <v>2994</v>
      </c>
      <c r="T145" s="16">
        <v>-4201</v>
      </c>
      <c r="U145" s="16">
        <v>7195</v>
      </c>
      <c r="V145" s="16" t="s">
        <v>12</v>
      </c>
      <c r="W145" s="15">
        <f t="shared" si="18"/>
        <v>7.1950000000000003</v>
      </c>
      <c r="X145" s="2">
        <f t="shared" si="19"/>
        <v>11.745454545454546</v>
      </c>
      <c r="Y145" s="2">
        <f t="shared" si="20"/>
        <v>0.10677685950413224</v>
      </c>
      <c r="Z145" s="2">
        <f t="shared" si="21"/>
        <v>0.36871739933367736</v>
      </c>
      <c r="AA145" s="2">
        <f t="shared" si="22"/>
        <v>9429.0493254111007</v>
      </c>
      <c r="AB145" s="2">
        <f t="shared" si="23"/>
        <v>6.5409090909090917E-2</v>
      </c>
      <c r="AC145" s="2">
        <f t="shared" si="25"/>
        <v>3.7423339224732852</v>
      </c>
      <c r="AD145" s="2">
        <v>153.45608087665499</v>
      </c>
      <c r="AE145" s="2">
        <f t="shared" si="24"/>
        <v>15.288394718554551</v>
      </c>
    </row>
    <row r="146" spans="1:31" s="16" customFormat="1" x14ac:dyDescent="0.2">
      <c r="A146" s="16" t="s">
        <v>80</v>
      </c>
      <c r="B146" s="16" t="s">
        <v>226</v>
      </c>
      <c r="C146" s="5" t="s">
        <v>458</v>
      </c>
      <c r="D146" s="39" t="s">
        <v>226</v>
      </c>
      <c r="E146" s="16">
        <v>2.1</v>
      </c>
      <c r="F146" s="15">
        <f t="shared" si="26"/>
        <v>2.1</v>
      </c>
      <c r="G146" s="5" t="s">
        <v>405</v>
      </c>
      <c r="H146" s="5" t="s">
        <v>426</v>
      </c>
      <c r="I146" s="7" t="s">
        <v>170</v>
      </c>
      <c r="J146" s="26">
        <f>(0.2+0.43)/2</f>
        <v>0.315</v>
      </c>
      <c r="K146" s="7" t="s">
        <v>145</v>
      </c>
      <c r="L146" s="21">
        <v>5</v>
      </c>
      <c r="M146" s="1">
        <v>555</v>
      </c>
      <c r="N146" s="1">
        <v>61</v>
      </c>
      <c r="O146" s="52">
        <f t="shared" si="27"/>
        <v>3.809844675E+17</v>
      </c>
      <c r="P146" s="1">
        <v>13</v>
      </c>
      <c r="Q146" s="16" t="s">
        <v>62</v>
      </c>
      <c r="R146" s="16">
        <v>168</v>
      </c>
      <c r="S146" s="16">
        <v>-607</v>
      </c>
      <c r="T146" s="16">
        <v>-3715</v>
      </c>
      <c r="U146" s="16">
        <v>3108</v>
      </c>
      <c r="V146" s="16" t="s">
        <v>12</v>
      </c>
      <c r="W146" s="15">
        <f t="shared" si="18"/>
        <v>3.1080000000000001</v>
      </c>
      <c r="X146" s="2">
        <f t="shared" si="19"/>
        <v>9.0983606557377055</v>
      </c>
      <c r="Y146" s="2">
        <f t="shared" si="20"/>
        <v>0.14915345337274927</v>
      </c>
      <c r="Z146" s="2">
        <f t="shared" si="21"/>
        <v>0.43578443741085388</v>
      </c>
      <c r="AA146" s="2">
        <f t="shared" si="22"/>
        <v>3507.5244982253794</v>
      </c>
      <c r="AB146" s="2">
        <f t="shared" si="23"/>
        <v>5.0950819672131151E-2</v>
      </c>
      <c r="AC146" s="2">
        <f t="shared" si="25"/>
        <v>2.9167447319509798</v>
      </c>
      <c r="AD146" s="2">
        <v>154.45608087665499</v>
      </c>
      <c r="AE146" s="2">
        <f t="shared" si="24"/>
        <v>19.626769626769626</v>
      </c>
    </row>
    <row r="147" spans="1:31" s="16" customFormat="1" x14ac:dyDescent="0.2">
      <c r="A147" s="16" t="s">
        <v>81</v>
      </c>
      <c r="B147" s="16" t="s">
        <v>226</v>
      </c>
      <c r="C147" s="5" t="s">
        <v>458</v>
      </c>
      <c r="D147" s="39" t="s">
        <v>226</v>
      </c>
      <c r="E147" s="16">
        <v>2.1</v>
      </c>
      <c r="F147" s="15">
        <f t="shared" si="26"/>
        <v>2.1</v>
      </c>
      <c r="G147" s="5" t="s">
        <v>405</v>
      </c>
      <c r="H147" s="5" t="s">
        <v>426</v>
      </c>
      <c r="I147" s="7" t="s">
        <v>171</v>
      </c>
      <c r="J147" s="26">
        <f>(0.03+0.2)/2</f>
        <v>0.115</v>
      </c>
      <c r="K147" s="7" t="s">
        <v>145</v>
      </c>
      <c r="L147" s="21">
        <v>5</v>
      </c>
      <c r="M147" s="1">
        <v>228</v>
      </c>
      <c r="N147" s="1">
        <v>43</v>
      </c>
      <c r="O147" s="52">
        <f t="shared" si="27"/>
        <v>2.78383438125E+17</v>
      </c>
      <c r="P147" s="1">
        <v>8</v>
      </c>
      <c r="Q147" s="16" t="s">
        <v>62</v>
      </c>
      <c r="R147" s="16">
        <v>118</v>
      </c>
      <c r="S147" s="16">
        <v>-607</v>
      </c>
      <c r="T147" s="16">
        <v>-2878</v>
      </c>
      <c r="U147" s="16">
        <v>2271</v>
      </c>
      <c r="V147" s="16" t="s">
        <v>12</v>
      </c>
      <c r="W147" s="15">
        <f t="shared" si="18"/>
        <v>2.2709999999999999</v>
      </c>
      <c r="X147" s="2">
        <f t="shared" si="19"/>
        <v>5.3023255813953485</v>
      </c>
      <c r="Y147" s="2">
        <f t="shared" si="20"/>
        <v>0.1233098972417523</v>
      </c>
      <c r="Z147" s="2">
        <f t="shared" si="21"/>
        <v>0.39623608884677164</v>
      </c>
      <c r="AA147" s="2">
        <f t="shared" si="22"/>
        <v>1579.0445045670879</v>
      </c>
      <c r="AB147" s="2">
        <f t="shared" si="23"/>
        <v>5.281395348837209E-2</v>
      </c>
      <c r="AC147" s="2">
        <f t="shared" si="25"/>
        <v>3.0232078303676233</v>
      </c>
      <c r="AD147" s="2">
        <v>155.45608087665499</v>
      </c>
      <c r="AE147" s="2">
        <f t="shared" si="24"/>
        <v>18.934390136503744</v>
      </c>
    </row>
    <row r="148" spans="1:31" s="16" customFormat="1" x14ac:dyDescent="0.2">
      <c r="A148" s="16" t="s">
        <v>66</v>
      </c>
      <c r="B148" s="16" t="s">
        <v>226</v>
      </c>
      <c r="C148" s="5" t="s">
        <v>458</v>
      </c>
      <c r="D148" s="39" t="s">
        <v>226</v>
      </c>
      <c r="E148" s="16">
        <v>2.1</v>
      </c>
      <c r="F148" s="15">
        <f t="shared" si="26"/>
        <v>2.1</v>
      </c>
      <c r="G148" s="5" t="s">
        <v>405</v>
      </c>
      <c r="H148" s="5" t="s">
        <v>426</v>
      </c>
      <c r="I148" s="7" t="s">
        <v>187</v>
      </c>
      <c r="J148" s="26">
        <f>(0.29+0.32)/2</f>
        <v>0.30499999999999999</v>
      </c>
      <c r="K148" s="7" t="s">
        <v>143</v>
      </c>
      <c r="L148" s="21">
        <v>50</v>
      </c>
      <c r="M148" s="1">
        <v>1983</v>
      </c>
      <c r="N148" s="1">
        <v>99</v>
      </c>
      <c r="O148" s="52">
        <f t="shared" si="27"/>
        <v>7.5571725937499996E+18</v>
      </c>
      <c r="P148" s="1">
        <v>29</v>
      </c>
      <c r="Q148" s="16" t="s">
        <v>62</v>
      </c>
      <c r="R148" s="16">
        <v>240</v>
      </c>
      <c r="S148" s="16">
        <v>2265</v>
      </c>
      <c r="T148" s="16">
        <v>-3900</v>
      </c>
      <c r="U148" s="16">
        <v>6165</v>
      </c>
      <c r="V148" s="16" t="s">
        <v>12</v>
      </c>
      <c r="W148" s="15">
        <f t="shared" si="18"/>
        <v>6.165</v>
      </c>
      <c r="X148" s="2">
        <f t="shared" si="19"/>
        <v>20.030303030303031</v>
      </c>
      <c r="Y148" s="2">
        <f t="shared" si="20"/>
        <v>0.20232629323538415</v>
      </c>
      <c r="Z148" s="2">
        <f t="shared" si="21"/>
        <v>0.50755279390555352</v>
      </c>
      <c r="AA148" s="2">
        <f t="shared" si="22"/>
        <v>9471.4732831660349</v>
      </c>
      <c r="AB148" s="2">
        <f t="shared" si="23"/>
        <v>6.2272727272727271E-2</v>
      </c>
      <c r="AC148" s="2">
        <f t="shared" si="25"/>
        <v>3.5633630919718042</v>
      </c>
      <c r="AD148" s="2">
        <v>156.45608087665499</v>
      </c>
      <c r="AE148" s="2">
        <f t="shared" si="24"/>
        <v>16.058394160583941</v>
      </c>
    </row>
    <row r="149" spans="1:31" s="16" customFormat="1" x14ac:dyDescent="0.2">
      <c r="A149" s="16" t="s">
        <v>280</v>
      </c>
      <c r="B149" s="16" t="s">
        <v>226</v>
      </c>
      <c r="C149" s="5" t="s">
        <v>458</v>
      </c>
      <c r="D149" s="39" t="s">
        <v>226</v>
      </c>
      <c r="E149" s="16">
        <v>2.1</v>
      </c>
      <c r="F149" s="15">
        <f t="shared" si="26"/>
        <v>2.1</v>
      </c>
      <c r="G149" s="5" t="s">
        <v>405</v>
      </c>
      <c r="H149" s="5" t="s">
        <v>426</v>
      </c>
      <c r="I149" s="7" t="s">
        <v>188</v>
      </c>
      <c r="M149" s="1">
        <v>172</v>
      </c>
      <c r="N149" s="1">
        <v>24</v>
      </c>
      <c r="O149" s="52"/>
      <c r="P149" s="1">
        <v>8</v>
      </c>
      <c r="Q149" s="16" t="s">
        <v>62</v>
      </c>
      <c r="R149" s="16">
        <v>85</v>
      </c>
      <c r="S149" s="16">
        <v>-1427</v>
      </c>
      <c r="T149" s="16">
        <v>-2551</v>
      </c>
      <c r="U149" s="16">
        <v>1124</v>
      </c>
      <c r="V149" s="16" t="s">
        <v>262</v>
      </c>
      <c r="W149" s="15">
        <f t="shared" si="18"/>
        <v>1.1240000000000001</v>
      </c>
      <c r="X149" s="2">
        <f t="shared" si="19"/>
        <v>7.166666666666667</v>
      </c>
      <c r="Y149" s="2">
        <f t="shared" si="20"/>
        <v>0.2986111111111111</v>
      </c>
      <c r="Z149" s="2">
        <f t="shared" si="21"/>
        <v>0.6166064196946407</v>
      </c>
      <c r="AA149" s="2">
        <f t="shared" si="22"/>
        <v>987.93435684361123</v>
      </c>
      <c r="AB149" s="2">
        <f t="shared" si="23"/>
        <v>4.6833333333333338E-2</v>
      </c>
      <c r="AC149" s="2">
        <f t="shared" si="25"/>
        <v>2.6813930647662589</v>
      </c>
      <c r="AD149" s="2">
        <v>157.45608087665499</v>
      </c>
      <c r="AE149" s="2">
        <f t="shared" si="24"/>
        <v>21.352313167259783</v>
      </c>
    </row>
    <row r="150" spans="1:31" s="16" customFormat="1" x14ac:dyDescent="0.2">
      <c r="A150" s="16" t="s">
        <v>70</v>
      </c>
      <c r="B150" s="16" t="s">
        <v>226</v>
      </c>
      <c r="C150" s="5" t="s">
        <v>458</v>
      </c>
      <c r="D150" s="39" t="s">
        <v>226</v>
      </c>
      <c r="E150" s="16">
        <v>2.1</v>
      </c>
      <c r="F150" s="15">
        <f t="shared" si="26"/>
        <v>2.1</v>
      </c>
      <c r="G150" s="5" t="s">
        <v>405</v>
      </c>
      <c r="H150" s="5" t="s">
        <v>426</v>
      </c>
      <c r="I150" s="7" t="s">
        <v>188</v>
      </c>
      <c r="J150" s="26">
        <f>(0.02+0.29)/2</f>
        <v>0.155</v>
      </c>
      <c r="K150" s="7" t="s">
        <v>145</v>
      </c>
      <c r="L150" s="21">
        <v>5</v>
      </c>
      <c r="M150" s="1">
        <v>91</v>
      </c>
      <c r="N150" s="1">
        <v>29</v>
      </c>
      <c r="O150" s="52">
        <f t="shared" si="27"/>
        <v>2.85738350625E+17</v>
      </c>
      <c r="P150" s="1">
        <v>4</v>
      </c>
      <c r="Q150" s="16" t="s">
        <v>62</v>
      </c>
      <c r="R150" s="16">
        <v>61</v>
      </c>
      <c r="S150" s="16">
        <v>186</v>
      </c>
      <c r="T150" s="16">
        <v>-2145</v>
      </c>
      <c r="U150" s="16">
        <v>2331</v>
      </c>
      <c r="V150" s="16" t="s">
        <v>12</v>
      </c>
      <c r="W150" s="15">
        <f t="shared" si="18"/>
        <v>2.331</v>
      </c>
      <c r="X150" s="2">
        <f t="shared" si="19"/>
        <v>3.1379310344827585</v>
      </c>
      <c r="Y150" s="2">
        <f t="shared" si="20"/>
        <v>0.10820451843043995</v>
      </c>
      <c r="Z150" s="2">
        <f t="shared" si="21"/>
        <v>0.37117418064922403</v>
      </c>
      <c r="AA150" s="2">
        <f t="shared" si="22"/>
        <v>515.69802826437092</v>
      </c>
      <c r="AB150" s="2">
        <f t="shared" si="23"/>
        <v>8.0379310344827579E-2</v>
      </c>
      <c r="AC150" s="2">
        <f t="shared" si="25"/>
        <v>4.5955152837366482</v>
      </c>
      <c r="AD150" s="2">
        <v>158.456080876654</v>
      </c>
      <c r="AE150" s="2">
        <f t="shared" si="24"/>
        <v>12.441012441012441</v>
      </c>
    </row>
    <row r="151" spans="1:31" s="16" customFormat="1" x14ac:dyDescent="0.2">
      <c r="A151" s="16" t="s">
        <v>71</v>
      </c>
      <c r="B151" s="16" t="s">
        <v>226</v>
      </c>
      <c r="C151" s="5" t="s">
        <v>458</v>
      </c>
      <c r="D151" s="39" t="s">
        <v>226</v>
      </c>
      <c r="E151" s="16">
        <v>2.1</v>
      </c>
      <c r="F151" s="15">
        <f t="shared" si="26"/>
        <v>2.1</v>
      </c>
      <c r="G151" s="5" t="s">
        <v>405</v>
      </c>
      <c r="H151" s="5" t="s">
        <v>426</v>
      </c>
      <c r="I151" s="7" t="s">
        <v>188</v>
      </c>
      <c r="J151" s="26">
        <f>(0.02+0.29)/2</f>
        <v>0.155</v>
      </c>
      <c r="K151" s="7" t="s">
        <v>143</v>
      </c>
      <c r="L151" s="21">
        <v>50</v>
      </c>
      <c r="M151" s="1">
        <v>501</v>
      </c>
      <c r="N151" s="1">
        <v>46</v>
      </c>
      <c r="O151" s="52">
        <f t="shared" si="27"/>
        <v>5.619153149999999E+18</v>
      </c>
      <c r="P151" s="1">
        <v>20</v>
      </c>
      <c r="Q151" s="16" t="s">
        <v>62</v>
      </c>
      <c r="R151" s="16">
        <v>115</v>
      </c>
      <c r="S151" s="16">
        <v>1253</v>
      </c>
      <c r="T151" s="16">
        <v>-3331</v>
      </c>
      <c r="U151" s="16">
        <v>4584</v>
      </c>
      <c r="V151" s="16" t="s">
        <v>12</v>
      </c>
      <c r="W151" s="15">
        <f t="shared" si="18"/>
        <v>4.5839999999999996</v>
      </c>
      <c r="X151" s="2">
        <f t="shared" si="19"/>
        <v>10.891304347826088</v>
      </c>
      <c r="Y151" s="2">
        <f t="shared" si="20"/>
        <v>0.23676748582230625</v>
      </c>
      <c r="Z151" s="2">
        <f t="shared" si="21"/>
        <v>0.54905530428230553</v>
      </c>
      <c r="AA151" s="2">
        <f t="shared" si="22"/>
        <v>2281.1909660670672</v>
      </c>
      <c r="AB151" s="2">
        <f t="shared" si="23"/>
        <v>9.9652173913043471E-2</v>
      </c>
      <c r="AC151" s="2">
        <f t="shared" si="25"/>
        <v>5.690860808449016</v>
      </c>
      <c r="AD151" s="2">
        <v>159.456080876654</v>
      </c>
      <c r="AE151" s="2">
        <f t="shared" si="24"/>
        <v>10.034904013961606</v>
      </c>
    </row>
    <row r="152" spans="1:31" s="16" customFormat="1" x14ac:dyDescent="0.2">
      <c r="A152" s="16" t="s">
        <v>284</v>
      </c>
      <c r="B152" s="16" t="s">
        <v>226</v>
      </c>
      <c r="C152" s="5" t="s">
        <v>458</v>
      </c>
      <c r="D152" s="39" t="s">
        <v>226</v>
      </c>
      <c r="E152" s="16">
        <v>2.1</v>
      </c>
      <c r="F152" s="15">
        <f t="shared" si="26"/>
        <v>2.1</v>
      </c>
      <c r="G152" s="5" t="s">
        <v>405</v>
      </c>
      <c r="H152" s="5" t="s">
        <v>426</v>
      </c>
      <c r="I152" s="7" t="s">
        <v>188</v>
      </c>
      <c r="M152" s="1">
        <v>352</v>
      </c>
      <c r="N152" s="1">
        <v>57</v>
      </c>
      <c r="O152" s="52"/>
      <c r="P152" s="1">
        <v>12</v>
      </c>
      <c r="Q152" s="16" t="s">
        <v>62</v>
      </c>
      <c r="R152" s="16">
        <v>136</v>
      </c>
      <c r="S152" s="16">
        <v>-2113</v>
      </c>
      <c r="T152" s="16">
        <v>-3882</v>
      </c>
      <c r="U152" s="16">
        <v>1769</v>
      </c>
      <c r="V152" s="16" t="s">
        <v>262</v>
      </c>
      <c r="W152" s="15">
        <f t="shared" si="18"/>
        <v>1.7689999999999999</v>
      </c>
      <c r="X152" s="2">
        <f t="shared" si="19"/>
        <v>6.1754385964912277</v>
      </c>
      <c r="Y152" s="2">
        <f t="shared" si="20"/>
        <v>0.10834102800861804</v>
      </c>
      <c r="Z152" s="2">
        <f t="shared" si="21"/>
        <v>0.37140824139287232</v>
      </c>
      <c r="AA152" s="2">
        <f t="shared" si="22"/>
        <v>2261.2843645394796</v>
      </c>
      <c r="AB152" s="2">
        <f t="shared" si="23"/>
        <v>3.1035087719298245E-2</v>
      </c>
      <c r="AC152" s="2">
        <f t="shared" si="25"/>
        <v>1.777608972483818</v>
      </c>
      <c r="AD152" s="2">
        <v>160.456080876654</v>
      </c>
      <c r="AE152" s="2">
        <f t="shared" si="24"/>
        <v>32.221594120972306</v>
      </c>
    </row>
    <row r="153" spans="1:31" s="16" customFormat="1" x14ac:dyDescent="0.2">
      <c r="A153" s="16" t="s">
        <v>61</v>
      </c>
      <c r="B153" s="16" t="s">
        <v>226</v>
      </c>
      <c r="C153" s="5" t="s">
        <v>458</v>
      </c>
      <c r="D153" s="39" t="s">
        <v>226</v>
      </c>
      <c r="E153" s="16">
        <v>2.1</v>
      </c>
      <c r="F153" s="15">
        <f t="shared" si="26"/>
        <v>2.1</v>
      </c>
      <c r="G153" s="5" t="s">
        <v>405</v>
      </c>
      <c r="H153" s="5" t="s">
        <v>426</v>
      </c>
      <c r="I153" s="7" t="s">
        <v>189</v>
      </c>
      <c r="J153" s="26">
        <f>(0.71+1.9)/2</f>
        <v>1.3049999999999999</v>
      </c>
      <c r="K153" s="7" t="s">
        <v>167</v>
      </c>
      <c r="L153" s="21">
        <v>100</v>
      </c>
      <c r="M153" s="1">
        <v>5186</v>
      </c>
      <c r="N153" s="1">
        <v>111</v>
      </c>
      <c r="O153" s="52">
        <f t="shared" si="27"/>
        <v>1.50996353625E+19</v>
      </c>
      <c r="P153" s="1">
        <v>92</v>
      </c>
      <c r="Q153" s="16" t="s">
        <v>62</v>
      </c>
      <c r="R153" s="16">
        <v>338</v>
      </c>
      <c r="S153" s="16">
        <v>2105</v>
      </c>
      <c r="T153" s="16">
        <v>-4054</v>
      </c>
      <c r="U153" s="16">
        <v>6159</v>
      </c>
      <c r="V153" s="16" t="s">
        <v>12</v>
      </c>
      <c r="W153" s="15">
        <f t="shared" si="18"/>
        <v>6.1589999999999998</v>
      </c>
      <c r="X153" s="2">
        <f t="shared" si="19"/>
        <v>46.72072072072072</v>
      </c>
      <c r="Y153" s="2">
        <f t="shared" si="20"/>
        <v>0.42090739388036685</v>
      </c>
      <c r="Z153" s="2">
        <f t="shared" si="21"/>
        <v>0.73206279845252942</v>
      </c>
      <c r="AA153" s="2">
        <f t="shared" si="22"/>
        <v>21571.378353038395</v>
      </c>
      <c r="AB153" s="2">
        <f t="shared" si="23"/>
        <v>5.5486486486486485E-2</v>
      </c>
      <c r="AC153" s="2">
        <f t="shared" si="25"/>
        <v>3.1758849151373094</v>
      </c>
      <c r="AD153" s="2">
        <v>161.456080876654</v>
      </c>
      <c r="AE153" s="2">
        <f t="shared" si="24"/>
        <v>18.022406234778373</v>
      </c>
    </row>
    <row r="154" spans="1:31" s="16" customFormat="1" x14ac:dyDescent="0.2">
      <c r="A154" s="16" t="s">
        <v>301</v>
      </c>
      <c r="B154" s="16" t="s">
        <v>226</v>
      </c>
      <c r="C154" s="5" t="s">
        <v>458</v>
      </c>
      <c r="D154" s="39" t="s">
        <v>226</v>
      </c>
      <c r="E154" s="16">
        <v>2.1</v>
      </c>
      <c r="F154" s="15">
        <f t="shared" si="26"/>
        <v>2.1</v>
      </c>
      <c r="G154" s="5" t="s">
        <v>405</v>
      </c>
      <c r="H154" s="5" t="s">
        <v>426</v>
      </c>
      <c r="I154" s="5" t="s">
        <v>350</v>
      </c>
      <c r="M154" s="1">
        <v>842</v>
      </c>
      <c r="N154" s="1">
        <v>54</v>
      </c>
      <c r="O154" s="52"/>
      <c r="P154" s="1">
        <v>30</v>
      </c>
      <c r="Q154" s="16" t="s">
        <v>62</v>
      </c>
      <c r="R154" s="16">
        <v>187</v>
      </c>
      <c r="S154" s="16">
        <v>-248</v>
      </c>
      <c r="T154" s="16">
        <v>-3344</v>
      </c>
      <c r="U154" s="16">
        <v>3096</v>
      </c>
      <c r="V154" s="16" t="s">
        <v>262</v>
      </c>
      <c r="W154" s="15">
        <f t="shared" si="18"/>
        <v>3.0960000000000001</v>
      </c>
      <c r="X154" s="2">
        <f t="shared" si="19"/>
        <v>15.592592592592593</v>
      </c>
      <c r="Y154" s="2">
        <f t="shared" si="20"/>
        <v>0.2887517146776406</v>
      </c>
      <c r="Z154" s="2">
        <f t="shared" si="21"/>
        <v>0.60634157314835746</v>
      </c>
      <c r="AA154" s="2">
        <f t="shared" si="22"/>
        <v>4808.8650752987114</v>
      </c>
      <c r="AB154" s="2">
        <f t="shared" si="23"/>
        <v>5.7333333333333333E-2</v>
      </c>
      <c r="AC154" s="2">
        <f t="shared" si="25"/>
        <v>3.2813657669762222</v>
      </c>
      <c r="AD154" s="2">
        <v>162.456080876654</v>
      </c>
      <c r="AE154" s="2">
        <f t="shared" si="24"/>
        <v>17.441860465116278</v>
      </c>
    </row>
    <row r="155" spans="1:31" s="16" customFormat="1" x14ac:dyDescent="0.2">
      <c r="A155" s="16" t="s">
        <v>67</v>
      </c>
      <c r="B155" s="16" t="s">
        <v>226</v>
      </c>
      <c r="C155" s="5" t="s">
        <v>458</v>
      </c>
      <c r="D155" s="39" t="s">
        <v>226</v>
      </c>
      <c r="E155" s="16">
        <v>2.1</v>
      </c>
      <c r="F155" s="15">
        <f t="shared" si="26"/>
        <v>2.1</v>
      </c>
      <c r="G155" s="5" t="s">
        <v>405</v>
      </c>
      <c r="H155" s="5" t="s">
        <v>426</v>
      </c>
      <c r="I155" s="7" t="s">
        <v>190</v>
      </c>
      <c r="J155" s="26">
        <f>(0.6+1.16)/2</f>
        <v>0.87999999999999989</v>
      </c>
      <c r="K155" s="7" t="s">
        <v>145</v>
      </c>
      <c r="L155" s="21">
        <v>5</v>
      </c>
      <c r="M155" s="1">
        <v>351</v>
      </c>
      <c r="N155" s="1">
        <v>32</v>
      </c>
      <c r="O155" s="52">
        <f t="shared" si="27"/>
        <v>1.2527867625E+17</v>
      </c>
      <c r="P155" s="1">
        <v>15</v>
      </c>
      <c r="Q155" s="16" t="s">
        <v>62</v>
      </c>
      <c r="R155" s="16">
        <v>80</v>
      </c>
      <c r="S155" s="16">
        <v>-2403</v>
      </c>
      <c r="T155" s="16">
        <v>-3425</v>
      </c>
      <c r="U155" s="16">
        <v>1022</v>
      </c>
      <c r="V155" s="16" t="s">
        <v>12</v>
      </c>
      <c r="W155" s="15">
        <f t="shared" si="18"/>
        <v>1.022</v>
      </c>
      <c r="X155" s="2">
        <f t="shared" si="19"/>
        <v>10.96875</v>
      </c>
      <c r="Y155" s="2">
        <f t="shared" si="20"/>
        <v>0.3427734375</v>
      </c>
      <c r="Z155" s="2">
        <f t="shared" si="21"/>
        <v>0.66063053017379714</v>
      </c>
      <c r="AA155" s="2">
        <f t="shared" si="22"/>
        <v>1328.2764872661114</v>
      </c>
      <c r="AB155" s="2">
        <f t="shared" si="23"/>
        <v>3.1937500000000001E-2</v>
      </c>
      <c r="AC155" s="2">
        <f t="shared" si="25"/>
        <v>1.8292621757585923</v>
      </c>
      <c r="AD155" s="2">
        <v>163.456080876654</v>
      </c>
      <c r="AE155" s="2">
        <f t="shared" si="24"/>
        <v>31.31115459882583</v>
      </c>
    </row>
    <row r="156" spans="1:31" s="16" customFormat="1" x14ac:dyDescent="0.2">
      <c r="A156" s="16" t="s">
        <v>68</v>
      </c>
      <c r="B156" s="16" t="s">
        <v>226</v>
      </c>
      <c r="C156" s="5" t="s">
        <v>458</v>
      </c>
      <c r="D156" s="39" t="s">
        <v>226</v>
      </c>
      <c r="E156" s="16">
        <v>2.1</v>
      </c>
      <c r="F156" s="15">
        <f t="shared" si="26"/>
        <v>2.1</v>
      </c>
      <c r="G156" s="5" t="s">
        <v>405</v>
      </c>
      <c r="H156" s="5" t="s">
        <v>426</v>
      </c>
      <c r="I156" s="7" t="s">
        <v>191</v>
      </c>
      <c r="J156" s="26">
        <v>0.62</v>
      </c>
      <c r="K156" s="7" t="s">
        <v>145</v>
      </c>
      <c r="L156" s="21">
        <v>5</v>
      </c>
      <c r="M156" s="1">
        <v>581</v>
      </c>
      <c r="N156" s="1">
        <v>79</v>
      </c>
      <c r="O156" s="52">
        <f t="shared" si="27"/>
        <v>4.663014525E+17</v>
      </c>
      <c r="P156" s="1">
        <v>14</v>
      </c>
      <c r="Q156" s="16" t="s">
        <v>62</v>
      </c>
      <c r="R156" s="16">
        <v>178</v>
      </c>
      <c r="S156" s="16">
        <v>-90</v>
      </c>
      <c r="T156" s="16">
        <v>-3894</v>
      </c>
      <c r="U156" s="16">
        <v>3804</v>
      </c>
      <c r="V156" s="16" t="s">
        <v>12</v>
      </c>
      <c r="W156" s="15">
        <f t="shared" si="18"/>
        <v>3.8039999999999998</v>
      </c>
      <c r="X156" s="2">
        <f t="shared" si="19"/>
        <v>7.3544303797468356</v>
      </c>
      <c r="Y156" s="2">
        <f t="shared" si="20"/>
        <v>9.3094055439833359E-2</v>
      </c>
      <c r="Z156" s="2">
        <f t="shared" si="21"/>
        <v>0.3442833618961289</v>
      </c>
      <c r="AA156" s="2">
        <f t="shared" si="22"/>
        <v>3802.3580355006861</v>
      </c>
      <c r="AB156" s="2">
        <f t="shared" si="23"/>
        <v>4.8151898734177211E-2</v>
      </c>
      <c r="AC156" s="2">
        <f t="shared" si="25"/>
        <v>2.7567712672264122</v>
      </c>
      <c r="AD156" s="2">
        <v>164.456080876654</v>
      </c>
      <c r="AE156" s="2">
        <f t="shared" si="24"/>
        <v>20.767613038906415</v>
      </c>
    </row>
    <row r="157" spans="1:31" s="16" customFormat="1" x14ac:dyDescent="0.2">
      <c r="A157" s="16" t="s">
        <v>69</v>
      </c>
      <c r="B157" s="16" t="s">
        <v>226</v>
      </c>
      <c r="C157" s="5" t="s">
        <v>458</v>
      </c>
      <c r="D157" s="39" t="s">
        <v>226</v>
      </c>
      <c r="E157" s="16">
        <v>2.1</v>
      </c>
      <c r="F157" s="15">
        <f t="shared" si="26"/>
        <v>2.1</v>
      </c>
      <c r="G157" s="5" t="s">
        <v>405</v>
      </c>
      <c r="H157" s="5" t="s">
        <v>426</v>
      </c>
      <c r="I157" s="7" t="s">
        <v>192</v>
      </c>
      <c r="J157" s="26">
        <v>0.75</v>
      </c>
      <c r="K157" s="7" t="s">
        <v>193</v>
      </c>
      <c r="L157" s="21">
        <v>0.5</v>
      </c>
      <c r="M157" s="1">
        <v>132</v>
      </c>
      <c r="N157" s="1">
        <v>35</v>
      </c>
      <c r="O157" s="52">
        <f t="shared" si="27"/>
        <v>3.41145358125E+16</v>
      </c>
      <c r="P157" s="1">
        <v>10</v>
      </c>
      <c r="Q157" s="16" t="s">
        <v>62</v>
      </c>
      <c r="R157" s="16">
        <v>96</v>
      </c>
      <c r="S157" s="16">
        <v>-34</v>
      </c>
      <c r="T157" s="16">
        <v>-2817</v>
      </c>
      <c r="U157" s="16">
        <v>2783</v>
      </c>
      <c r="V157" s="16" t="s">
        <v>12</v>
      </c>
      <c r="W157" s="15">
        <f t="shared" si="18"/>
        <v>2.7829999999999999</v>
      </c>
      <c r="X157" s="2">
        <f t="shared" si="19"/>
        <v>3.7714285714285714</v>
      </c>
      <c r="Y157" s="2">
        <f t="shared" si="20"/>
        <v>0.10775510204081633</v>
      </c>
      <c r="Z157" s="2">
        <f t="shared" si="21"/>
        <v>0.37040256162562729</v>
      </c>
      <c r="AA157" s="2">
        <f t="shared" si="22"/>
        <v>977.46932760978223</v>
      </c>
      <c r="AB157" s="2">
        <f t="shared" si="23"/>
        <v>7.9514285714285718E-2</v>
      </c>
      <c r="AC157" s="2">
        <f t="shared" si="25"/>
        <v>4.5462677911066249</v>
      </c>
      <c r="AD157" s="2">
        <v>165.456080876654</v>
      </c>
      <c r="AE157" s="2">
        <f t="shared" si="24"/>
        <v>12.576356449874236</v>
      </c>
    </row>
    <row r="158" spans="1:31" s="16" customFormat="1" x14ac:dyDescent="0.2">
      <c r="A158" s="16" t="s">
        <v>86</v>
      </c>
      <c r="B158" s="16" t="s">
        <v>226</v>
      </c>
      <c r="C158" s="5" t="s">
        <v>458</v>
      </c>
      <c r="D158" s="16" t="s">
        <v>226</v>
      </c>
      <c r="E158" s="16">
        <v>2.1</v>
      </c>
      <c r="F158" s="15">
        <f t="shared" si="26"/>
        <v>2.1</v>
      </c>
      <c r="G158" s="5" t="s">
        <v>405</v>
      </c>
      <c r="H158" s="5" t="s">
        <v>426</v>
      </c>
      <c r="I158" s="18" t="s">
        <v>201</v>
      </c>
      <c r="J158" s="24">
        <v>0.126</v>
      </c>
      <c r="K158" s="18" t="s">
        <v>143</v>
      </c>
      <c r="L158" s="20">
        <v>50</v>
      </c>
      <c r="M158" s="1">
        <v>530</v>
      </c>
      <c r="N158" s="1">
        <v>73</v>
      </c>
      <c r="O158" s="52">
        <f t="shared" si="27"/>
        <v>3.7975864875000003E+18</v>
      </c>
      <c r="P158" s="1">
        <v>12</v>
      </c>
      <c r="Q158" s="16" t="s">
        <v>62</v>
      </c>
      <c r="R158" s="16">
        <v>162</v>
      </c>
      <c r="S158" s="16">
        <v>-780</v>
      </c>
      <c r="T158" s="16">
        <v>-3878</v>
      </c>
      <c r="U158" s="16">
        <v>3098</v>
      </c>
      <c r="V158" s="16" t="s">
        <v>12</v>
      </c>
      <c r="W158" s="15">
        <f t="shared" si="18"/>
        <v>3.0979999999999999</v>
      </c>
      <c r="X158" s="2">
        <f t="shared" si="19"/>
        <v>7.2602739726027394</v>
      </c>
      <c r="Y158" s="2">
        <f t="shared" si="20"/>
        <v>9.9455807843873145E-2</v>
      </c>
      <c r="Z158" s="2">
        <f t="shared" si="21"/>
        <v>0.35585259314521961</v>
      </c>
      <c r="AA158" s="2">
        <f t="shared" si="22"/>
        <v>3305.2011035413861</v>
      </c>
      <c r="AB158" s="2">
        <f t="shared" si="23"/>
        <v>4.2438356164383559E-2</v>
      </c>
      <c r="AC158" s="2">
        <f t="shared" si="25"/>
        <v>2.430080527940075</v>
      </c>
      <c r="AD158" s="2">
        <v>166.456080876654</v>
      </c>
      <c r="AE158" s="2">
        <f t="shared" si="24"/>
        <v>23.563589412524209</v>
      </c>
    </row>
    <row r="159" spans="1:31" s="16" customFormat="1" x14ac:dyDescent="0.2">
      <c r="A159" s="16" t="s">
        <v>274</v>
      </c>
      <c r="B159" s="16" t="s">
        <v>226</v>
      </c>
      <c r="C159" s="5" t="s">
        <v>458</v>
      </c>
      <c r="D159" s="16" t="s">
        <v>226</v>
      </c>
      <c r="E159" s="16">
        <v>2.1</v>
      </c>
      <c r="F159" s="15">
        <f t="shared" si="26"/>
        <v>2.1</v>
      </c>
      <c r="G159" s="5" t="s">
        <v>405</v>
      </c>
      <c r="H159" s="5" t="s">
        <v>426</v>
      </c>
      <c r="I159" s="18" t="s">
        <v>202</v>
      </c>
      <c r="M159" s="1">
        <v>76</v>
      </c>
      <c r="N159" s="1">
        <v>15</v>
      </c>
      <c r="O159" s="52"/>
      <c r="P159" s="1">
        <v>11</v>
      </c>
      <c r="Q159" s="16" t="s">
        <v>62</v>
      </c>
      <c r="R159" s="16">
        <v>39</v>
      </c>
      <c r="S159" s="16">
        <v>-1418</v>
      </c>
      <c r="T159" s="16">
        <v>-2144</v>
      </c>
      <c r="U159" s="16">
        <v>726</v>
      </c>
      <c r="V159" s="16" t="s">
        <v>262</v>
      </c>
      <c r="W159" s="15">
        <f t="shared" ref="W159:W184" si="28">U159/1000</f>
        <v>0.72599999999999998</v>
      </c>
      <c r="X159" s="2">
        <f t="shared" ref="X159:X184" si="29">M159/N159</f>
        <v>5.0666666666666664</v>
      </c>
      <c r="Y159" s="2">
        <f t="shared" ref="Y159:Y184" si="30">M159/(N159*N159)</f>
        <v>0.33777777777777779</v>
      </c>
      <c r="Z159" s="2">
        <f t="shared" ref="Z159:Z184" si="31">(2*(SQRT(M159/3.14159264)))/N159</f>
        <v>0.65579876933387393</v>
      </c>
      <c r="AA159" s="2">
        <f t="shared" ref="AA159:AA184" si="32">R159/(2/SQRT(M159*3.14159264))</f>
        <v>301.31194085757704</v>
      </c>
      <c r="AB159" s="2">
        <f t="shared" ref="AB159:AB184" si="33">W159/N159</f>
        <v>4.8399999999999999E-2</v>
      </c>
      <c r="AC159" s="2">
        <f t="shared" si="25"/>
        <v>2.7709533702325091</v>
      </c>
      <c r="AD159" s="2">
        <v>167.456080876654</v>
      </c>
      <c r="AE159" s="2">
        <f t="shared" ref="AE159:AE184" si="34">N159/W159</f>
        <v>20.66115702479339</v>
      </c>
    </row>
    <row r="160" spans="1:31" s="16" customFormat="1" x14ac:dyDescent="0.2">
      <c r="A160" s="16" t="s">
        <v>88</v>
      </c>
      <c r="B160" s="16" t="s">
        <v>226</v>
      </c>
      <c r="C160" s="5" t="s">
        <v>458</v>
      </c>
      <c r="D160" s="16" t="s">
        <v>226</v>
      </c>
      <c r="E160" s="16">
        <v>2.1</v>
      </c>
      <c r="F160" s="15">
        <f t="shared" si="26"/>
        <v>2.1</v>
      </c>
      <c r="G160" s="5" t="s">
        <v>405</v>
      </c>
      <c r="H160" s="5" t="s">
        <v>426</v>
      </c>
      <c r="I160" s="18" t="s">
        <v>202</v>
      </c>
      <c r="J160" s="24">
        <v>0.186</v>
      </c>
      <c r="K160" s="18" t="s">
        <v>143</v>
      </c>
      <c r="L160" s="20">
        <v>50</v>
      </c>
      <c r="M160" s="1">
        <v>372</v>
      </c>
      <c r="N160" s="1">
        <v>44</v>
      </c>
      <c r="O160" s="52">
        <f t="shared" si="27"/>
        <v>3.4053244875000008E+18</v>
      </c>
      <c r="P160" s="1">
        <v>20</v>
      </c>
      <c r="Q160" s="16" t="s">
        <v>62</v>
      </c>
      <c r="R160" s="16">
        <v>132</v>
      </c>
      <c r="S160" s="16">
        <v>-116</v>
      </c>
      <c r="T160" s="16">
        <v>-2894</v>
      </c>
      <c r="U160" s="16">
        <v>2778</v>
      </c>
      <c r="V160" s="16" t="s">
        <v>12</v>
      </c>
      <c r="W160" s="15">
        <f t="shared" si="28"/>
        <v>2.778</v>
      </c>
      <c r="X160" s="2">
        <f t="shared" si="29"/>
        <v>8.454545454545455</v>
      </c>
      <c r="Y160" s="2">
        <f t="shared" si="30"/>
        <v>0.19214876033057851</v>
      </c>
      <c r="Z160" s="2">
        <f t="shared" si="31"/>
        <v>0.4946224834993212</v>
      </c>
      <c r="AA160" s="2">
        <f t="shared" si="32"/>
        <v>2256.2662176304639</v>
      </c>
      <c r="AB160" s="2">
        <f t="shared" si="33"/>
        <v>6.3136363636363643E-2</v>
      </c>
      <c r="AC160" s="2">
        <f t="shared" si="25"/>
        <v>3.6126520104983872</v>
      </c>
      <c r="AD160" s="2">
        <v>168.456080876654</v>
      </c>
      <c r="AE160" s="2">
        <f t="shared" si="34"/>
        <v>15.838732901367891</v>
      </c>
    </row>
    <row r="161" spans="1:31" s="16" customFormat="1" x14ac:dyDescent="0.2">
      <c r="A161" s="16" t="s">
        <v>63</v>
      </c>
      <c r="B161" s="16" t="s">
        <v>226</v>
      </c>
      <c r="C161" s="5" t="s">
        <v>458</v>
      </c>
      <c r="D161" s="16" t="s">
        <v>226</v>
      </c>
      <c r="E161" s="16">
        <v>2.1</v>
      </c>
      <c r="F161" s="15">
        <f t="shared" si="26"/>
        <v>2.1</v>
      </c>
      <c r="G161" s="5" t="s">
        <v>405</v>
      </c>
      <c r="H161" s="5" t="s">
        <v>426</v>
      </c>
      <c r="I161" s="18" t="s">
        <v>203</v>
      </c>
      <c r="J161" s="24">
        <v>2</v>
      </c>
      <c r="K161" s="18" t="s">
        <v>167</v>
      </c>
      <c r="L161" s="20">
        <v>100</v>
      </c>
      <c r="M161" s="1">
        <v>4605</v>
      </c>
      <c r="N161" s="1">
        <v>85</v>
      </c>
      <c r="O161" s="52">
        <f t="shared" si="27"/>
        <v>1.0581267449999999E+19</v>
      </c>
      <c r="P161" s="1">
        <v>100</v>
      </c>
      <c r="Q161" s="16" t="s">
        <v>62</v>
      </c>
      <c r="R161" s="16">
        <v>294</v>
      </c>
      <c r="S161" s="16">
        <v>241</v>
      </c>
      <c r="T161" s="16">
        <v>-4075</v>
      </c>
      <c r="U161" s="16">
        <v>4316</v>
      </c>
      <c r="V161" s="16" t="s">
        <v>12</v>
      </c>
      <c r="W161" s="15">
        <f t="shared" si="28"/>
        <v>4.3159999999999998</v>
      </c>
      <c r="X161" s="2">
        <f t="shared" si="29"/>
        <v>54.176470588235297</v>
      </c>
      <c r="Y161" s="2">
        <f t="shared" si="30"/>
        <v>0.63737024221453287</v>
      </c>
      <c r="Z161" s="2">
        <f t="shared" si="31"/>
        <v>0.9008468241246339</v>
      </c>
      <c r="AA161" s="2">
        <f t="shared" si="32"/>
        <v>17681.010718352183</v>
      </c>
      <c r="AB161" s="2">
        <f t="shared" si="33"/>
        <v>5.0776470588235291E-2</v>
      </c>
      <c r="AC161" s="2">
        <f t="shared" si="25"/>
        <v>2.9067810424713878</v>
      </c>
      <c r="AD161" s="2">
        <v>169.456080876654</v>
      </c>
      <c r="AE161" s="2">
        <f t="shared" si="34"/>
        <v>19.69416126042632</v>
      </c>
    </row>
    <row r="162" spans="1:31" s="16" customFormat="1" x14ac:dyDescent="0.2">
      <c r="A162" s="16" t="s">
        <v>295</v>
      </c>
      <c r="B162" s="16" t="s">
        <v>226</v>
      </c>
      <c r="C162" s="5" t="s">
        <v>458</v>
      </c>
      <c r="D162" s="16" t="s">
        <v>226</v>
      </c>
      <c r="E162" s="16">
        <v>2.1</v>
      </c>
      <c r="F162" s="15">
        <f t="shared" si="26"/>
        <v>2.1</v>
      </c>
      <c r="G162" s="5" t="s">
        <v>405</v>
      </c>
      <c r="H162" s="5" t="s">
        <v>426</v>
      </c>
      <c r="I162" s="18" t="s">
        <v>203</v>
      </c>
      <c r="M162" s="1">
        <v>347</v>
      </c>
      <c r="N162" s="1">
        <v>42</v>
      </c>
      <c r="O162" s="52"/>
      <c r="P162" s="1">
        <v>13</v>
      </c>
      <c r="Q162" s="16" t="s">
        <v>62</v>
      </c>
      <c r="R162" s="16">
        <v>104</v>
      </c>
      <c r="S162" s="16">
        <v>-1064</v>
      </c>
      <c r="T162" s="16">
        <v>-3674</v>
      </c>
      <c r="U162" s="16">
        <v>2610</v>
      </c>
      <c r="V162" s="16" t="s">
        <v>262</v>
      </c>
      <c r="W162" s="15">
        <f t="shared" si="28"/>
        <v>2.61</v>
      </c>
      <c r="X162" s="2">
        <f t="shared" si="29"/>
        <v>8.2619047619047628</v>
      </c>
      <c r="Y162" s="2">
        <f t="shared" si="30"/>
        <v>0.19671201814058956</v>
      </c>
      <c r="Z162" s="2">
        <f t="shared" si="31"/>
        <v>0.50046130869898142</v>
      </c>
      <c r="AA162" s="2">
        <f t="shared" si="32"/>
        <v>1716.8921559027287</v>
      </c>
      <c r="AB162" s="2">
        <f t="shared" si="33"/>
        <v>6.2142857142857139E-2</v>
      </c>
      <c r="AC162" s="2">
        <f t="shared" si="25"/>
        <v>3.5559507659447069</v>
      </c>
      <c r="AD162" s="2">
        <v>170.456080876654</v>
      </c>
      <c r="AE162" s="2">
        <f t="shared" si="34"/>
        <v>16.091954022988507</v>
      </c>
    </row>
    <row r="163" spans="1:31" s="16" customFormat="1" x14ac:dyDescent="0.2">
      <c r="A163" s="16" t="s">
        <v>269</v>
      </c>
      <c r="B163" s="16" t="s">
        <v>226</v>
      </c>
      <c r="C163" s="5" t="s">
        <v>458</v>
      </c>
      <c r="D163" s="16" t="s">
        <v>226</v>
      </c>
      <c r="E163" s="16">
        <v>2.1</v>
      </c>
      <c r="F163" s="15">
        <f t="shared" si="26"/>
        <v>2.1</v>
      </c>
      <c r="G163" s="5" t="s">
        <v>405</v>
      </c>
      <c r="H163" s="5" t="s">
        <v>426</v>
      </c>
      <c r="I163" s="36" t="s">
        <v>349</v>
      </c>
      <c r="M163" s="1">
        <v>25</v>
      </c>
      <c r="N163" s="1">
        <v>6</v>
      </c>
      <c r="O163" s="52"/>
      <c r="P163" s="1">
        <v>5</v>
      </c>
      <c r="Q163" s="16" t="s">
        <v>62</v>
      </c>
      <c r="R163" s="16">
        <v>20</v>
      </c>
      <c r="S163" s="16">
        <v>-781</v>
      </c>
      <c r="T163" s="16">
        <v>-1237</v>
      </c>
      <c r="U163" s="16">
        <v>456</v>
      </c>
      <c r="V163" s="16" t="s">
        <v>262</v>
      </c>
      <c r="W163" s="15">
        <f t="shared" si="28"/>
        <v>0.45600000000000002</v>
      </c>
      <c r="X163" s="2">
        <f t="shared" si="29"/>
        <v>4.166666666666667</v>
      </c>
      <c r="Y163" s="2">
        <f t="shared" si="30"/>
        <v>0.69444444444444442</v>
      </c>
      <c r="Z163" s="2">
        <f t="shared" si="31"/>
        <v>0.94031597461338701</v>
      </c>
      <c r="AA163" s="2">
        <f t="shared" si="32"/>
        <v>88.622692353595312</v>
      </c>
      <c r="AB163" s="2">
        <f t="shared" si="33"/>
        <v>7.5999999999999998E-2</v>
      </c>
      <c r="AC163" s="2">
        <f t="shared" si="25"/>
        <v>4.3461243546024297</v>
      </c>
      <c r="AD163" s="2">
        <v>171.456080876654</v>
      </c>
      <c r="AE163" s="2">
        <f t="shared" si="34"/>
        <v>13.157894736842104</v>
      </c>
    </row>
    <row r="164" spans="1:31" s="37" customFormat="1" x14ac:dyDescent="0.2">
      <c r="A164" s="16" t="s">
        <v>300</v>
      </c>
      <c r="B164" s="16" t="s">
        <v>226</v>
      </c>
      <c r="C164" s="5" t="s">
        <v>458</v>
      </c>
      <c r="D164" s="16" t="s">
        <v>226</v>
      </c>
      <c r="E164" s="16">
        <v>2.1</v>
      </c>
      <c r="F164" s="15">
        <f t="shared" si="26"/>
        <v>2.1</v>
      </c>
      <c r="G164" s="5" t="s">
        <v>405</v>
      </c>
      <c r="H164" s="5" t="s">
        <v>426</v>
      </c>
      <c r="I164" s="5" t="s">
        <v>351</v>
      </c>
      <c r="J164" s="16"/>
      <c r="K164" s="16"/>
      <c r="L164" s="16"/>
      <c r="M164" s="1">
        <v>1790</v>
      </c>
      <c r="N164" s="1">
        <v>43</v>
      </c>
      <c r="O164" s="52"/>
      <c r="P164" s="1">
        <v>59</v>
      </c>
      <c r="Q164" s="16" t="s">
        <v>62</v>
      </c>
      <c r="R164" s="16">
        <v>192</v>
      </c>
      <c r="S164" s="16">
        <v>-109</v>
      </c>
      <c r="T164" s="16">
        <v>-3203</v>
      </c>
      <c r="U164" s="16">
        <v>3094</v>
      </c>
      <c r="V164" s="16" t="s">
        <v>262</v>
      </c>
      <c r="W164" s="15">
        <f t="shared" si="28"/>
        <v>3.0939999999999999</v>
      </c>
      <c r="X164" s="2">
        <f t="shared" si="29"/>
        <v>41.627906976744185</v>
      </c>
      <c r="Y164" s="2">
        <f t="shared" si="30"/>
        <v>0.96809085992428334</v>
      </c>
      <c r="Z164" s="2">
        <f t="shared" si="31"/>
        <v>1.1102304135107519</v>
      </c>
      <c r="AA164" s="2">
        <f t="shared" si="32"/>
        <v>7199.0084601096005</v>
      </c>
      <c r="AB164" s="2">
        <f t="shared" si="33"/>
        <v>7.1953488372093019E-2</v>
      </c>
      <c r="AC164" s="2">
        <f t="shared" si="25"/>
        <v>4.115538518878556</v>
      </c>
      <c r="AD164" s="2">
        <v>172.456080876654</v>
      </c>
      <c r="AE164" s="2">
        <f t="shared" si="34"/>
        <v>13.89786683904331</v>
      </c>
    </row>
    <row r="165" spans="1:31" s="16" customFormat="1" x14ac:dyDescent="0.2">
      <c r="A165" s="16" t="s">
        <v>297</v>
      </c>
      <c r="B165" s="16" t="s">
        <v>226</v>
      </c>
      <c r="C165" s="5" t="s">
        <v>458</v>
      </c>
      <c r="D165" s="16" t="s">
        <v>226</v>
      </c>
      <c r="E165" s="16">
        <v>2.1</v>
      </c>
      <c r="F165" s="15">
        <f t="shared" si="26"/>
        <v>2.1</v>
      </c>
      <c r="G165" s="5" t="s">
        <v>405</v>
      </c>
      <c r="H165" s="5" t="s">
        <v>426</v>
      </c>
      <c r="I165" s="5" t="s">
        <v>351</v>
      </c>
      <c r="M165" s="1">
        <v>495</v>
      </c>
      <c r="N165" s="1">
        <v>51</v>
      </c>
      <c r="O165" s="52"/>
      <c r="P165" s="1">
        <v>14</v>
      </c>
      <c r="Q165" s="16" t="s">
        <v>62</v>
      </c>
      <c r="R165" s="16">
        <v>128</v>
      </c>
      <c r="S165" s="16">
        <v>-383</v>
      </c>
      <c r="T165" s="16">
        <v>-3201</v>
      </c>
      <c r="U165" s="16">
        <v>2818</v>
      </c>
      <c r="V165" s="16" t="s">
        <v>262</v>
      </c>
      <c r="W165" s="15">
        <f t="shared" si="28"/>
        <v>2.8180000000000001</v>
      </c>
      <c r="X165" s="2">
        <f t="shared" si="29"/>
        <v>9.7058823529411757</v>
      </c>
      <c r="Y165" s="2">
        <f t="shared" si="30"/>
        <v>0.19031141868512111</v>
      </c>
      <c r="Z165" s="2">
        <f t="shared" si="31"/>
        <v>0.49225199352844834</v>
      </c>
      <c r="AA165" s="2">
        <f t="shared" si="32"/>
        <v>2523.8149515074992</v>
      </c>
      <c r="AB165" s="2">
        <f t="shared" si="33"/>
        <v>5.5254901960784315E-2</v>
      </c>
      <c r="AC165" s="2">
        <f t="shared" si="25"/>
        <v>3.1626566559744709</v>
      </c>
      <c r="AD165" s="2">
        <v>173.456080876654</v>
      </c>
      <c r="AE165" s="2">
        <f t="shared" si="34"/>
        <v>18.097941802696948</v>
      </c>
    </row>
    <row r="166" spans="1:31" s="16" customFormat="1" x14ac:dyDescent="0.2">
      <c r="A166" s="16" t="s">
        <v>287</v>
      </c>
      <c r="B166" s="16" t="s">
        <v>226</v>
      </c>
      <c r="C166" s="5" t="s">
        <v>458</v>
      </c>
      <c r="D166" s="16" t="s">
        <v>226</v>
      </c>
      <c r="E166" s="16">
        <v>2.1</v>
      </c>
      <c r="F166" s="15">
        <f t="shared" si="26"/>
        <v>2.1</v>
      </c>
      <c r="G166" s="5" t="s">
        <v>405</v>
      </c>
      <c r="H166" s="5" t="s">
        <v>426</v>
      </c>
      <c r="I166" s="5" t="s">
        <v>355</v>
      </c>
      <c r="M166" s="1">
        <v>597</v>
      </c>
      <c r="N166" s="1">
        <v>30</v>
      </c>
      <c r="O166" s="52"/>
      <c r="P166" s="1">
        <v>30</v>
      </c>
      <c r="Q166" s="16" t="s">
        <v>62</v>
      </c>
      <c r="R166" s="16">
        <v>119</v>
      </c>
      <c r="S166" s="16">
        <v>-109</v>
      </c>
      <c r="T166" s="16">
        <v>-2042</v>
      </c>
      <c r="U166" s="16">
        <v>1933</v>
      </c>
      <c r="V166" s="16" t="s">
        <v>262</v>
      </c>
      <c r="W166" s="15">
        <f t="shared" si="28"/>
        <v>1.9330000000000001</v>
      </c>
      <c r="X166" s="2">
        <f t="shared" si="29"/>
        <v>19.899999999999999</v>
      </c>
      <c r="Y166" s="2">
        <f t="shared" si="30"/>
        <v>0.66333333333333333</v>
      </c>
      <c r="Z166" s="2">
        <f t="shared" si="31"/>
        <v>0.91901155324318751</v>
      </c>
      <c r="AA166" s="2">
        <f t="shared" si="32"/>
        <v>2576.790239081311</v>
      </c>
      <c r="AB166" s="2">
        <f t="shared" si="33"/>
        <v>6.4433333333333329E-2</v>
      </c>
      <c r="AC166" s="2">
        <f t="shared" si="25"/>
        <v>3.686661780823798</v>
      </c>
      <c r="AD166" s="2">
        <v>174.456080876654</v>
      </c>
      <c r="AE166" s="2">
        <f t="shared" si="34"/>
        <v>15.519917227108122</v>
      </c>
    </row>
    <row r="167" spans="1:31" s="16" customFormat="1" x14ac:dyDescent="0.2">
      <c r="A167" s="16" t="s">
        <v>276</v>
      </c>
      <c r="B167" s="16" t="s">
        <v>226</v>
      </c>
      <c r="C167" s="5" t="s">
        <v>458</v>
      </c>
      <c r="D167" s="16" t="s">
        <v>226</v>
      </c>
      <c r="E167" s="16">
        <v>2.1</v>
      </c>
      <c r="F167" s="15">
        <f t="shared" si="26"/>
        <v>2.1</v>
      </c>
      <c r="G167" s="5" t="s">
        <v>405</v>
      </c>
      <c r="H167" s="5" t="s">
        <v>426</v>
      </c>
      <c r="I167" s="5" t="s">
        <v>355</v>
      </c>
      <c r="M167" s="1">
        <v>124</v>
      </c>
      <c r="N167" s="1">
        <v>12</v>
      </c>
      <c r="O167" s="52"/>
      <c r="P167" s="1">
        <v>13</v>
      </c>
      <c r="Q167" s="16" t="s">
        <v>62</v>
      </c>
      <c r="R167" s="16">
        <v>44</v>
      </c>
      <c r="S167" s="16">
        <v>-72</v>
      </c>
      <c r="T167" s="16">
        <v>-834</v>
      </c>
      <c r="U167" s="16">
        <v>762</v>
      </c>
      <c r="V167" s="16" t="s">
        <v>262</v>
      </c>
      <c r="W167" s="15">
        <f t="shared" si="28"/>
        <v>0.76200000000000001</v>
      </c>
      <c r="X167" s="2">
        <f t="shared" si="29"/>
        <v>10.333333333333334</v>
      </c>
      <c r="Y167" s="2">
        <f t="shared" si="30"/>
        <v>0.86111111111111116</v>
      </c>
      <c r="Z167" s="2">
        <f t="shared" si="31"/>
        <v>1.0470915546504391</v>
      </c>
      <c r="AA167" s="2">
        <f t="shared" si="32"/>
        <v>434.21863603746903</v>
      </c>
      <c r="AB167" s="2">
        <f t="shared" si="33"/>
        <v>6.3500000000000001E-2</v>
      </c>
      <c r="AC167" s="2">
        <f t="shared" si="25"/>
        <v>3.6334036419094917</v>
      </c>
      <c r="AD167" s="2">
        <v>175.456080876654</v>
      </c>
      <c r="AE167" s="2">
        <f t="shared" si="34"/>
        <v>15.748031496062993</v>
      </c>
    </row>
    <row r="168" spans="1:31" s="16" customFormat="1" x14ac:dyDescent="0.2">
      <c r="A168" s="16" t="s">
        <v>82</v>
      </c>
      <c r="B168" s="16" t="s">
        <v>226</v>
      </c>
      <c r="C168" s="5" t="s">
        <v>458</v>
      </c>
      <c r="D168" s="16" t="s">
        <v>226</v>
      </c>
      <c r="E168" s="16">
        <v>2.1</v>
      </c>
      <c r="F168" s="15">
        <f t="shared" si="26"/>
        <v>2.1</v>
      </c>
      <c r="G168" s="5" t="s">
        <v>405</v>
      </c>
      <c r="H168" s="5" t="s">
        <v>426</v>
      </c>
      <c r="I168" s="7" t="s">
        <v>204</v>
      </c>
      <c r="J168" s="26">
        <v>0.43</v>
      </c>
      <c r="K168" s="18" t="s">
        <v>143</v>
      </c>
      <c r="L168" s="20">
        <v>50</v>
      </c>
      <c r="M168" s="1">
        <v>395</v>
      </c>
      <c r="N168" s="1">
        <v>38</v>
      </c>
      <c r="O168" s="52">
        <f t="shared" si="27"/>
        <v>2.5472513624999992E+18</v>
      </c>
      <c r="P168" s="1">
        <v>21</v>
      </c>
      <c r="Q168" s="16" t="s">
        <v>62</v>
      </c>
      <c r="R168" s="16">
        <v>100</v>
      </c>
      <c r="S168" s="16">
        <v>-1480</v>
      </c>
      <c r="T168" s="16">
        <v>-3558</v>
      </c>
      <c r="U168" s="16">
        <v>2078</v>
      </c>
      <c r="V168" s="16" t="s">
        <v>12</v>
      </c>
      <c r="W168" s="15">
        <f t="shared" si="28"/>
        <v>2.0779999999999998</v>
      </c>
      <c r="X168" s="2">
        <f t="shared" si="29"/>
        <v>10.394736842105264</v>
      </c>
      <c r="Y168" s="2">
        <f t="shared" si="30"/>
        <v>0.27354570637119113</v>
      </c>
      <c r="Z168" s="2">
        <f t="shared" si="31"/>
        <v>0.5901603274966315</v>
      </c>
      <c r="AA168" s="2">
        <f t="shared" si="32"/>
        <v>1761.3411742192368</v>
      </c>
      <c r="AB168" s="2">
        <f t="shared" si="33"/>
        <v>5.4684210526315787E-2</v>
      </c>
      <c r="AC168" s="2">
        <f t="shared" si="25"/>
        <v>3.1300569512160621</v>
      </c>
      <c r="AD168" s="2">
        <v>176.456080876654</v>
      </c>
      <c r="AE168" s="2">
        <f t="shared" si="34"/>
        <v>18.286814244465834</v>
      </c>
    </row>
    <row r="169" spans="1:31" s="16" customFormat="1" x14ac:dyDescent="0.2">
      <c r="A169" s="16" t="s">
        <v>83</v>
      </c>
      <c r="B169" s="16" t="s">
        <v>226</v>
      </c>
      <c r="C169" s="5" t="s">
        <v>458</v>
      </c>
      <c r="D169" s="16" t="s">
        <v>226</v>
      </c>
      <c r="E169" s="16">
        <v>2.1</v>
      </c>
      <c r="F169" s="15">
        <f t="shared" si="26"/>
        <v>2.1</v>
      </c>
      <c r="G169" s="5" t="s">
        <v>405</v>
      </c>
      <c r="H169" s="5" t="s">
        <v>426</v>
      </c>
      <c r="I169" s="18" t="s">
        <v>205</v>
      </c>
      <c r="J169" s="24">
        <v>0.29499999999999998</v>
      </c>
      <c r="K169" s="18" t="s">
        <v>145</v>
      </c>
      <c r="L169" s="20">
        <v>5</v>
      </c>
      <c r="M169" s="1">
        <v>188</v>
      </c>
      <c r="N169" s="1">
        <v>30</v>
      </c>
      <c r="O169" s="52">
        <f t="shared" si="27"/>
        <v>2.8524802312499997E+17</v>
      </c>
      <c r="P169" s="1">
        <v>8</v>
      </c>
      <c r="Q169" s="16" t="s">
        <v>62</v>
      </c>
      <c r="R169" s="16">
        <v>71</v>
      </c>
      <c r="S169" s="16">
        <v>-37</v>
      </c>
      <c r="T169" s="16">
        <v>-2364</v>
      </c>
      <c r="U169" s="16">
        <v>2327</v>
      </c>
      <c r="V169" s="16" t="s">
        <v>12</v>
      </c>
      <c r="W169" s="15">
        <f t="shared" si="28"/>
        <v>2.327</v>
      </c>
      <c r="X169" s="2">
        <f t="shared" si="29"/>
        <v>6.2666666666666666</v>
      </c>
      <c r="Y169" s="2">
        <f t="shared" si="30"/>
        <v>0.2088888888888889</v>
      </c>
      <c r="Z169" s="2">
        <f t="shared" si="31"/>
        <v>0.51571852297510867</v>
      </c>
      <c r="AA169" s="2">
        <f t="shared" si="32"/>
        <v>862.74452731807003</v>
      </c>
      <c r="AB169" s="2">
        <f t="shared" si="33"/>
        <v>7.7566666666666659E-2</v>
      </c>
      <c r="AC169" s="2">
        <f t="shared" si="25"/>
        <v>4.4353616103530813</v>
      </c>
      <c r="AD169" s="2">
        <v>177.456080876654</v>
      </c>
      <c r="AE169" s="2">
        <f t="shared" si="34"/>
        <v>12.89213579716373</v>
      </c>
    </row>
    <row r="170" spans="1:31" s="39" customFormat="1" x14ac:dyDescent="0.2">
      <c r="A170" s="16" t="s">
        <v>84</v>
      </c>
      <c r="B170" s="16" t="s">
        <v>226</v>
      </c>
      <c r="C170" s="5" t="s">
        <v>458</v>
      </c>
      <c r="D170" s="16" t="s">
        <v>226</v>
      </c>
      <c r="E170" s="16">
        <v>2.1</v>
      </c>
      <c r="F170" s="15">
        <f t="shared" si="26"/>
        <v>2.1</v>
      </c>
      <c r="G170" s="5" t="s">
        <v>405</v>
      </c>
      <c r="H170" s="5" t="s">
        <v>426</v>
      </c>
      <c r="I170" s="18" t="s">
        <v>206</v>
      </c>
      <c r="J170" s="24">
        <v>0.27</v>
      </c>
      <c r="K170" s="18" t="s">
        <v>145</v>
      </c>
      <c r="L170" s="20">
        <v>5</v>
      </c>
      <c r="M170" s="1">
        <v>266</v>
      </c>
      <c r="N170" s="1">
        <v>56</v>
      </c>
      <c r="O170" s="52">
        <f t="shared" si="27"/>
        <v>3.545067825E+17</v>
      </c>
      <c r="P170" s="1">
        <v>9</v>
      </c>
      <c r="Q170" s="16" t="s">
        <v>62</v>
      </c>
      <c r="R170" s="16">
        <v>125</v>
      </c>
      <c r="S170" s="16">
        <v>-30</v>
      </c>
      <c r="T170" s="16">
        <v>-2922</v>
      </c>
      <c r="U170" s="16">
        <v>2892</v>
      </c>
      <c r="V170" s="16" t="s">
        <v>12</v>
      </c>
      <c r="W170" s="15">
        <f t="shared" si="28"/>
        <v>2.8919999999999999</v>
      </c>
      <c r="X170" s="2">
        <f t="shared" si="29"/>
        <v>4.75</v>
      </c>
      <c r="Y170" s="2">
        <f t="shared" si="30"/>
        <v>8.4821428571428575E-2</v>
      </c>
      <c r="Z170" s="2">
        <f t="shared" si="31"/>
        <v>0.32863048788151999</v>
      </c>
      <c r="AA170" s="2">
        <f t="shared" si="32"/>
        <v>1806.7404635143366</v>
      </c>
      <c r="AB170" s="2">
        <f t="shared" si="33"/>
        <v>5.1642857142857143E-2</v>
      </c>
      <c r="AC170" s="2">
        <f t="shared" si="25"/>
        <v>2.9562914947343688</v>
      </c>
      <c r="AD170" s="2">
        <v>178.456080876654</v>
      </c>
      <c r="AE170" s="2">
        <f t="shared" si="34"/>
        <v>19.363762102351316</v>
      </c>
    </row>
    <row r="171" spans="1:31" s="39" customFormat="1" x14ac:dyDescent="0.2">
      <c r="A171" s="16" t="s">
        <v>85</v>
      </c>
      <c r="B171" s="16" t="s">
        <v>226</v>
      </c>
      <c r="C171" s="5" t="s">
        <v>458</v>
      </c>
      <c r="D171" s="16" t="s">
        <v>226</v>
      </c>
      <c r="E171" s="16">
        <v>2.1</v>
      </c>
      <c r="F171" s="15">
        <f t="shared" si="26"/>
        <v>2.1</v>
      </c>
      <c r="G171" s="5" t="s">
        <v>405</v>
      </c>
      <c r="H171" s="5" t="s">
        <v>426</v>
      </c>
      <c r="I171" s="18" t="s">
        <v>207</v>
      </c>
      <c r="J171" s="24">
        <v>0.30499999999999999</v>
      </c>
      <c r="K171" s="18" t="s">
        <v>145</v>
      </c>
      <c r="L171" s="20">
        <v>5</v>
      </c>
      <c r="M171" s="1">
        <v>190</v>
      </c>
      <c r="N171" s="1">
        <v>18</v>
      </c>
      <c r="O171" s="52">
        <f t="shared" si="27"/>
        <v>2.57544519375E+17</v>
      </c>
      <c r="P171" s="1">
        <v>14</v>
      </c>
      <c r="Q171" s="16" t="s">
        <v>62</v>
      </c>
      <c r="R171" s="16">
        <v>57</v>
      </c>
      <c r="S171" s="16">
        <v>491</v>
      </c>
      <c r="T171" s="16">
        <v>-1610</v>
      </c>
      <c r="U171" s="16">
        <v>2101</v>
      </c>
      <c r="V171" s="16" t="s">
        <v>12</v>
      </c>
      <c r="W171" s="15">
        <f t="shared" si="28"/>
        <v>2.101</v>
      </c>
      <c r="X171" s="2">
        <f t="shared" si="29"/>
        <v>10.555555555555555</v>
      </c>
      <c r="Y171" s="2">
        <f t="shared" si="30"/>
        <v>0.5864197530864198</v>
      </c>
      <c r="Z171" s="2">
        <f t="shared" si="31"/>
        <v>0.86409074909601058</v>
      </c>
      <c r="AA171" s="2">
        <f t="shared" si="32"/>
        <v>696.30032180776698</v>
      </c>
      <c r="AB171" s="2">
        <f t="shared" si="33"/>
        <v>0.11672222222222223</v>
      </c>
      <c r="AC171" s="2">
        <f t="shared" si="25"/>
        <v>6.6575653810618594</v>
      </c>
      <c r="AD171" s="2">
        <v>179.456080876654</v>
      </c>
      <c r="AE171" s="2">
        <f t="shared" si="34"/>
        <v>8.5673488814850067</v>
      </c>
    </row>
    <row r="172" spans="1:31" s="39" customFormat="1" x14ac:dyDescent="0.2">
      <c r="A172" s="16" t="s">
        <v>87</v>
      </c>
      <c r="B172" s="16" t="s">
        <v>226</v>
      </c>
      <c r="C172" s="5" t="s">
        <v>458</v>
      </c>
      <c r="D172" s="16" t="s">
        <v>226</v>
      </c>
      <c r="E172" s="16">
        <v>2.1</v>
      </c>
      <c r="F172" s="15">
        <f t="shared" si="26"/>
        <v>2.1</v>
      </c>
      <c r="G172" s="5" t="s">
        <v>405</v>
      </c>
      <c r="H172" s="5" t="s">
        <v>426</v>
      </c>
      <c r="I172" s="18" t="s">
        <v>208</v>
      </c>
      <c r="J172" s="24">
        <v>0.16900000000000001</v>
      </c>
      <c r="K172" s="18" t="s">
        <v>145</v>
      </c>
      <c r="L172" s="20">
        <v>5</v>
      </c>
      <c r="M172" s="1">
        <v>360</v>
      </c>
      <c r="N172" s="1">
        <v>48</v>
      </c>
      <c r="O172" s="52">
        <f t="shared" si="27"/>
        <v>2.50434770625E+17</v>
      </c>
      <c r="P172" s="1">
        <v>12</v>
      </c>
      <c r="Q172" s="16" t="s">
        <v>62</v>
      </c>
      <c r="R172" s="16">
        <v>108</v>
      </c>
      <c r="S172" s="16">
        <v>-1783</v>
      </c>
      <c r="T172" s="16">
        <v>-3826</v>
      </c>
      <c r="U172" s="16">
        <v>2043</v>
      </c>
      <c r="V172" s="16" t="s">
        <v>12</v>
      </c>
      <c r="W172" s="15">
        <f t="shared" si="28"/>
        <v>2.0430000000000001</v>
      </c>
      <c r="X172" s="2">
        <f t="shared" si="29"/>
        <v>7.5</v>
      </c>
      <c r="Y172" s="2">
        <f t="shared" si="30"/>
        <v>0.15625</v>
      </c>
      <c r="Z172" s="2">
        <f t="shared" si="31"/>
        <v>0.44603103000290562</v>
      </c>
      <c r="AA172" s="2">
        <f t="shared" si="32"/>
        <v>1816.0171501850964</v>
      </c>
      <c r="AB172" s="2">
        <f t="shared" si="33"/>
        <v>4.2562500000000003E-2</v>
      </c>
      <c r="AC172" s="2">
        <f t="shared" si="25"/>
        <v>2.4371806209630349</v>
      </c>
      <c r="AD172" s="2">
        <v>180.456080876653</v>
      </c>
      <c r="AE172" s="2">
        <f t="shared" si="34"/>
        <v>23.494860499265783</v>
      </c>
    </row>
    <row r="173" spans="1:31" s="41" customFormat="1" x14ac:dyDescent="0.2">
      <c r="A173" s="5" t="s">
        <v>107</v>
      </c>
      <c r="B173" s="5" t="s">
        <v>227</v>
      </c>
      <c r="C173" s="5" t="s">
        <v>444</v>
      </c>
      <c r="D173" s="41" t="s">
        <v>434</v>
      </c>
      <c r="E173" s="7" t="s">
        <v>249</v>
      </c>
      <c r="F173" s="50">
        <f>4.4</f>
        <v>4.4000000000000004</v>
      </c>
      <c r="G173" s="5" t="s">
        <v>445</v>
      </c>
      <c r="H173" s="5" t="s">
        <v>411</v>
      </c>
      <c r="I173" s="7"/>
      <c r="J173" s="26"/>
      <c r="K173" s="7"/>
      <c r="L173" s="21"/>
      <c r="M173" s="51">
        <v>84</v>
      </c>
      <c r="N173" s="51">
        <v>19</v>
      </c>
      <c r="O173" s="52"/>
      <c r="P173" s="51">
        <v>7</v>
      </c>
      <c r="Q173" s="5" t="s">
        <v>101</v>
      </c>
      <c r="R173" s="5">
        <v>46</v>
      </c>
      <c r="S173" s="5">
        <v>-138</v>
      </c>
      <c r="T173" s="5">
        <v>-2383</v>
      </c>
      <c r="U173" s="5">
        <v>2245</v>
      </c>
      <c r="V173" s="5" t="s">
        <v>262</v>
      </c>
      <c r="W173" s="15">
        <f t="shared" si="28"/>
        <v>2.2450000000000001</v>
      </c>
      <c r="X173" s="2">
        <f t="shared" si="29"/>
        <v>4.4210526315789478</v>
      </c>
      <c r="Y173" s="2">
        <f t="shared" si="30"/>
        <v>0.23268698060941828</v>
      </c>
      <c r="Z173" s="2">
        <f t="shared" si="31"/>
        <v>0.54430346915899208</v>
      </c>
      <c r="AA173" s="2">
        <f t="shared" si="32"/>
        <v>373.63058032104379</v>
      </c>
      <c r="AB173" s="2">
        <f t="shared" si="33"/>
        <v>0.11815789473684211</v>
      </c>
      <c r="AC173" s="2">
        <f t="shared" si="25"/>
        <v>6.7387042627012654</v>
      </c>
      <c r="AD173" s="2">
        <v>181.456080876653</v>
      </c>
      <c r="AE173" s="2">
        <f t="shared" si="34"/>
        <v>8.463251670378618</v>
      </c>
    </row>
    <row r="174" spans="1:31" s="41" customFormat="1" x14ac:dyDescent="0.2">
      <c r="A174" s="5" t="s">
        <v>298</v>
      </c>
      <c r="B174" s="5" t="s">
        <v>227</v>
      </c>
      <c r="C174" s="5" t="s">
        <v>446</v>
      </c>
      <c r="D174" s="41" t="s">
        <v>434</v>
      </c>
      <c r="E174" s="7" t="s">
        <v>249</v>
      </c>
      <c r="F174" s="50">
        <v>4.4000000000000004</v>
      </c>
      <c r="G174" s="5" t="s">
        <v>445</v>
      </c>
      <c r="H174" s="5" t="s">
        <v>411</v>
      </c>
      <c r="I174" s="5"/>
      <c r="J174" s="5"/>
      <c r="K174" s="5"/>
      <c r="L174" s="5"/>
      <c r="M174" s="51">
        <v>50</v>
      </c>
      <c r="N174" s="51">
        <v>13</v>
      </c>
      <c r="O174" s="52"/>
      <c r="P174" s="51">
        <v>7</v>
      </c>
      <c r="Q174" s="5" t="s">
        <v>101</v>
      </c>
      <c r="R174" s="5">
        <v>37</v>
      </c>
      <c r="S174" s="5">
        <v>-89</v>
      </c>
      <c r="T174" s="5">
        <v>-2537</v>
      </c>
      <c r="U174" s="5">
        <v>2448</v>
      </c>
      <c r="V174" s="5" t="s">
        <v>262</v>
      </c>
      <c r="W174" s="15">
        <f t="shared" si="28"/>
        <v>2.448</v>
      </c>
      <c r="X174" s="2">
        <f t="shared" si="29"/>
        <v>3.8461538461538463</v>
      </c>
      <c r="Y174" s="2">
        <f t="shared" si="30"/>
        <v>0.29585798816568049</v>
      </c>
      <c r="Z174" s="2">
        <f t="shared" si="31"/>
        <v>0.61375735579122781</v>
      </c>
      <c r="AA174" s="2">
        <f t="shared" si="32"/>
        <v>231.86311490187481</v>
      </c>
      <c r="AB174" s="2">
        <f t="shared" si="33"/>
        <v>0.18830769230769231</v>
      </c>
      <c r="AC174" s="2">
        <f t="shared" si="25"/>
        <v>10.664354404087058</v>
      </c>
      <c r="AD174" s="2">
        <v>182.456080876653</v>
      </c>
      <c r="AE174" s="2">
        <f t="shared" si="34"/>
        <v>5.3104575163398691</v>
      </c>
    </row>
    <row r="175" spans="1:31" s="5" customFormat="1" x14ac:dyDescent="0.2">
      <c r="A175" s="5" t="s">
        <v>106</v>
      </c>
      <c r="B175" s="5" t="s">
        <v>227</v>
      </c>
      <c r="C175" s="5" t="s">
        <v>444</v>
      </c>
      <c r="D175" s="41" t="s">
        <v>434</v>
      </c>
      <c r="E175" s="7" t="s">
        <v>249</v>
      </c>
      <c r="F175" s="50">
        <v>4.4000000000000004</v>
      </c>
      <c r="G175" s="5" t="s">
        <v>445</v>
      </c>
      <c r="H175" s="5" t="s">
        <v>411</v>
      </c>
      <c r="I175" s="7"/>
      <c r="J175" s="26"/>
      <c r="K175" s="7"/>
      <c r="L175" s="21"/>
      <c r="M175" s="51">
        <v>271</v>
      </c>
      <c r="N175" s="51">
        <v>28</v>
      </c>
      <c r="O175" s="52"/>
      <c r="P175" s="51">
        <v>15</v>
      </c>
      <c r="Q175" s="5" t="s">
        <v>101</v>
      </c>
      <c r="R175" s="5">
        <v>72</v>
      </c>
      <c r="S175" s="5">
        <v>-72</v>
      </c>
      <c r="T175" s="5">
        <v>-3083</v>
      </c>
      <c r="U175" s="5">
        <v>3011</v>
      </c>
      <c r="V175" s="5" t="s">
        <v>262</v>
      </c>
      <c r="W175" s="15">
        <f t="shared" si="28"/>
        <v>3.0110000000000001</v>
      </c>
      <c r="X175" s="2">
        <f t="shared" si="29"/>
        <v>9.6785714285714288</v>
      </c>
      <c r="Y175" s="2">
        <f t="shared" si="30"/>
        <v>0.34566326530612246</v>
      </c>
      <c r="Z175" s="2">
        <f t="shared" si="31"/>
        <v>0.66340948173346082</v>
      </c>
      <c r="AA175" s="2">
        <f t="shared" si="32"/>
        <v>1050.4178219405076</v>
      </c>
      <c r="AB175" s="2">
        <f t="shared" si="33"/>
        <v>0.10753571428571429</v>
      </c>
      <c r="AC175" s="2">
        <f t="shared" si="25"/>
        <v>6.1377562332018263</v>
      </c>
      <c r="AD175" s="2">
        <v>183.456080876653</v>
      </c>
      <c r="AE175" s="2">
        <f t="shared" si="34"/>
        <v>9.2992361341746932</v>
      </c>
    </row>
    <row r="176" spans="1:31" s="16" customFormat="1" x14ac:dyDescent="0.2">
      <c r="A176" s="16" t="s">
        <v>103</v>
      </c>
      <c r="B176" s="16" t="s">
        <v>228</v>
      </c>
      <c r="C176" s="16" t="s">
        <v>444</v>
      </c>
      <c r="D176" s="39" t="s">
        <v>434</v>
      </c>
      <c r="E176" s="18" t="s">
        <v>248</v>
      </c>
      <c r="F176" s="19">
        <v>3.4</v>
      </c>
      <c r="G176" s="16" t="s">
        <v>445</v>
      </c>
      <c r="H176" s="5" t="s">
        <v>411</v>
      </c>
      <c r="I176" s="7"/>
      <c r="J176" s="26"/>
      <c r="K176" s="7"/>
      <c r="L176" s="21"/>
      <c r="M176" s="1">
        <v>399</v>
      </c>
      <c r="N176" s="1">
        <v>51</v>
      </c>
      <c r="O176" s="52"/>
      <c r="P176" s="1">
        <v>10</v>
      </c>
      <c r="Q176" s="16" t="s">
        <v>101</v>
      </c>
      <c r="R176" s="16">
        <v>119</v>
      </c>
      <c r="S176" s="16">
        <v>1368</v>
      </c>
      <c r="T176" s="16">
        <v>-3203</v>
      </c>
      <c r="U176" s="16">
        <v>4571</v>
      </c>
      <c r="V176" s="16" t="s">
        <v>12</v>
      </c>
      <c r="W176" s="15">
        <f t="shared" si="28"/>
        <v>4.5709999999999997</v>
      </c>
      <c r="X176" s="2">
        <f t="shared" si="29"/>
        <v>7.8235294117647056</v>
      </c>
      <c r="Y176" s="2">
        <f t="shared" si="30"/>
        <v>0.15340253748558247</v>
      </c>
      <c r="Z176" s="2">
        <f t="shared" si="31"/>
        <v>0.44194816193108261</v>
      </c>
      <c r="AA176" s="2">
        <f t="shared" si="32"/>
        <v>2106.5819030268535</v>
      </c>
      <c r="AB176" s="2">
        <f t="shared" si="33"/>
        <v>8.9627450980392154E-2</v>
      </c>
      <c r="AC176" s="2">
        <f t="shared" si="25"/>
        <v>5.1215898773088444</v>
      </c>
      <c r="AD176" s="2">
        <v>184.456080876653</v>
      </c>
      <c r="AE176" s="2">
        <f t="shared" si="34"/>
        <v>11.157295996499672</v>
      </c>
    </row>
    <row r="177" spans="1:31" s="5" customFormat="1" x14ac:dyDescent="0.2">
      <c r="A177" s="5" t="s">
        <v>314</v>
      </c>
      <c r="B177" s="5" t="s">
        <v>228</v>
      </c>
      <c r="C177" s="5" t="s">
        <v>444</v>
      </c>
      <c r="D177" s="41" t="s">
        <v>434</v>
      </c>
      <c r="E177" s="7" t="s">
        <v>248</v>
      </c>
      <c r="F177" s="50">
        <v>3.4</v>
      </c>
      <c r="G177" s="5" t="s">
        <v>445</v>
      </c>
      <c r="H177" s="5" t="s">
        <v>411</v>
      </c>
      <c r="M177" s="51">
        <v>171</v>
      </c>
      <c r="N177" s="51">
        <v>20</v>
      </c>
      <c r="O177" s="52"/>
      <c r="P177" s="51">
        <v>17</v>
      </c>
      <c r="Q177" s="5" t="s">
        <v>101</v>
      </c>
      <c r="R177" s="5">
        <v>63</v>
      </c>
      <c r="S177" s="5">
        <v>-20</v>
      </c>
      <c r="T177" s="5">
        <v>-3354</v>
      </c>
      <c r="U177" s="5">
        <v>3334</v>
      </c>
      <c r="V177" s="5" t="s">
        <v>262</v>
      </c>
      <c r="W177" s="53">
        <f t="shared" si="28"/>
        <v>3.3340000000000001</v>
      </c>
      <c r="X177" s="28">
        <f t="shared" si="29"/>
        <v>8.5500000000000007</v>
      </c>
      <c r="Y177" s="28">
        <f t="shared" si="30"/>
        <v>0.42749999999999999</v>
      </c>
      <c r="Z177" s="28">
        <f t="shared" si="31"/>
        <v>0.73777361550060805</v>
      </c>
      <c r="AA177" s="28">
        <f t="shared" si="32"/>
        <v>730.10201053951357</v>
      </c>
      <c r="AB177" s="28">
        <f t="shared" si="33"/>
        <v>0.16670000000000001</v>
      </c>
      <c r="AC177" s="28">
        <f t="shared" si="25"/>
        <v>9.4641804394781932</v>
      </c>
      <c r="AD177" s="28">
        <v>185.456080876653</v>
      </c>
      <c r="AE177" s="28">
        <f t="shared" si="34"/>
        <v>5.9988002399520095</v>
      </c>
    </row>
    <row r="178" spans="1:31" s="39" customFormat="1" x14ac:dyDescent="0.2">
      <c r="A178" s="16" t="s">
        <v>105</v>
      </c>
      <c r="B178" s="16" t="s">
        <v>229</v>
      </c>
      <c r="C178" s="16" t="s">
        <v>446</v>
      </c>
      <c r="D178" s="39" t="s">
        <v>434</v>
      </c>
      <c r="E178" s="18" t="s">
        <v>246</v>
      </c>
      <c r="F178" s="19">
        <v>4.2</v>
      </c>
      <c r="G178" s="16" t="s">
        <v>445</v>
      </c>
      <c r="H178" s="38" t="s">
        <v>411</v>
      </c>
      <c r="I178" s="7"/>
      <c r="J178" s="26"/>
      <c r="K178" s="7"/>
      <c r="L178" s="21"/>
      <c r="M178" s="1">
        <v>82</v>
      </c>
      <c r="N178" s="1">
        <v>28</v>
      </c>
      <c r="O178" s="52"/>
      <c r="P178" s="1">
        <v>5</v>
      </c>
      <c r="Q178" s="16" t="s">
        <v>101</v>
      </c>
      <c r="R178" s="16">
        <v>62</v>
      </c>
      <c r="S178" s="16">
        <v>342</v>
      </c>
      <c r="T178" s="16">
        <v>-2561</v>
      </c>
      <c r="U178" s="16">
        <v>2903</v>
      </c>
      <c r="V178" s="16" t="s">
        <v>12</v>
      </c>
      <c r="W178" s="15">
        <f t="shared" si="28"/>
        <v>2.903</v>
      </c>
      <c r="X178" s="2">
        <f t="shared" si="29"/>
        <v>2.9285714285714284</v>
      </c>
      <c r="Y178" s="2">
        <f t="shared" si="30"/>
        <v>0.10459183673469388</v>
      </c>
      <c r="Z178" s="2">
        <f t="shared" si="31"/>
        <v>0.36492528435716853</v>
      </c>
      <c r="AA178" s="2">
        <f t="shared" si="32"/>
        <v>497.55781896909218</v>
      </c>
      <c r="AB178" s="2">
        <f t="shared" si="33"/>
        <v>0.10367857142857143</v>
      </c>
      <c r="AC178" s="2">
        <f t="shared" si="25"/>
        <v>5.9191960584385006</v>
      </c>
      <c r="AD178" s="2">
        <v>186.456080876653</v>
      </c>
      <c r="AE178" s="2">
        <f t="shared" si="34"/>
        <v>9.645194626248708</v>
      </c>
    </row>
    <row r="179" spans="1:31" s="16" customFormat="1" x14ac:dyDescent="0.2">
      <c r="A179" s="16" t="s">
        <v>104</v>
      </c>
      <c r="B179" s="16" t="s">
        <v>229</v>
      </c>
      <c r="C179" s="16" t="s">
        <v>446</v>
      </c>
      <c r="D179" s="39" t="s">
        <v>434</v>
      </c>
      <c r="E179" s="18" t="s">
        <v>246</v>
      </c>
      <c r="F179" s="19">
        <v>4.2</v>
      </c>
      <c r="G179" s="16" t="s">
        <v>445</v>
      </c>
      <c r="H179" s="38" t="s">
        <v>411</v>
      </c>
      <c r="I179" s="7"/>
      <c r="J179" s="26"/>
      <c r="K179" s="7"/>
      <c r="L179" s="21"/>
      <c r="M179" s="1">
        <v>108</v>
      </c>
      <c r="N179" s="1">
        <v>22</v>
      </c>
      <c r="O179" s="52"/>
      <c r="P179" s="1">
        <v>9</v>
      </c>
      <c r="Q179" s="16" t="s">
        <v>101</v>
      </c>
      <c r="R179" s="16">
        <v>52</v>
      </c>
      <c r="S179" s="16">
        <v>442</v>
      </c>
      <c r="T179" s="16">
        <v>-1911</v>
      </c>
      <c r="U179" s="16">
        <v>2353</v>
      </c>
      <c r="V179" s="16" t="s">
        <v>12</v>
      </c>
      <c r="W179" s="15">
        <f t="shared" si="28"/>
        <v>2.3530000000000002</v>
      </c>
      <c r="X179" s="2">
        <f t="shared" si="29"/>
        <v>4.9090909090909092</v>
      </c>
      <c r="Y179" s="2">
        <f t="shared" si="30"/>
        <v>0.2231404958677686</v>
      </c>
      <c r="Z179" s="2">
        <f t="shared" si="31"/>
        <v>0.53302092322877437</v>
      </c>
      <c r="AA179" s="2">
        <f t="shared" si="32"/>
        <v>478.91689828311553</v>
      </c>
      <c r="AB179" s="2">
        <f t="shared" si="33"/>
        <v>0.10695454545454547</v>
      </c>
      <c r="AC179" s="2">
        <f t="shared" si="25"/>
        <v>6.1048363415976574</v>
      </c>
      <c r="AD179" s="2">
        <v>187.456080876653</v>
      </c>
      <c r="AE179" s="2">
        <f t="shared" si="34"/>
        <v>9.349766255843603</v>
      </c>
    </row>
    <row r="180" spans="1:31" s="16" customFormat="1" x14ac:dyDescent="0.2">
      <c r="A180" s="16" t="s">
        <v>100</v>
      </c>
      <c r="B180" s="16" t="s">
        <v>230</v>
      </c>
      <c r="C180" s="16" t="s">
        <v>444</v>
      </c>
      <c r="D180" s="39" t="s">
        <v>434</v>
      </c>
      <c r="E180" s="18" t="s">
        <v>245</v>
      </c>
      <c r="F180" s="19">
        <v>1.4</v>
      </c>
      <c r="G180" s="16" t="s">
        <v>409</v>
      </c>
      <c r="H180" s="38" t="s">
        <v>423</v>
      </c>
      <c r="I180" s="18" t="s">
        <v>194</v>
      </c>
      <c r="J180" s="24">
        <v>0.86</v>
      </c>
      <c r="K180" s="7">
        <v>800</v>
      </c>
      <c r="L180" s="7">
        <v>800</v>
      </c>
      <c r="M180" s="1">
        <v>4179</v>
      </c>
      <c r="N180" s="1">
        <v>85</v>
      </c>
      <c r="O180" s="52">
        <f t="shared" si="27"/>
        <v>9.7339815300000006E+19</v>
      </c>
      <c r="P180" s="1">
        <v>89</v>
      </c>
      <c r="Q180" s="16" t="s">
        <v>101</v>
      </c>
      <c r="R180" s="16">
        <v>276</v>
      </c>
      <c r="S180" s="16">
        <v>1185</v>
      </c>
      <c r="T180" s="16">
        <v>-3778</v>
      </c>
      <c r="U180" s="16">
        <v>4963</v>
      </c>
      <c r="V180" s="16" t="s">
        <v>12</v>
      </c>
      <c r="W180" s="15">
        <f t="shared" si="28"/>
        <v>4.9630000000000001</v>
      </c>
      <c r="X180" s="2">
        <f t="shared" si="29"/>
        <v>49.164705882352941</v>
      </c>
      <c r="Y180" s="2">
        <f t="shared" si="30"/>
        <v>0.57840830449826985</v>
      </c>
      <c r="Z180" s="2">
        <f t="shared" si="31"/>
        <v>0.85816800772117741</v>
      </c>
      <c r="AA180" s="2">
        <f t="shared" si="32"/>
        <v>15812.123851554939</v>
      </c>
      <c r="AB180" s="2">
        <f t="shared" si="33"/>
        <v>5.8388235294117651E-2</v>
      </c>
      <c r="AC180" s="2">
        <f t="shared" si="25"/>
        <v>3.3416055167446466</v>
      </c>
      <c r="AD180" s="2">
        <v>188.456080876653</v>
      </c>
      <c r="AE180" s="2">
        <f t="shared" si="34"/>
        <v>17.126737860165221</v>
      </c>
    </row>
    <row r="181" spans="1:31" s="16" customFormat="1" x14ac:dyDescent="0.2">
      <c r="A181" s="16" t="s">
        <v>102</v>
      </c>
      <c r="B181" s="16" t="s">
        <v>230</v>
      </c>
      <c r="C181" s="16" t="s">
        <v>444</v>
      </c>
      <c r="D181" s="39" t="s">
        <v>434</v>
      </c>
      <c r="E181" s="18" t="s">
        <v>245</v>
      </c>
      <c r="F181" s="19">
        <v>1.4</v>
      </c>
      <c r="G181" s="16" t="s">
        <v>408</v>
      </c>
      <c r="H181" s="38" t="s">
        <v>423</v>
      </c>
      <c r="I181" s="18" t="s">
        <v>195</v>
      </c>
      <c r="J181" s="24">
        <v>0.75</v>
      </c>
      <c r="K181" s="7">
        <v>1150</v>
      </c>
      <c r="L181" s="7">
        <v>1150</v>
      </c>
      <c r="M181" s="1">
        <v>3350</v>
      </c>
      <c r="N181" s="1">
        <v>82</v>
      </c>
      <c r="O181" s="52">
        <f t="shared" si="27"/>
        <v>1.3879823124375E+20</v>
      </c>
      <c r="P181" s="1">
        <v>84</v>
      </c>
      <c r="Q181" s="16" t="s">
        <v>101</v>
      </c>
      <c r="R181" s="16">
        <v>314</v>
      </c>
      <c r="S181" s="16">
        <v>751</v>
      </c>
      <c r="T181" s="16">
        <v>-4172</v>
      </c>
      <c r="U181" s="16">
        <v>4923</v>
      </c>
      <c r="V181" s="16" t="s">
        <v>12</v>
      </c>
      <c r="W181" s="15">
        <f t="shared" si="28"/>
        <v>4.923</v>
      </c>
      <c r="X181" s="2">
        <f t="shared" si="29"/>
        <v>40.853658536585364</v>
      </c>
      <c r="Y181" s="2">
        <f t="shared" si="30"/>
        <v>0.49821534800713863</v>
      </c>
      <c r="Z181" s="2">
        <f t="shared" si="31"/>
        <v>0.79645934335703439</v>
      </c>
      <c r="AA181" s="2">
        <f t="shared" si="32"/>
        <v>16106.344771370566</v>
      </c>
      <c r="AB181" s="2">
        <f t="shared" si="33"/>
        <v>6.0036585365853656E-2</v>
      </c>
      <c r="AC181" s="2">
        <f t="shared" si="25"/>
        <v>3.4357190257322654</v>
      </c>
      <c r="AD181" s="2">
        <v>189.456080876653</v>
      </c>
      <c r="AE181" s="2">
        <f t="shared" si="34"/>
        <v>16.65651025797278</v>
      </c>
    </row>
    <row r="182" spans="1:31" s="16" customFormat="1" x14ac:dyDescent="0.2">
      <c r="A182" s="16" t="s">
        <v>108</v>
      </c>
      <c r="B182" s="16" t="s">
        <v>231</v>
      </c>
      <c r="C182" s="16" t="s">
        <v>444</v>
      </c>
      <c r="D182" s="39" t="s">
        <v>434</v>
      </c>
      <c r="F182" s="15"/>
      <c r="G182" s="16" t="s">
        <v>445</v>
      </c>
      <c r="H182" s="41" t="s">
        <v>411</v>
      </c>
      <c r="I182" s="18"/>
      <c r="J182" s="24"/>
      <c r="K182" s="7"/>
      <c r="L182" s="21"/>
      <c r="M182" s="1">
        <v>300</v>
      </c>
      <c r="N182" s="1">
        <v>35</v>
      </c>
      <c r="O182" s="52"/>
      <c r="P182" s="1">
        <v>12</v>
      </c>
      <c r="Q182" s="16" t="s">
        <v>101</v>
      </c>
      <c r="R182" s="16">
        <v>91</v>
      </c>
      <c r="S182" s="16">
        <v>25</v>
      </c>
      <c r="T182" s="16">
        <v>-3093</v>
      </c>
      <c r="U182" s="16">
        <v>3118</v>
      </c>
      <c r="V182" s="16" t="s">
        <v>12</v>
      </c>
      <c r="W182" s="15">
        <f t="shared" si="28"/>
        <v>3.1179999999999999</v>
      </c>
      <c r="X182" s="2">
        <f t="shared" si="29"/>
        <v>8.5714285714285712</v>
      </c>
      <c r="Y182" s="2">
        <f t="shared" si="30"/>
        <v>0.24489795918367346</v>
      </c>
      <c r="Z182" s="2">
        <f t="shared" si="31"/>
        <v>0.55840287195395411</v>
      </c>
      <c r="AA182" s="2">
        <f t="shared" si="32"/>
        <v>1396.8409533257536</v>
      </c>
      <c r="AB182" s="2">
        <f t="shared" si="33"/>
        <v>8.9085714285714282E-2</v>
      </c>
      <c r="AC182" s="2">
        <f t="shared" si="25"/>
        <v>5.0907965243962288</v>
      </c>
      <c r="AD182" s="2">
        <v>190.456080876653</v>
      </c>
      <c r="AE182" s="2">
        <f t="shared" si="34"/>
        <v>11.225144323284157</v>
      </c>
    </row>
    <row r="183" spans="1:31" s="16" customFormat="1" x14ac:dyDescent="0.2">
      <c r="A183" s="16" t="s">
        <v>39</v>
      </c>
      <c r="B183" s="16" t="s">
        <v>232</v>
      </c>
      <c r="C183" s="16" t="s">
        <v>444</v>
      </c>
      <c r="D183" s="39" t="s">
        <v>437</v>
      </c>
      <c r="F183" s="15"/>
      <c r="G183" s="5" t="s">
        <v>244</v>
      </c>
      <c r="H183" s="5" t="s">
        <v>428</v>
      </c>
      <c r="I183" s="7"/>
      <c r="J183" s="26"/>
      <c r="K183" s="5">
        <v>4</v>
      </c>
      <c r="L183" s="21">
        <v>4</v>
      </c>
      <c r="M183" s="1">
        <v>1316</v>
      </c>
      <c r="N183" s="1">
        <v>60</v>
      </c>
      <c r="O183" s="52">
        <f t="shared" si="27"/>
        <v>3.4156213649999994E+17</v>
      </c>
      <c r="P183" s="1">
        <v>41</v>
      </c>
      <c r="Q183" s="16" t="s">
        <v>40</v>
      </c>
      <c r="R183" s="16">
        <v>159</v>
      </c>
      <c r="S183" s="16">
        <v>1052</v>
      </c>
      <c r="T183" s="16">
        <v>-2431</v>
      </c>
      <c r="U183" s="16">
        <v>3483</v>
      </c>
      <c r="V183" s="16" t="s">
        <v>12</v>
      </c>
      <c r="W183" s="15">
        <f t="shared" si="28"/>
        <v>3.4830000000000001</v>
      </c>
      <c r="X183" s="2">
        <f t="shared" si="29"/>
        <v>21.933333333333334</v>
      </c>
      <c r="Y183" s="2">
        <f t="shared" si="30"/>
        <v>0.36555555555555558</v>
      </c>
      <c r="Z183" s="2">
        <f t="shared" si="31"/>
        <v>0.68223147915084392</v>
      </c>
      <c r="AA183" s="2">
        <f t="shared" si="32"/>
        <v>5111.7547439187028</v>
      </c>
      <c r="AB183" s="2">
        <f t="shared" si="33"/>
        <v>5.8050000000000004E-2</v>
      </c>
      <c r="AC183" s="2">
        <f t="shared" si="25"/>
        <v>3.3222915261986885</v>
      </c>
      <c r="AD183" s="2">
        <v>191.456080876653</v>
      </c>
      <c r="AE183" s="2">
        <f t="shared" si="34"/>
        <v>17.226528854435831</v>
      </c>
    </row>
    <row r="184" spans="1:31" s="16" customFormat="1" x14ac:dyDescent="0.2">
      <c r="A184" s="39" t="s">
        <v>41</v>
      </c>
      <c r="B184" s="39" t="s">
        <v>41</v>
      </c>
      <c r="C184" s="16" t="s">
        <v>444</v>
      </c>
      <c r="D184" s="39" t="s">
        <v>41</v>
      </c>
      <c r="E184" s="39">
        <v>9</v>
      </c>
      <c r="F184" s="40">
        <v>9</v>
      </c>
      <c r="G184" s="39" t="s">
        <v>379</v>
      </c>
      <c r="H184" s="38" t="s">
        <v>345</v>
      </c>
      <c r="I184" s="42" t="s">
        <v>198</v>
      </c>
      <c r="J184" s="43">
        <v>0.1</v>
      </c>
      <c r="K184" s="42">
        <v>150</v>
      </c>
      <c r="L184" s="44">
        <v>150</v>
      </c>
      <c r="M184" s="45">
        <v>2092</v>
      </c>
      <c r="N184" s="45">
        <v>53</v>
      </c>
      <c r="O184" s="52">
        <f t="shared" si="27"/>
        <v>1.8074697468749998E+19</v>
      </c>
      <c r="P184" s="45">
        <v>56</v>
      </c>
      <c r="Q184" s="39" t="s">
        <v>42</v>
      </c>
      <c r="R184" s="39">
        <v>167</v>
      </c>
      <c r="S184" s="39">
        <v>1251</v>
      </c>
      <c r="T184" s="39">
        <v>-3664</v>
      </c>
      <c r="U184" s="39">
        <v>4915</v>
      </c>
      <c r="V184" s="39" t="s">
        <v>12</v>
      </c>
      <c r="W184" s="15">
        <f t="shared" si="28"/>
        <v>4.915</v>
      </c>
      <c r="X184" s="2">
        <f t="shared" si="29"/>
        <v>39.471698113207545</v>
      </c>
      <c r="Y184" s="2">
        <f t="shared" si="30"/>
        <v>0.74474902100391593</v>
      </c>
      <c r="Z184" s="2">
        <f t="shared" si="31"/>
        <v>0.97377816187613553</v>
      </c>
      <c r="AA184" s="2">
        <f t="shared" si="32"/>
        <v>6769.2764563600213</v>
      </c>
      <c r="AB184" s="2">
        <f t="shared" si="33"/>
        <v>9.2735849056603772E-2</v>
      </c>
      <c r="AC184" s="2">
        <f t="shared" si="25"/>
        <v>5.2982193169541629</v>
      </c>
      <c r="AD184" s="2">
        <v>192.456080876653</v>
      </c>
      <c r="AE184" s="2">
        <f t="shared" si="34"/>
        <v>10.783316378433367</v>
      </c>
    </row>
  </sheetData>
  <sortState xmlns:xlrd2="http://schemas.microsoft.com/office/spreadsheetml/2017/richdata2" ref="A3:AF184">
    <sortCondition ref="D3:D18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AE28" sqref="AE2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6"/>
  <sheetViews>
    <sheetView workbookViewId="0">
      <selection activeCell="N26" sqref="N26"/>
    </sheetView>
  </sheetViews>
  <sheetFormatPr baseColWidth="10" defaultColWidth="8.83203125" defaultRowHeight="15" x14ac:dyDescent="0.2"/>
  <cols>
    <col min="1" max="1" width="19.1640625" style="16" customWidth="1"/>
  </cols>
  <sheetData>
    <row r="1" spans="1:8" x14ac:dyDescent="0.2">
      <c r="A1" s="13" t="s">
        <v>255</v>
      </c>
    </row>
    <row r="2" spans="1:8" x14ac:dyDescent="0.2">
      <c r="A2" s="30">
        <v>5.0000000000000001E-3</v>
      </c>
      <c r="C2" s="35">
        <f>ROUND(A2,1)</f>
        <v>0</v>
      </c>
      <c r="G2">
        <v>0</v>
      </c>
      <c r="H2">
        <v>10</v>
      </c>
    </row>
    <row r="3" spans="1:8" x14ac:dyDescent="0.2">
      <c r="A3" s="31">
        <v>7.0000000000000007E-2</v>
      </c>
      <c r="C3" s="35">
        <f t="shared" ref="C3:C66" si="0">ROUND(A3,1)</f>
        <v>0.1</v>
      </c>
      <c r="G3">
        <v>0.1</v>
      </c>
      <c r="H3">
        <v>9</v>
      </c>
    </row>
    <row r="4" spans="1:8" x14ac:dyDescent="0.2">
      <c r="A4" s="32">
        <f>(0.75+0.507)/2</f>
        <v>0.62850000000000006</v>
      </c>
      <c r="C4" s="35">
        <f t="shared" si="0"/>
        <v>0.6</v>
      </c>
      <c r="G4">
        <v>0.2</v>
      </c>
      <c r="H4">
        <v>11</v>
      </c>
    </row>
    <row r="5" spans="1:8" x14ac:dyDescent="0.2">
      <c r="A5" s="32">
        <v>1E-4</v>
      </c>
      <c r="C5" s="35">
        <f t="shared" si="0"/>
        <v>0</v>
      </c>
      <c r="E5" s="16"/>
      <c r="G5">
        <v>0.3</v>
      </c>
      <c r="H5">
        <v>7</v>
      </c>
    </row>
    <row r="6" spans="1:8" x14ac:dyDescent="0.2">
      <c r="A6" s="32">
        <f>(9+11.5)/2</f>
        <v>10.25</v>
      </c>
      <c r="C6" s="35">
        <f t="shared" si="0"/>
        <v>10.3</v>
      </c>
      <c r="E6" s="16">
        <v>10.3</v>
      </c>
      <c r="G6">
        <v>0.4</v>
      </c>
      <c r="H6">
        <v>5</v>
      </c>
    </row>
    <row r="7" spans="1:8" x14ac:dyDescent="0.2">
      <c r="A7" s="31">
        <v>14.5</v>
      </c>
      <c r="C7" s="35">
        <f t="shared" si="0"/>
        <v>14.5</v>
      </c>
      <c r="E7" s="16">
        <v>14.5</v>
      </c>
      <c r="G7">
        <v>0.5</v>
      </c>
      <c r="H7">
        <v>2</v>
      </c>
    </row>
    <row r="8" spans="1:8" x14ac:dyDescent="0.2">
      <c r="A8" s="33">
        <f>(0.145+0.176)/2</f>
        <v>0.16049999999999998</v>
      </c>
      <c r="C8" s="35">
        <f t="shared" si="0"/>
        <v>0.2</v>
      </c>
      <c r="E8" s="16"/>
      <c r="G8">
        <v>0.6</v>
      </c>
      <c r="H8">
        <v>4</v>
      </c>
    </row>
    <row r="9" spans="1:8" x14ac:dyDescent="0.2">
      <c r="A9" s="31">
        <f>(12+15)/2</f>
        <v>13.5</v>
      </c>
      <c r="C9" s="35">
        <f t="shared" si="0"/>
        <v>13.5</v>
      </c>
      <c r="E9" s="16">
        <v>13.5</v>
      </c>
      <c r="G9">
        <v>0.7</v>
      </c>
      <c r="H9">
        <v>1</v>
      </c>
    </row>
    <row r="10" spans="1:8" x14ac:dyDescent="0.2">
      <c r="A10" s="34">
        <v>14.5</v>
      </c>
      <c r="C10" s="35">
        <f t="shared" si="0"/>
        <v>14.5</v>
      </c>
      <c r="E10" s="16">
        <v>14.5</v>
      </c>
      <c r="G10">
        <v>0.8</v>
      </c>
      <c r="H10">
        <v>3</v>
      </c>
    </row>
    <row r="11" spans="1:8" x14ac:dyDescent="0.2">
      <c r="A11" s="34">
        <f>(0.039+0.087)/2</f>
        <v>6.3E-2</v>
      </c>
      <c r="C11" s="35">
        <f t="shared" si="0"/>
        <v>0.1</v>
      </c>
      <c r="E11" s="16"/>
      <c r="G11">
        <v>0.9</v>
      </c>
      <c r="H11">
        <v>4</v>
      </c>
    </row>
    <row r="12" spans="1:8" x14ac:dyDescent="0.2">
      <c r="A12" s="34">
        <f>(0.537+0.566)/2</f>
        <v>0.55149999999999999</v>
      </c>
      <c r="C12" s="35">
        <f t="shared" si="0"/>
        <v>0.6</v>
      </c>
      <c r="E12" s="16"/>
      <c r="G12">
        <v>1</v>
      </c>
      <c r="H12">
        <v>2</v>
      </c>
    </row>
    <row r="13" spans="1:8" x14ac:dyDescent="0.2">
      <c r="A13" s="32">
        <v>0.6</v>
      </c>
      <c r="C13" s="35">
        <f t="shared" si="0"/>
        <v>0.6</v>
      </c>
      <c r="E13" s="16"/>
      <c r="G13">
        <v>1.1000000000000001</v>
      </c>
      <c r="H13">
        <v>0</v>
      </c>
    </row>
    <row r="14" spans="1:8" x14ac:dyDescent="0.2">
      <c r="A14" s="34">
        <v>0.16</v>
      </c>
      <c r="C14" s="35">
        <f t="shared" si="0"/>
        <v>0.2</v>
      </c>
      <c r="E14" s="16"/>
      <c r="G14">
        <v>1.2</v>
      </c>
      <c r="H14">
        <v>0</v>
      </c>
    </row>
    <row r="15" spans="1:8" x14ac:dyDescent="0.2">
      <c r="A15" s="34">
        <f>(0.039+0.087)/2</f>
        <v>6.3E-2</v>
      </c>
      <c r="C15" s="35">
        <f t="shared" si="0"/>
        <v>0.1</v>
      </c>
      <c r="E15" s="16"/>
      <c r="G15">
        <v>1.3</v>
      </c>
      <c r="H15">
        <v>2</v>
      </c>
    </row>
    <row r="16" spans="1:8" x14ac:dyDescent="0.2">
      <c r="A16" s="34">
        <f>(0.78+0.84)/2</f>
        <v>0.81</v>
      </c>
      <c r="C16" s="35">
        <f t="shared" si="0"/>
        <v>0.8</v>
      </c>
      <c r="E16" s="16"/>
      <c r="G16" s="16">
        <v>1.4</v>
      </c>
      <c r="H16">
        <v>0</v>
      </c>
    </row>
    <row r="17" spans="1:8" x14ac:dyDescent="0.2">
      <c r="A17" s="32">
        <v>0.9</v>
      </c>
      <c r="C17" s="35">
        <f t="shared" si="0"/>
        <v>0.9</v>
      </c>
      <c r="E17" s="16"/>
      <c r="G17" s="16">
        <v>1.5</v>
      </c>
      <c r="H17">
        <v>0</v>
      </c>
    </row>
    <row r="18" spans="1:8" x14ac:dyDescent="0.2">
      <c r="A18" s="32">
        <f>(0.518+0.541)/2</f>
        <v>0.52950000000000008</v>
      </c>
      <c r="C18" s="35">
        <f t="shared" si="0"/>
        <v>0.5</v>
      </c>
      <c r="E18" s="16"/>
      <c r="G18" s="16">
        <v>1.6</v>
      </c>
      <c r="H18">
        <v>0</v>
      </c>
    </row>
    <row r="19" spans="1:8" x14ac:dyDescent="0.2">
      <c r="A19" s="34">
        <v>0.16</v>
      </c>
      <c r="C19" s="35">
        <f t="shared" si="0"/>
        <v>0.2</v>
      </c>
      <c r="E19" s="16"/>
      <c r="G19" s="16">
        <v>1.7</v>
      </c>
      <c r="H19">
        <v>1</v>
      </c>
    </row>
    <row r="20" spans="1:8" x14ac:dyDescent="0.2">
      <c r="A20" s="34">
        <v>0.73299999999999998</v>
      </c>
      <c r="C20" s="35">
        <f t="shared" si="0"/>
        <v>0.7</v>
      </c>
      <c r="E20" s="16"/>
      <c r="G20" s="16">
        <v>2</v>
      </c>
      <c r="H20">
        <v>1</v>
      </c>
    </row>
    <row r="21" spans="1:8" x14ac:dyDescent="0.2">
      <c r="A21" s="32">
        <f>(0.176+0.545)/2</f>
        <v>0.36050000000000004</v>
      </c>
      <c r="C21" s="35">
        <f t="shared" si="0"/>
        <v>0.4</v>
      </c>
      <c r="E21" s="16"/>
      <c r="G21">
        <v>2.2000000000000002</v>
      </c>
      <c r="H21">
        <v>1</v>
      </c>
    </row>
    <row r="22" spans="1:8" x14ac:dyDescent="0.2">
      <c r="A22" s="32">
        <v>1</v>
      </c>
      <c r="C22" s="35">
        <f t="shared" si="0"/>
        <v>1</v>
      </c>
      <c r="E22" s="16"/>
      <c r="G22">
        <v>3</v>
      </c>
      <c r="H22">
        <v>1</v>
      </c>
    </row>
    <row r="23" spans="1:8" x14ac:dyDescent="0.2">
      <c r="A23" s="34">
        <v>0.88</v>
      </c>
      <c r="C23" s="35">
        <f t="shared" si="0"/>
        <v>0.9</v>
      </c>
      <c r="E23" s="16"/>
      <c r="G23">
        <v>3.6</v>
      </c>
      <c r="H23">
        <v>1</v>
      </c>
    </row>
    <row r="24" spans="1:8" x14ac:dyDescent="0.2">
      <c r="A24" s="34">
        <v>0.3</v>
      </c>
      <c r="C24" s="35">
        <f t="shared" si="0"/>
        <v>0.3</v>
      </c>
      <c r="E24" s="16"/>
      <c r="G24">
        <v>5</v>
      </c>
      <c r="H24">
        <v>2</v>
      </c>
    </row>
    <row r="25" spans="1:8" x14ac:dyDescent="0.2">
      <c r="A25" s="34">
        <v>0.5</v>
      </c>
      <c r="C25" s="35">
        <f t="shared" si="0"/>
        <v>0.5</v>
      </c>
      <c r="E25" s="16"/>
      <c r="G25">
        <v>6.5</v>
      </c>
      <c r="H25">
        <v>1</v>
      </c>
    </row>
    <row r="26" spans="1:8" x14ac:dyDescent="0.2">
      <c r="A26" s="34">
        <v>0.08</v>
      </c>
      <c r="C26" s="35">
        <f t="shared" si="0"/>
        <v>0.1</v>
      </c>
      <c r="E26" s="16"/>
      <c r="G26">
        <v>10</v>
      </c>
      <c r="H26">
        <v>1</v>
      </c>
    </row>
    <row r="27" spans="1:8" x14ac:dyDescent="0.2">
      <c r="A27" s="32">
        <v>6.5</v>
      </c>
      <c r="C27" s="35">
        <f t="shared" si="0"/>
        <v>6.5</v>
      </c>
      <c r="E27" s="16"/>
      <c r="G27">
        <v>10.3</v>
      </c>
      <c r="H27">
        <v>1</v>
      </c>
    </row>
    <row r="28" spans="1:8" x14ac:dyDescent="0.2">
      <c r="A28" s="32">
        <v>2.15</v>
      </c>
      <c r="C28" s="35">
        <f t="shared" si="0"/>
        <v>2.2000000000000002</v>
      </c>
      <c r="E28" s="16"/>
      <c r="G28" s="16">
        <v>12.5</v>
      </c>
      <c r="H28" s="16">
        <v>1</v>
      </c>
    </row>
    <row r="29" spans="1:8" x14ac:dyDescent="0.2">
      <c r="A29" s="34">
        <v>1.3</v>
      </c>
      <c r="C29" s="35">
        <f t="shared" si="0"/>
        <v>1.3</v>
      </c>
      <c r="E29" s="16"/>
      <c r="G29">
        <v>13.5</v>
      </c>
      <c r="H29">
        <v>1</v>
      </c>
    </row>
    <row r="30" spans="1:8" x14ac:dyDescent="0.2">
      <c r="A30" s="34">
        <f>(0.01+0.1)/2</f>
        <v>5.5E-2</v>
      </c>
      <c r="C30" s="35">
        <f t="shared" si="0"/>
        <v>0.1</v>
      </c>
      <c r="E30" s="16"/>
      <c r="G30">
        <v>14.5</v>
      </c>
      <c r="H30">
        <v>2</v>
      </c>
    </row>
    <row r="31" spans="1:8" x14ac:dyDescent="0.2">
      <c r="A31" s="34">
        <v>3.6</v>
      </c>
      <c r="C31" s="35">
        <f t="shared" si="0"/>
        <v>3.6</v>
      </c>
      <c r="E31" s="16"/>
    </row>
    <row r="32" spans="1:8" x14ac:dyDescent="0.2">
      <c r="A32" s="32">
        <v>5</v>
      </c>
      <c r="C32" s="35">
        <f t="shared" si="0"/>
        <v>5</v>
      </c>
      <c r="E32" s="16"/>
    </row>
    <row r="33" spans="1:5" x14ac:dyDescent="0.2">
      <c r="A33" s="32">
        <v>5.0000000000000001E-3</v>
      </c>
      <c r="C33" s="35">
        <f t="shared" si="0"/>
        <v>0</v>
      </c>
      <c r="E33" s="16"/>
    </row>
    <row r="34" spans="1:5" x14ac:dyDescent="0.2">
      <c r="A34" s="32">
        <f>(0.254+0.306)/2</f>
        <v>0.28000000000000003</v>
      </c>
      <c r="C34" s="35">
        <f t="shared" si="0"/>
        <v>0.3</v>
      </c>
      <c r="E34" s="16"/>
    </row>
    <row r="35" spans="1:5" x14ac:dyDescent="0.2">
      <c r="A35" s="32">
        <v>0.15</v>
      </c>
      <c r="C35" s="35">
        <f t="shared" si="0"/>
        <v>0.2</v>
      </c>
      <c r="E35" s="16"/>
    </row>
    <row r="36" spans="1:5" x14ac:dyDescent="0.2">
      <c r="A36" s="32">
        <v>5</v>
      </c>
      <c r="C36" s="35">
        <f t="shared" si="0"/>
        <v>5</v>
      </c>
      <c r="E36" s="16"/>
    </row>
    <row r="37" spans="1:5" x14ac:dyDescent="0.2">
      <c r="A37" s="34">
        <v>3</v>
      </c>
      <c r="C37" s="35">
        <f t="shared" si="0"/>
        <v>3</v>
      </c>
      <c r="E37" s="16"/>
    </row>
    <row r="38" spans="1:5" x14ac:dyDescent="0.2">
      <c r="A38" s="34">
        <v>1</v>
      </c>
      <c r="C38" s="35">
        <f t="shared" si="0"/>
        <v>1</v>
      </c>
      <c r="E38" s="16"/>
    </row>
    <row r="39" spans="1:5" x14ac:dyDescent="0.2">
      <c r="A39" s="32">
        <v>10</v>
      </c>
      <c r="C39" s="35">
        <f t="shared" si="0"/>
        <v>10</v>
      </c>
      <c r="E39" s="16"/>
    </row>
    <row r="40" spans="1:5" x14ac:dyDescent="0.2">
      <c r="A40" s="32">
        <v>18</v>
      </c>
      <c r="C40" s="35">
        <f t="shared" si="0"/>
        <v>18</v>
      </c>
      <c r="E40" s="16"/>
    </row>
    <row r="41" spans="1:5" x14ac:dyDescent="0.2">
      <c r="A41" s="32">
        <f>(0.03+0.045)/2</f>
        <v>3.7499999999999999E-2</v>
      </c>
      <c r="C41" s="35">
        <f t="shared" si="0"/>
        <v>0</v>
      </c>
      <c r="E41" s="16"/>
    </row>
    <row r="42" spans="1:5" x14ac:dyDescent="0.2">
      <c r="A42" s="32">
        <v>2.5000000000000001E-2</v>
      </c>
      <c r="C42" s="35">
        <f t="shared" si="0"/>
        <v>0</v>
      </c>
      <c r="E42" s="16"/>
    </row>
    <row r="43" spans="1:5" x14ac:dyDescent="0.2">
      <c r="A43" s="34">
        <f>(0.124+0.129)/2</f>
        <v>0.1265</v>
      </c>
      <c r="C43" s="35">
        <f t="shared" si="0"/>
        <v>0.1</v>
      </c>
      <c r="E43" s="16"/>
    </row>
    <row r="44" spans="1:5" x14ac:dyDescent="0.2">
      <c r="A44" s="34">
        <v>0.2</v>
      </c>
      <c r="C44" s="35">
        <f t="shared" si="0"/>
        <v>0.2</v>
      </c>
      <c r="E44" s="16"/>
    </row>
    <row r="45" spans="1:5" x14ac:dyDescent="0.2">
      <c r="A45" s="32">
        <v>0.2</v>
      </c>
      <c r="C45" s="35">
        <f t="shared" si="0"/>
        <v>0.2</v>
      </c>
      <c r="E45" s="16"/>
    </row>
    <row r="46" spans="1:5" x14ac:dyDescent="0.2">
      <c r="A46" s="26">
        <v>0.75</v>
      </c>
      <c r="C46" s="35">
        <f t="shared" si="0"/>
        <v>0.8</v>
      </c>
      <c r="E46" s="16"/>
    </row>
    <row r="47" spans="1:5" x14ac:dyDescent="0.2">
      <c r="A47" s="24">
        <f>(0.33+0.4)/2</f>
        <v>0.36499999999999999</v>
      </c>
      <c r="C47" s="35">
        <f t="shared" si="0"/>
        <v>0.4</v>
      </c>
      <c r="E47" s="16"/>
    </row>
    <row r="48" spans="1:5" x14ac:dyDescent="0.2">
      <c r="A48" s="24">
        <f>(0.02+0.068)/2</f>
        <v>4.4000000000000004E-2</v>
      </c>
      <c r="C48" s="35">
        <f t="shared" si="0"/>
        <v>0</v>
      </c>
      <c r="E48" s="16"/>
    </row>
    <row r="49" spans="1:5" x14ac:dyDescent="0.2">
      <c r="A49" s="24">
        <f>(0.02+0.068)/2</f>
        <v>4.4000000000000004E-2</v>
      </c>
      <c r="C49" s="35">
        <f t="shared" si="0"/>
        <v>0</v>
      </c>
      <c r="E49" s="16"/>
    </row>
    <row r="50" spans="1:5" x14ac:dyDescent="0.2">
      <c r="A50" s="24">
        <v>5.0000000000000001E-3</v>
      </c>
      <c r="C50" s="35">
        <f t="shared" si="0"/>
        <v>0</v>
      </c>
      <c r="E50" s="16"/>
    </row>
    <row r="51" spans="1:5" x14ac:dyDescent="0.2">
      <c r="A51" s="24">
        <v>5.0000000000000001E-3</v>
      </c>
      <c r="C51" s="35">
        <f t="shared" si="0"/>
        <v>0</v>
      </c>
      <c r="E51" s="16"/>
    </row>
    <row r="52" spans="1:5" x14ac:dyDescent="0.2">
      <c r="A52" s="26">
        <f>(0.2+0.43)/2</f>
        <v>0.315</v>
      </c>
      <c r="C52" s="35">
        <f t="shared" si="0"/>
        <v>0.3</v>
      </c>
      <c r="E52" s="16"/>
    </row>
    <row r="53" spans="1:5" x14ac:dyDescent="0.2">
      <c r="A53" s="26">
        <f>(0.03+0.2)/2</f>
        <v>0.115</v>
      </c>
      <c r="C53" s="35">
        <f t="shared" si="0"/>
        <v>0.1</v>
      </c>
      <c r="E53" s="16"/>
    </row>
    <row r="54" spans="1:5" x14ac:dyDescent="0.2">
      <c r="A54" s="26">
        <f>(0.02+0.29)/2</f>
        <v>0.155</v>
      </c>
      <c r="C54" s="35">
        <f t="shared" si="0"/>
        <v>0.2</v>
      </c>
      <c r="E54" s="16"/>
    </row>
    <row r="55" spans="1:5" x14ac:dyDescent="0.2">
      <c r="A55" s="26">
        <f>(0.6+1.16)/2</f>
        <v>0.87999999999999989</v>
      </c>
      <c r="C55" s="35">
        <f t="shared" si="0"/>
        <v>0.9</v>
      </c>
      <c r="E55" s="16"/>
    </row>
    <row r="56" spans="1:5" x14ac:dyDescent="0.2">
      <c r="A56" s="26">
        <v>0.62</v>
      </c>
      <c r="C56" s="35">
        <f t="shared" si="0"/>
        <v>0.6</v>
      </c>
      <c r="E56" s="16"/>
    </row>
    <row r="57" spans="1:5" x14ac:dyDescent="0.2">
      <c r="A57" s="24">
        <v>0.29499999999999998</v>
      </c>
      <c r="C57" s="35">
        <f t="shared" si="0"/>
        <v>0.3</v>
      </c>
      <c r="E57" s="16"/>
    </row>
    <row r="58" spans="1:5" x14ac:dyDescent="0.2">
      <c r="A58" s="24">
        <v>0.27</v>
      </c>
      <c r="C58" s="35">
        <f t="shared" si="0"/>
        <v>0.3</v>
      </c>
      <c r="E58" s="16"/>
    </row>
    <row r="59" spans="1:5" x14ac:dyDescent="0.2">
      <c r="A59" s="24">
        <v>0.30499999999999999</v>
      </c>
      <c r="C59" s="35">
        <f t="shared" si="0"/>
        <v>0.3</v>
      </c>
      <c r="E59" s="16"/>
    </row>
    <row r="60" spans="1:5" x14ac:dyDescent="0.2">
      <c r="A60" s="24">
        <v>0.16900000000000001</v>
      </c>
      <c r="C60" s="35">
        <f t="shared" si="0"/>
        <v>0.2</v>
      </c>
      <c r="E60" s="16"/>
    </row>
    <row r="61" spans="1:5" x14ac:dyDescent="0.2">
      <c r="A61" s="24">
        <f>(0.15+0.18)/2</f>
        <v>0.16499999999999998</v>
      </c>
      <c r="C61" s="35">
        <f t="shared" si="0"/>
        <v>0.2</v>
      </c>
      <c r="E61" s="16"/>
    </row>
    <row r="62" spans="1:5" x14ac:dyDescent="0.2">
      <c r="A62" s="24">
        <v>5.0000000000000001E-3</v>
      </c>
      <c r="C62" s="35">
        <f t="shared" si="0"/>
        <v>0</v>
      </c>
      <c r="E62" s="16"/>
    </row>
    <row r="63" spans="1:5" x14ac:dyDescent="0.2">
      <c r="A63" s="26">
        <f>(0.23+0.6)/2</f>
        <v>0.41499999999999998</v>
      </c>
      <c r="C63" s="35">
        <f t="shared" si="0"/>
        <v>0.4</v>
      </c>
      <c r="E63" s="16"/>
    </row>
    <row r="64" spans="1:5" x14ac:dyDescent="0.2">
      <c r="A64" s="26">
        <f>(0.23+0.5)/2</f>
        <v>0.36499999999999999</v>
      </c>
      <c r="C64" s="35">
        <f t="shared" si="0"/>
        <v>0.4</v>
      </c>
      <c r="E64" s="16"/>
    </row>
    <row r="65" spans="1:5" x14ac:dyDescent="0.2">
      <c r="A65" s="26">
        <f>(0.29+0.32)/2</f>
        <v>0.30499999999999999</v>
      </c>
      <c r="C65" s="35">
        <f t="shared" si="0"/>
        <v>0.3</v>
      </c>
      <c r="E65" s="16"/>
    </row>
    <row r="66" spans="1:5" x14ac:dyDescent="0.2">
      <c r="A66" s="26">
        <f>(0.02+0.29)/2</f>
        <v>0.155</v>
      </c>
      <c r="C66" s="35">
        <f t="shared" si="0"/>
        <v>0.2</v>
      </c>
      <c r="E66" s="16"/>
    </row>
    <row r="67" spans="1:5" x14ac:dyDescent="0.2">
      <c r="A67" s="24">
        <v>0.126</v>
      </c>
      <c r="C67" s="35">
        <f t="shared" ref="C67:C75" si="1">ROUND(A67,1)</f>
        <v>0.1</v>
      </c>
      <c r="E67" s="16"/>
    </row>
    <row r="68" spans="1:5" x14ac:dyDescent="0.2">
      <c r="A68" s="24">
        <v>0.186</v>
      </c>
      <c r="C68" s="35">
        <f t="shared" si="1"/>
        <v>0.2</v>
      </c>
      <c r="E68" s="16"/>
    </row>
    <row r="69" spans="1:5" x14ac:dyDescent="0.2">
      <c r="A69" s="26">
        <v>0.43</v>
      </c>
      <c r="C69" s="35">
        <f t="shared" si="1"/>
        <v>0.4</v>
      </c>
      <c r="E69" s="16"/>
    </row>
    <row r="70" spans="1:5" x14ac:dyDescent="0.2">
      <c r="A70" s="26">
        <f>(1.42+2)/2</f>
        <v>1.71</v>
      </c>
      <c r="C70" s="35">
        <f t="shared" si="1"/>
        <v>1.7</v>
      </c>
      <c r="E70" s="16"/>
    </row>
    <row r="71" spans="1:5" x14ac:dyDescent="0.2">
      <c r="A71" s="26">
        <f>(0.71+1.9)/2</f>
        <v>1.3049999999999999</v>
      </c>
      <c r="C71" s="35">
        <f t="shared" si="1"/>
        <v>1.3</v>
      </c>
      <c r="E71" s="16"/>
    </row>
    <row r="72" spans="1:5" x14ac:dyDescent="0.2">
      <c r="A72" s="24">
        <v>2</v>
      </c>
      <c r="C72" s="35">
        <f t="shared" si="1"/>
        <v>2</v>
      </c>
      <c r="E72" s="16"/>
    </row>
    <row r="73" spans="1:5" x14ac:dyDescent="0.2">
      <c r="A73" s="24">
        <v>0.86</v>
      </c>
      <c r="C73" s="35">
        <f t="shared" si="1"/>
        <v>0.9</v>
      </c>
      <c r="E73" s="16"/>
    </row>
    <row r="74" spans="1:5" x14ac:dyDescent="0.2">
      <c r="A74" s="24">
        <v>0.75</v>
      </c>
      <c r="C74" s="35">
        <f t="shared" si="1"/>
        <v>0.8</v>
      </c>
      <c r="E74" s="16"/>
    </row>
    <row r="75" spans="1:5" x14ac:dyDescent="0.2">
      <c r="A75" s="24">
        <v>0.1</v>
      </c>
      <c r="C75" s="35">
        <f t="shared" si="1"/>
        <v>0.1</v>
      </c>
    </row>
    <row r="76" spans="1:5" x14ac:dyDescent="0.2">
      <c r="A76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List1</vt:lpstr>
      <vt:lpstr>List3</vt:lpstr>
      <vt:lpstr>List2</vt:lpstr>
      <vt:lpstr>List4</vt:lpstr>
      <vt:lpstr>HL-V</vt:lpstr>
      <vt:lpstr>L-V</vt:lpstr>
      <vt:lpstr>H-V</vt:lpstr>
      <vt:lpstr>A-V</vt:lpstr>
      <vt:lpstr>Age-Age</vt:lpstr>
      <vt:lpstr>potential energy</vt:lpstr>
      <vt:lpstr>List1!atlantic</vt:lpstr>
      <vt:lpstr>List1!atlantic_1</vt:lpstr>
      <vt:lpstr>List1!indian</vt:lpstr>
      <vt:lpstr>List1!pacific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2019-12-13T06:48:59Z</dcterms:modified>
</cp:coreProperties>
</file>