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cuments/OSUDocs/Projects/Disease_LHS/GCMP_Global_Disease/products/manuscript/supplementary_materials/"/>
    </mc:Choice>
  </mc:AlternateContent>
  <xr:revisionPtr revIDLastSave="0" documentId="13_ncr:1_{5EFB9818-6DDF-9341-A172-35E142412BAA}" xr6:coauthVersionLast="47" xr6:coauthVersionMax="47" xr10:uidLastSave="{00000000-0000-0000-0000-000000000000}"/>
  <bookViews>
    <workbookView xWindow="5540" yWindow="660" windowWidth="23260" windowHeight="12580" xr2:uid="{635964DC-1275-F24E-A533-4EEDB34ABDB9}"/>
  </bookViews>
  <sheets>
    <sheet name="Table 7a" sheetId="1" r:id="rId1"/>
    <sheet name="Table 7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3" i="3" l="1"/>
  <c r="Q242" i="3"/>
  <c r="Q238" i="3"/>
  <c r="Q237" i="3"/>
  <c r="Q236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0" i="3"/>
  <c r="Q209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2" i="3"/>
  <c r="Q181" i="3"/>
  <c r="Q180" i="3"/>
  <c r="Q179" i="3"/>
  <c r="Q178" i="3"/>
  <c r="Q177" i="3"/>
  <c r="Q176" i="3"/>
  <c r="Q175" i="3"/>
  <c r="Q174" i="3"/>
  <c r="Q171" i="3"/>
  <c r="Q170" i="3"/>
  <c r="Q169" i="3"/>
  <c r="Q168" i="3"/>
  <c r="Q167" i="3"/>
  <c r="Q166" i="3"/>
  <c r="Q165" i="3"/>
  <c r="Q164" i="3"/>
  <c r="Q162" i="3"/>
  <c r="Q161" i="3"/>
  <c r="Q160" i="3"/>
  <c r="Q159" i="3"/>
  <c r="Q157" i="3"/>
  <c r="Q156" i="3"/>
  <c r="Q155" i="3"/>
  <c r="Q154" i="3"/>
  <c r="Q153" i="3"/>
  <c r="Q152" i="3"/>
  <c r="Q151" i="3"/>
  <c r="Q150" i="3"/>
  <c r="Q149" i="3"/>
  <c r="Q148" i="3"/>
  <c r="Q146" i="3"/>
  <c r="Q145" i="3"/>
  <c r="Q144" i="3"/>
  <c r="Q143" i="3"/>
  <c r="Q142" i="3"/>
  <c r="Q141" i="3"/>
  <c r="Q140" i="3"/>
  <c r="Q139" i="3"/>
  <c r="Q138" i="3"/>
  <c r="Q136" i="3"/>
  <c r="Q135" i="3"/>
  <c r="Q134" i="3"/>
  <c r="Q133" i="3"/>
  <c r="Q132" i="3"/>
  <c r="Q131" i="3"/>
  <c r="Q130" i="3"/>
  <c r="Q129" i="3"/>
  <c r="Q128" i="3"/>
  <c r="Q127" i="3"/>
  <c r="Q125" i="3"/>
  <c r="Q124" i="3"/>
  <c r="Q123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3" i="3"/>
  <c r="Q62" i="3"/>
  <c r="Q61" i="3"/>
  <c r="Q60" i="3"/>
  <c r="Q59" i="3"/>
  <c r="Q58" i="3"/>
  <c r="Q57" i="3"/>
  <c r="Q56" i="3"/>
  <c r="Q55" i="3"/>
  <c r="Q54" i="3"/>
  <c r="Q52" i="3"/>
  <c r="Q51" i="3"/>
  <c r="Q50" i="3"/>
  <c r="Q49" i="3"/>
  <c r="Q48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247" i="1"/>
  <c r="Q245" i="1"/>
  <c r="Q244" i="1"/>
  <c r="Q243" i="1"/>
  <c r="Q242" i="1"/>
  <c r="Q241" i="1"/>
  <c r="Q240" i="1"/>
  <c r="Q239" i="1"/>
  <c r="Q238" i="1"/>
  <c r="Q237" i="1"/>
  <c r="Q236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2" i="1"/>
  <c r="Q201" i="1"/>
  <c r="Q200" i="1"/>
  <c r="Q199" i="1"/>
  <c r="Q198" i="1"/>
  <c r="Q197" i="1"/>
  <c r="Q196" i="1"/>
  <c r="Q195" i="1"/>
  <c r="Q194" i="1"/>
  <c r="Q192" i="1"/>
  <c r="Q190" i="1"/>
  <c r="Q189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8" i="1"/>
  <c r="Q156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1" i="1"/>
  <c r="Q130" i="1"/>
  <c r="Q129" i="1"/>
  <c r="Q128" i="1"/>
  <c r="Q127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0" i="1"/>
  <c r="Q109" i="1"/>
  <c r="Q108" i="1"/>
  <c r="Q107" i="1"/>
  <c r="Q106" i="1"/>
  <c r="Q105" i="1"/>
  <c r="Q104" i="1"/>
  <c r="Q103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3" i="1"/>
  <c r="Q62" i="1"/>
  <c r="Q61" i="1"/>
  <c r="Q60" i="1"/>
  <c r="Q59" i="1"/>
  <c r="Q58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29" i="1"/>
  <c r="Q28" i="1"/>
  <c r="Q27" i="1"/>
  <c r="Q26" i="1"/>
  <c r="Q25" i="1"/>
  <c r="Q24" i="1"/>
  <c r="Q23" i="1"/>
  <c r="Q21" i="1"/>
  <c r="Q20" i="1"/>
  <c r="Q19" i="1"/>
  <c r="Q18" i="1"/>
  <c r="Q17" i="1"/>
  <c r="Q16" i="1"/>
  <c r="Q15" i="1"/>
  <c r="Q14" i="1"/>
  <c r="Q13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<sst xmlns="http://schemas.openxmlformats.org/spreadsheetml/2006/main" count="6754" uniqueCount="619">
  <si>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</si>
  <si>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</si>
  <si>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</si>
  <si>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</si>
  <si>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</si>
  <si>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</si>
  <si>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</si>
  <si>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</si>
  <si>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</si>
  <si>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</si>
  <si>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</si>
  <si>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</si>
  <si>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</si>
  <si>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</si>
  <si>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</si>
  <si>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</si>
  <si>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</si>
  <si>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</si>
  <si>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</si>
  <si>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</si>
  <si>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</si>
  <si>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</si>
  <si>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</si>
  <si>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</si>
  <si>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perc_dis</t>
  </si>
  <si>
    <t>BM_Lambda</t>
  </si>
  <si>
    <t>None</t>
  </si>
  <si>
    <t>all</t>
  </si>
  <si>
    <t>lambda=ML delta=1kappa=1</t>
  </si>
  <si>
    <t>lambda</t>
  </si>
  <si>
    <t>../output/GCMP_trait_table_with_abundances_and_adiv_and_metadata_zeros.tsv</t>
  </si>
  <si>
    <t>../output/huang_roy_genus_tree.newick</t>
  </si>
  <si>
    <t>mucus</t>
  </si>
  <si>
    <t>tissue</t>
  </si>
  <si>
    <t>skeleton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</si>
  <si>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</si>
  <si>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</si>
  <si>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</si>
  <si>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</si>
  <si>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</si>
  <si>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</si>
  <si>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</si>
  <si>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BM</t>
  </si>
  <si>
    <t>lambda=1 delta=1kappa=1</t>
  </si>
  <si>
    <t>All parameters fixed</t>
  </si>
  <si>
    <t>tissue_D_0__Bacteria___D_1__Proteobacteria___D_2__Alphaproteobacteria___D_3__Rhodospirillales___D_4__Terasakiellaceae___D_5__uncultured</t>
  </si>
  <si>
    <t>lambda : 1e-06 (95% CI  NA  -  0.230160555319949 )</t>
  </si>
  <si>
    <t>tissue_D_0__Bacteria___D_1__Bacteroidetes___D_2__Bacteroidia___D_3__Bacteroidales___D_4__Rikenellaceae___D_5__Rikenellaceae_RC9_gut_group</t>
  </si>
  <si>
    <t>lambda : 1e-06 (95% CI  NA  -  0.240683265448064 )</t>
  </si>
  <si>
    <t>mucus_D_0__Bacteria___D_1__Proteobacteria___D_2__Gammaproteobacteria___D_3__Vibrionales___D_4__Vibrionaceae___D_5__Vibrio</t>
  </si>
  <si>
    <t>lambda : 1e-06 (95% CI  NA  -  0.274127697347072 )</t>
  </si>
  <si>
    <t>all_D_0__Bacteria___D_1__Proteobacteria___D_2__Alphaproteobacteria___D_3__Rickettsiales___D_4__Midichloriaceae___D_5__MD3_55</t>
  </si>
  <si>
    <t>lambda : 1e-06 (95% CI  NA  -  0.252318714010605 )</t>
  </si>
  <si>
    <t>tissue_D_0__Bacteria___D_1__Tenericutes___D_2__Mollicutes___D_3__Mycoplasmatales___D_4__Mycoplasmataceae___D_5__Mycoplasma</t>
  </si>
  <si>
    <t>lambda : 1e-06 (95% CI  NA  -  0.246068652616763 )</t>
  </si>
  <si>
    <t>tissue_D_0__Archaea___D_1__Thaumarchaeota___D_2__Nitrososphaeria___D_3__Nitrosopumilales___D_4__Nitrosopumilaceae___D_5__Candidatus_Nitrosopumilus</t>
  </si>
  <si>
    <t>lambda : 1e-06 (95% CI  NA  -  0.238190810340732 )</t>
  </si>
  <si>
    <t>skeleton_D_0__Bacteria___D_1__Proteobacteria___D_2__Alphaproteobacteria___D_3__Dstr_E11___D_4__uncultured_alpha_proteobacterium___D_5__uncultured_alpha_proteobacterium</t>
  </si>
  <si>
    <t>lambda : 1e-06 (95% CI  NA  -  0.226467158935445 )</t>
  </si>
  <si>
    <t>all_D_0__Bacteria___D_1__Proteobacteria___D_2__Alphaproteobacteria___D_3__Rhodospirillales___D_4__Terasakiellaceae___D_5__uncultured</t>
  </si>
  <si>
    <t>lambda : 1e-06 (95% CI  NA  -  0.237336098320474 )</t>
  </si>
  <si>
    <t>all_D_0__Bacteria___D_1__Proteobacteria___D_2__Gammaproteobacteria___D_3__Betaproteobacteriales___D_4__Burkholderiaceae___D_5__Aquabacterium</t>
  </si>
  <si>
    <t>lambda : 1e-06 (95% CI  NA  -  0.266352688304011 )</t>
  </si>
  <si>
    <t>tissue_D_0__Bacteria___D_1__Bacteroidetes___D_2__Bacteroidia___D_3__Flavobacteriales___D_4__Flavobacteriaceae___D_5__Maritimimonas</t>
  </si>
  <si>
    <t>lambda : 1e-06 (95% CI  NA  -  0.231256567041054 )</t>
  </si>
  <si>
    <t>all_D_0__Bacteria___D_1__Spirochaetes___D_2__Spirochaetia___D_3__Spirochaetales___D_4__Spirochaetaceae___D_5__Spirochaeta_2</t>
  </si>
  <si>
    <t>lambda : 1e-06 (95% CI  NA  -  0.239316706967025 )</t>
  </si>
  <si>
    <t>tissue_D_0__Bacteria___D_1__Proteobacteria___D_2__Gammaproteobacteria___D_3__Enterobacteriales___D_4__Enterobacteriaceae___D_5__Pantoea</t>
  </si>
  <si>
    <t>lambda : 1e-06 (95% CI  NA  -  0.226826147223528 )</t>
  </si>
  <si>
    <t>skeleton_D_0__Bacteria___D_1__Proteobacteria___D_2__Deltaproteobacteria___D_3__Desulfobacterales___D_4__Desulfobacteraceae___D_5__Desulfobacter</t>
  </si>
  <si>
    <t>lambda : 1e-06 (95% CI  NA  -  0.254812460582787 )</t>
  </si>
  <si>
    <t>skeleton_D_0__Bacteria___D_1__Acidobacteria___D_2__Thermoanaerobaculia___D_3__Thermoanaerobaculales___D_4__Thermoanaerobaculaceae___D_5__Subgroup_10</t>
  </si>
  <si>
    <t>lambda : 1e-06 (95% CI  NA  -  0.221580090875258 )</t>
  </si>
  <si>
    <t>all_D_0__Bacteria___D_1__Proteobacteria___D_2__Alphaproteobacteria___D_3__Sphingomonadales___D_4__Sphingomonadaceae___D_5__Sphingobium</t>
  </si>
  <si>
    <t>lambda : 1e-06 (95% CI  NA  -  0.254975194651479 )</t>
  </si>
  <si>
    <t>all_D_0__Bacteria___D_1__Bacteroidetes___D_2__Chlorobia___D_3__Chlorobiales___D_4__Chlorobiaceae___D_5__Prosthecochloris</t>
  </si>
  <si>
    <t>lambda : 1e-06 (95% CI  NA  -  0.24232776778203 )</t>
  </si>
  <si>
    <t>skeleton_D_0__Archaea___D_1__Thaumarchaeota___D_2__Nitrososphaeria___D_3__Nitrosopumilales___D_4__Nitrosopumilaceae___D_5__Candidatus_Nitrosopumilus</t>
  </si>
  <si>
    <t>lambda : 1e-06 (95% CI  NA  -  0.241383538958721 )</t>
  </si>
  <si>
    <t>all_D_0__Bacteria___D_1__Proteobacteria___D_2__Gammaproteobacteria___D_3__Vibrionales___D_4__Vibrionaceae___D_5__Vibrio</t>
  </si>
  <si>
    <t>lambda : 1e-06 (95% CI  NA  -  0.252198258616412 )</t>
  </si>
  <si>
    <t>tissue_D_0__Bacteria___D_1__Proteobacteria___D_2__Gammaproteobacteria___D_3__Oceanospirillales___D_4__Endozoicomonadaceae___D_5__Endozoicomonas</t>
  </si>
  <si>
    <t>0.00776882626930944 - 0.0223094227323264</t>
  </si>
  <si>
    <t>lambda : 1e-06 (95% CI  NA  -  0.271255987848455 )</t>
  </si>
  <si>
    <t>skeleton_D_0__Bacteria___D_1__Proteobacteria___D_2__Gammaproteobacteria___D_3__Pseudomonadales___D_4__Pseudomonadaceae___D_5__Pseudomonas</t>
  </si>
  <si>
    <t>lambda : 1e-06 (95% CI  NA  -  0.242545974248389 )</t>
  </si>
  <si>
    <t>tissue_D_0__Bacteria___D_1__Proteobacteria___D_2__Gammaproteobacteria___D_3__Betaproteobacteriales___D_4__Burkholderiaceae___D_5__Aquabacterium</t>
  </si>
  <si>
    <t>lambda : 1e-06 (95% CI  NA  -  0.262627059399033 )</t>
  </si>
  <si>
    <t>skeleton_D_0__Bacteria___D_1__Bacteroidetes___D_2__Bacteroidia___D_3__Bacteroidales___D_4__Rikenellaceae___D_5__Rikenellaceae_RC9_gut_group</t>
  </si>
  <si>
    <t>lambda : 1e-06 (95% CI  NA  -  0.241566856097325 )</t>
  </si>
  <si>
    <t>all_D_0__Bacteria___D_1__Proteobacteria___D_2__Gammaproteobacteria___D_3__Oceanospirillales___D_4__Endozoicomonadaceae___D_5__Endozoicomonas</t>
  </si>
  <si>
    <t>0.0181482497663207 - 0.0524429555526737</t>
  </si>
  <si>
    <t>lambda : 1e-06 (95% CI  NA  -  0.214547211075178 )</t>
  </si>
  <si>
    <t>mucus_D_0__Bacteria___D_1__Tenericutes___D_2__Mollicutes___D_3__Entomoplasmatales___D_4__Spiroplasmataceae___D_5__Spiroplasma</t>
  </si>
  <si>
    <t>lambda : 1e-06 (95% CI  NA  -  0.243609590344053 )</t>
  </si>
  <si>
    <t>skeleton_D_0__Bacteria___D_1__Proteobacteria___D_2__Gammaproteobacteria___D_3__Oceanospirillales___D_4__Endozoicomonadaceae___D_5__Endozoicomonas</t>
  </si>
  <si>
    <t>lambda : 1e-06 (95% CI  NA  -  0.227491021390055 )</t>
  </si>
  <si>
    <t>mucus_D_0__Bacteria___D_1__Proteobacteria___D_2__Gammaproteobacteria___D_3__Alteromonadales___D_4__Pseudoalteromonadaceae___D_5__Pseudoalteromonas</t>
  </si>
  <si>
    <t>lambda : 1e-06 (95% CI  NA  -  0.266432803909442 )</t>
  </si>
  <si>
    <t>tissue_D_0__Archaea___D_1__Thaumarchaeota___D_2__Nitrososphaeria___D_3__Nitrosopumilales___D_4__Nitrosopumilaceae___D_5__uncultured_archaeon</t>
  </si>
  <si>
    <t>lambda : 1e-06 (95% CI  NA  -  0.241473167159014 )</t>
  </si>
  <si>
    <t>tissue_D_0__Bacteria___D_1__Proteobacteria___D_2__Alphaproteobacteria___D_3__Sphingomonadales___D_4__Sphingomonadaceae___D_5__Sphingobium</t>
  </si>
  <si>
    <t>lambda : 1e-06 (95% CI  NA  -  0.247682631455691 )</t>
  </si>
  <si>
    <t>all_D_0__Bacteria___D_1__Proteobacteria___D_2__Gammaproteobacteria___D_3__Pseudomonadales___D_4__Pseudomonadaceae___D_5__Pseudomonas</t>
  </si>
  <si>
    <t>lambda : 1e-06 (95% CI  NA  -  0.25364938667729 )</t>
  </si>
  <si>
    <t>mucus_D_0__Bacteria___D_1__Proteobacteria___D_2__Gammaproteobacteria___D_3__Pseudomonadales___D_4__Moraxellaceae___D_5__Enhydrobacter</t>
  </si>
  <si>
    <t>lambda : 1e-06 (95% CI  NA  -  0.358455900698735 )</t>
  </si>
  <si>
    <t>all_D_0__Bacteria___D_1__Tenericutes___D_2__Mollicutes___D_3__Mycoplasmatales___D_4__Mycoplasmataceae___D_5__Mycoplasma</t>
  </si>
  <si>
    <t>lambda : 1e-06 (95% CI  NA  -  0.264399611043564 )</t>
  </si>
  <si>
    <t>all_D_0__Bacteria___D_1__Bacteroidetes___D_2__Bacteroidia___D_3__Bacteroidales___D_4__Rikenellaceae___D_5__Rikenellaceae_RC9_gut_group</t>
  </si>
  <si>
    <t>lambda : 1e-06 (95% CI  NA  -  0.238805177844382 )</t>
  </si>
  <si>
    <t>all_D_0__Bacteria___D_1__Cyanobacteria___D_2__Oxyphotobacteria___D_3__Synechococcales___D_4__Cyanobiaceae___D_5__Synechococcus_CC9902</t>
  </si>
  <si>
    <t>lambda : 1e-06 (95% CI  NA  -  0.244998976654165 )</t>
  </si>
  <si>
    <t>skeleton_D_0__Bacteria___D_1__Bacteroidetes___D_2__Bacteroidia___D_3__Cytophagales___D_4__Amoebophilaceae___D_5__Candidatus_Amoebophilus</t>
  </si>
  <si>
    <t>lambda : 1e-06 (95% CI  NA  -  0.250833182740987 )</t>
  </si>
  <si>
    <t>skeleton_D_0__Bacteria___D_1__Firmicutes___D_2__Clostridia___D_3__Clostridiales___D_4__Clostridiaceae_4___D_5__Paramaledivibacter</t>
  </si>
  <si>
    <t>0.00737027010647634 - 0.065738489357327</t>
  </si>
  <si>
    <t>lambda : 1e-06 (95% CI  NA  -  0.431168603026995 )</t>
  </si>
  <si>
    <t>mucus_D_0__Bacteria___D_1__Proteobacteria___D_2__Alphaproteobacteria___D_3__Rhodospirillales___D_4__Terasakiellaceae___D_5__uncultured</t>
  </si>
  <si>
    <t>lambda : 1e-06 (95% CI  NA  -  0.259716380586121 )</t>
  </si>
  <si>
    <t>mucus_D_0__Bacteria___D_1__Proteobacteria___D_2__Alphaproteobacteria___D_3__Rickettsiales___D_4__Midichloriaceae___D_5__MD3_55</t>
  </si>
  <si>
    <t>lambda : 1e-06 (95% CI  NA  -  0.282071378966201 )</t>
  </si>
  <si>
    <t>mucus_D_0__Bacteria___D_1__Proteobacteria___D_2__Gammaproteobacteria___D_3__Vibrionales___D_4__Vibrionaceae___D_5__Photobacterium</t>
  </si>
  <si>
    <t>lambda : 1e-06 (95% CI  NA  -  0.273422700100009 )</t>
  </si>
  <si>
    <t>tissue_D_0__Bacteria___D_1__Proteobacteria___D_2__Gammaproteobacteria___D_3__Pseudomonadales___D_4__Pseudomonadaceae___D_5__Pseudomonas</t>
  </si>
  <si>
    <t>lambda : 1e-06 (95% CI  NA  -  0.28332925387614 )</t>
  </si>
  <si>
    <t>all_D_0__Bacteria___D_1__Proteobacteria___D_2__Deltaproteobacteria___D_3__Desulfobacterales___D_4__Desulfobacteraceae___D_5__Desulfobacter</t>
  </si>
  <si>
    <t>lambda : 1e-06 (95% CI  NA  -  0.26191561971006 )</t>
  </si>
  <si>
    <t>tissue_D_0__Bacteria___D_1__Proteobacteria___D_2__Alphaproteobacteria___D_3__Rickettsiales___D_4__Midichloriaceae___D_5__MD3_55</t>
  </si>
  <si>
    <t>lambda : 1e-06 (95% CI  NA  -  0.242545927926044 )</t>
  </si>
  <si>
    <t>skeleton_D_0__Bacteria___D_1__Chloroflexi___D_2__Chloroflexia___D_3__Chloroflexales___D_4__Chloroflexaceae___D_5__Candidatus_Chlorothrix</t>
  </si>
  <si>
    <t>lambda : 1e-06 (95% CI  NA  -  0.242657010859576 )</t>
  </si>
  <si>
    <t>skeleton_D_0__Bacteria___D_1__Bacteroidetes___D_2__Chlorobia___D_3__Chlorobiales___D_4__Chlorobiaceae___D_5__Prosthecochloris</t>
  </si>
  <si>
    <t>lambda : 1e-06 (95% CI  NA  -  0.240432355737608 )</t>
  </si>
  <si>
    <t>all_D_0__Bacteria___D_1__Proteobacteria___D_2__Alphaproteobacteria___D_3__Rhizobiales___D_4__Stappiaceae___D_5__Pseudovibrio</t>
  </si>
  <si>
    <t>lambda : 1e-06 (95% CI  NA  -  0.286419491736972 )</t>
  </si>
  <si>
    <t>mucus_D_0__Bacteria___D_1__Proteobacteria___D_2__Alphaproteobacteria___D_3__Sphingomonadales___D_4__Sphingomonadaceae___D_5__Sphingobium</t>
  </si>
  <si>
    <t>lambda : 1e-06 (95% CI  NA  -  0.27442368653689 )</t>
  </si>
  <si>
    <t>all_D_0__Bacteria___D_1__Proteobacteria___D_2__Alphaproteobacteria___D_3__Rhodobacterales___D_4__Rhodobacteraceae___D_5__Ruegeria</t>
  </si>
  <si>
    <t>lambda : 1e-06 (95% CI  NA  -  0.243102864763895 )</t>
  </si>
  <si>
    <t>skeleton_D_0__Bacteria___D_1__Proteobacteria___D_2__Alphaproteobacteria___D_3__Rickettsiales___D_4__Midichloriaceae___D_5__MD3_55</t>
  </si>
  <si>
    <t>lambda : 1e-06 (95% CI  NA  -  0.256739660198936 )</t>
  </si>
  <si>
    <t>mucus_D_0__Bacteria___D_1__Proteobacteria___D_2__Gammaproteobacteria___D_3__Oceanospirillales___D_4__Endozoicomonadaceae___D_5__Endozoicomonas</t>
  </si>
  <si>
    <t>0.0339270046383841 - 0.0734488897374262</t>
  </si>
  <si>
    <t>lambda : 1e-06 (95% CI  NA  -  0.282067052276017 )</t>
  </si>
  <si>
    <t>skeleton_D_0__Bacteria___D_1__Spirochaetes___D_2__Spirochaetia___D_3__Spirochaetales___D_4__Spirochaetaceae___D_5__Spirochaeta_2</t>
  </si>
  <si>
    <t>lambda : 1e-06 (95% CI  NA  -  0.243329737648934 )</t>
  </si>
  <si>
    <t>mucus_D_0__Bacteria___D_1__Cyanobacteria___D_2__Oxyphotobacteria___D_3__Synechococcales___D_4__Cyanobiaceae___D_5__Synechococcus_CC9902</t>
  </si>
  <si>
    <t>lambda : 1e-06 (95% CI  NA  -  0.276344217566448 )</t>
  </si>
  <si>
    <t>mucus_D_0__Bacteria___D_1__Proteobacteria___D_2__Alphaproteobacteria___D_3__Rhizobiales___D_4__Stappiaceae___D_5__Pseudovibrio</t>
  </si>
  <si>
    <t>lambda : 1e-06 (95% CI  NA  -  0.292232447751029 )</t>
  </si>
  <si>
    <t>all_D_0__Bacteria___D_1__Proteobacteria___D_2__Gammaproteobacteria___D_3__Alteromonadales___D_4__Pseudoalteromonadaceae___D_5__Pseudoalteromonas</t>
  </si>
  <si>
    <t>lambda : 1e-06 (95% CI  NA  -  0.244610628374386 )</t>
  </si>
  <si>
    <t>tissue_D_0__Bacteria___D_1__Proteobacteria___D_2__Alphaproteobacteria___D_3__Rhizobiales___D_4__Beijerinckiaceae___D_5__Methylobacterium</t>
  </si>
  <si>
    <t>lambda : 1e-06 (95% CI  NA  -  0.221055252463596 )</t>
  </si>
  <si>
    <t>all_D_0__Archaea___D_1__Thaumarchaeota___D_2__Nitrososphaeria___D_3__Nitrosopumilales___D_4__Nitrosopumilaceae___D_5__Candidatus_Nitrosopumilus</t>
  </si>
  <si>
    <t>lambda : 1e-06 (95% CI  NA  -  0.241496627631281 )</t>
  </si>
  <si>
    <t>skeleton_D_0__Bacteria___D_1__Proteobacteria___D_2__Alphaproteobacteria___D_3__Rhodospirillales___D_4__Terasakiellaceae___D_5__uncultured</t>
  </si>
  <si>
    <t>lambda : 1e-06 (95% CI  NA  -  0.237796535771792 )</t>
  </si>
  <si>
    <t>mucus_D_0__Bacteria___D_1__Proteobacteria___D_2__Gammaproteobacteria___D_3__Betaproteobacteriales___D_4__Burkholderiaceae___D_5__Aquabacterium</t>
  </si>
  <si>
    <t>lambda : 1e-06 (95% CI  NA  -  0.27424929618903 )</t>
  </si>
  <si>
    <t>skeleton_D_0__Bacteria___D_1__Proteobacteria___D_2__Alphaproteobacteria___D_3__Rhodobacterales___D_4__Rhodobacteraceae___D_5__Ruegeria</t>
  </si>
  <si>
    <t>0.000737549927622899 - 0.367703477084254</t>
  </si>
  <si>
    <t>lambda : 1e-06 (95% CI  NA  -  0.228653633838357 )</t>
  </si>
  <si>
    <t>skeleton_D_0__Bacteria___D_1__Bacteroidetes___D_2__Bacteroidia___D_3__Cytophagales___D_4__Cyclobacteriaceae___D_5__uncultured</t>
  </si>
  <si>
    <t>lambda : 1e-06 (95% CI  NA  -  0.245054631943082 )</t>
  </si>
  <si>
    <t>skeleton_D_0__Bacteria___D_1__Proteobacteria___D_2__Deltaproteobacteria___D_3__Myxococcales___D_4__P3OB_42___D_5__uncultured_bacterium</t>
  </si>
  <si>
    <t>lambda : 1e-06 (95% CI  NA  -  0.221694117347199 )</t>
  </si>
  <si>
    <t>all_D_0__Bacteria___D_1__Proteobacteria___D_2__Gammaproteobacteria___D_3__Cellvibrionales___D_4__Spongiibacteraceae___D_5__BD1_7_clade</t>
  </si>
  <si>
    <t>lambda : 1e-06 (95% CI  NA  -  0.253112237873955 )</t>
  </si>
  <si>
    <t>mucus_D_0__Bacteria___D_1__Proteobacteria___D_2__Gammaproteobacteria___D_3__Pseudomonadales___D_4__Pseudomonadaceae___D_5__Pseudomonas</t>
  </si>
  <si>
    <t>lambda : 1e-06 (95% CI  NA  -  0.27197108280192 )</t>
  </si>
  <si>
    <t>delta : 1 (95% CI  0.387907313652234  -  NA )</t>
  </si>
  <si>
    <t>kappa : 0.598172064912431 (95% CI  0.0236394870462765  -  NA )</t>
  </si>
  <si>
    <t>kappa : 0.527060850166651 (95% CI  0.00404059597990954  -  NA )</t>
  </si>
  <si>
    <t>delta : 1 (95% CI  0.387970930627073  -  NA )</t>
  </si>
  <si>
    <t>delta : 1 (95% CI  0.387482481275996  -  NA )</t>
  </si>
  <si>
    <t>0.0837286076073749 - 0.491664867773935</t>
  </si>
  <si>
    <t>delta : 1 (95% CI  0.36698933664739  -  NA )</t>
  </si>
  <si>
    <t>kappa : 0.561733732306684 (95% CI  NA  -  NA )</t>
  </si>
  <si>
    <t>delta : 1 (95% CI  0.380441932109537  -  NA )</t>
  </si>
  <si>
    <t>kappa : 0.688892066023665 (95% CI  0.0411613881584948  -  NA )</t>
  </si>
  <si>
    <t>kappa : 0.510031323942113 (95% CI  NA  -  NA )</t>
  </si>
  <si>
    <t>kappa : 0.64452951718125 (95% CI  0.102677958115542  -  NA )</t>
  </si>
  <si>
    <t>delta : 1 (95% CI  0.381586547056726  -  NA )</t>
  </si>
  <si>
    <t>delta : 1 (95% CI  0.380450145065392  -  NA )</t>
  </si>
  <si>
    <t>delta : 1 (95% CI  0.385999018995936  -  NA )</t>
  </si>
  <si>
    <t>delta : 1 (95% CI  0.386790383565607  -  NA )</t>
  </si>
  <si>
    <t>0.0141286135999043 - 0.0588901963676428</t>
  </si>
  <si>
    <t>kappa : 0.744241505182245 (95% CI  0.150452950601202  -  NA )</t>
  </si>
  <si>
    <t>kappa : 0.658214627064447 (95% CI  0.123076153731033  -  NA )</t>
  </si>
  <si>
    <t>delta : 1 (95% CI  0.375363669530091  -  NA )</t>
  </si>
  <si>
    <t>delta : 1 (95% CI  0.38066771559435  -  NA )</t>
  </si>
  <si>
    <t>0.031456476752678 - 0.07257553585415</t>
  </si>
  <si>
    <t>kappa : 0.400954128166485 (95% CI  NA  -  0.953569953450582 )</t>
  </si>
  <si>
    <t>delta : 1 (95% CI  0.37943453121286  -  NA )</t>
  </si>
  <si>
    <t>delta : 1 (95% CI  0.375853741039565  -  NA )</t>
  </si>
  <si>
    <t>kappa : 0.615328718730104 (95% CI  0.049889522359327  -  NA )</t>
  </si>
  <si>
    <t>delta : 1 (95% CI  0.383519206583849  -  NA )</t>
  </si>
  <si>
    <t>kappa : 0.505577360914832 (95% CI  NA  -  NA )</t>
  </si>
  <si>
    <t>kappa : 0.517989431251727 (95% CI  NA  -  NA )</t>
  </si>
  <si>
    <t>kappa : 0.612940931523157 (95% CI  0.0607019520079064  -  NA )</t>
  </si>
  <si>
    <t>delta : 1 (95% CI  0.375861100499651  -  NA )</t>
  </si>
  <si>
    <t>kappa : 0.658583793551801 (95% CI  0.11757144798148  -  NA )</t>
  </si>
  <si>
    <t>kappa : 0.655914803860361 (95% CI  0.113430567563788  -  NA )</t>
  </si>
  <si>
    <t>kappa : 0.571894096451752 (95% CI  NA  -  NA )</t>
  </si>
  <si>
    <t>delta : 1 (95% CI  0.38141516554938  -  NA )</t>
  </si>
  <si>
    <t>delta : 1 (95% CI  0.37018590468762  -  NA )</t>
  </si>
  <si>
    <t>kappa : 0.608745099398166 (95% CI  0.0374917745439385  -  NA )</t>
  </si>
  <si>
    <t>kappa : 0.510728043535609 (95% CI  NA  -  NA )</t>
  </si>
  <si>
    <t>delta : 1 (95% CI  0.38090116571909  -  NA )</t>
  </si>
  <si>
    <t>kappa : 0.658142057849749 (95% CI  0.117414416797092  -  NA )</t>
  </si>
  <si>
    <t>delta : 1 (95% CI  0.381876852655137  -  NA )</t>
  </si>
  <si>
    <t>kappa : 0.554036065915582 (95% CI  NA  -  NA )</t>
  </si>
  <si>
    <t>kappa : 0.587711573017714 (95% CI  0.0164127820661357  -  NA )</t>
  </si>
  <si>
    <t>0.00523641443568262 - 0.0187517297621932</t>
  </si>
  <si>
    <t>0.00638108508209557 - 0.0205538332915471</t>
  </si>
  <si>
    <t>kappa : 0.468372104412783 (95% CI  NA  -  0.997791158040675 )</t>
  </si>
  <si>
    <t>delta : 1 (95% CI  0.385135199735474  -  NA )</t>
  </si>
  <si>
    <t>delta : 1 (95% CI  0.37915148982044  -  NA )</t>
  </si>
  <si>
    <t>kappa : 0.574619619073524 (95% CI  0.00978100302786147  -  NA )</t>
  </si>
  <si>
    <t>delta : 1 (95% CI  0.38213611774099  -  NA )</t>
  </si>
  <si>
    <t>delta : 1 (95% CI  0.384657943037814  -  NA )</t>
  </si>
  <si>
    <t>delta : 1 (95% CI  0.383053276356923  -  NA )</t>
  </si>
  <si>
    <t>0.0125521300160992 - 0.0478903533787901</t>
  </si>
  <si>
    <t>kappa : 0.558577073167297 (95% CI  0.0641645845347525  -  NA )</t>
  </si>
  <si>
    <t>kappa : 0.672215006971304 (95% CI  0.125889326775632  -  NA )</t>
  </si>
  <si>
    <t>kappa : 0.558009872488739 (95% CI  NA  -  NA )</t>
  </si>
  <si>
    <t>kappa : 0.60908904270759 (95% CI  0.0382255542137983  -  NA )</t>
  </si>
  <si>
    <t>delta : 1 (95% CI  0.383192459580663  -  NA )</t>
  </si>
  <si>
    <t>0.00984113575723501 - 0.0446252098386636</t>
  </si>
  <si>
    <t>delta : 1 (95% CI  0.393341580889692  -  NA )</t>
  </si>
  <si>
    <t>delta : 1 (95% CI  0.388006820767757  -  NA )</t>
  </si>
  <si>
    <t>delta : 1 (95% CI  0.384787636346526  -  NA )</t>
  </si>
  <si>
    <t>delta : 1 (95% CI  0.386598693820913  -  NA )</t>
  </si>
  <si>
    <t>kappa : 0.344274357431874 (95% CI  NA  -  0.917837475965343 )</t>
  </si>
  <si>
    <t>kappa : 0.594214544977902 (95% CI  0.0205775459063419  -  NA )</t>
  </si>
  <si>
    <t>delta : 1 (95% CI  0.380926165310823  -  NA )</t>
  </si>
  <si>
    <t>delta : 1 (95% CI  0.387669881975346  -  NA )</t>
  </si>
  <si>
    <t>delta : 1 (95% CI  0.383239188978792  -  NA )</t>
  </si>
  <si>
    <t>kappa : 0.519782798667366 (95% CI  NA  -  NA )</t>
  </si>
  <si>
    <t>delta : 1 (95% CI  0.392847285008373  -  NA )</t>
  </si>
  <si>
    <t>delta : 1 (95% CI  0.386910691675068  -  NA )</t>
  </si>
  <si>
    <t>delta : 1 (95% CI  0.383327947226116  -  NA )</t>
  </si>
  <si>
    <t>kappa : 0.658853243740148 (95% CI  0.117845660385396  -  NA )</t>
  </si>
  <si>
    <t>0.0264116879474001 - 0.0673664387670193</t>
  </si>
  <si>
    <t>delta : 1 (95% CI  0.394494711084833  -  NA )</t>
  </si>
  <si>
    <t>0.0138546551121069 - 0.0530857189102584</t>
  </si>
  <si>
    <t>delta : 1 (95% CI  0.374274501492303  -  NA )</t>
  </si>
  <si>
    <t>kappa : 0.632781473768679 (95% CI  0.0521348979887373  -  NA )</t>
  </si>
  <si>
    <t>kappa : 0.576629635192769 (95% CI  NA  -  NA )</t>
  </si>
  <si>
    <t>kappa : 0.420474603443392 (95% CI  NA  -  NA )</t>
  </si>
  <si>
    <t>0.0937827142973249 - 0.503007825440987</t>
  </si>
  <si>
    <t>kappa : 0.615076544629546 (95% CI  0.084460972316062  -  NA )</t>
  </si>
  <si>
    <t>kappa : 0.414683150001732 (95% CI  NA  -  NA )</t>
  </si>
  <si>
    <t>delta : 1 (95% CI  0.376088697456029  -  NA )</t>
  </si>
  <si>
    <t>kappa : 0.611749526486807 (95% CI  0.0426735009247156  -  NA )</t>
  </si>
  <si>
    <t>delta : 1 (95% CI  0.384418744086373  -  NA )</t>
  </si>
  <si>
    <t>delta : 1 (95% CI  0.381469820886151  -  NA )</t>
  </si>
  <si>
    <t>delta : 1 (95% CI  0.384605970682317  -  NA )</t>
  </si>
  <si>
    <t>kappa : 0.645123591150397 (95% CI  0.109302231136551  -  NA )</t>
  </si>
  <si>
    <t>delta : 1 (95% CI  0.388547822269541  -  NA )</t>
  </si>
  <si>
    <t>kappa : 0.76954611203203 (95% CI  0.174679869884793  -  NA )</t>
  </si>
  <si>
    <t>delta : 1 (95% CI  0.384317189412592  -  NA )</t>
  </si>
  <si>
    <t>delta : 1 (95% CI  0.384624594141599  -  NA )</t>
  </si>
  <si>
    <t>kappa : 0.582106015711118 (95% CI  NA  -  NA )</t>
  </si>
  <si>
    <t>kappa : 0.668339502272613 (95% CI  0.0547095599061038  -  NA )</t>
  </si>
  <si>
    <t>delta : 1 (95% CI  0.385764130457482  -  NA )</t>
  </si>
  <si>
    <t>delta : 1 (95% CI  0.383344250867091  -  NA )</t>
  </si>
  <si>
    <t>delta : 1 (95% CI  0.389392400753836  -  NA )</t>
  </si>
  <si>
    <t>kappa : 0.594073582187519 (95% CI  0.00842248242695374  -  NA )</t>
  </si>
  <si>
    <t>kappa : 0.576234733344018 (95% CI  NA  -  NA )</t>
  </si>
  <si>
    <t>kappa : 0.600826188190184 (95% CI  0.0404382059576946  -  NA )</t>
  </si>
  <si>
    <t>kappa : 0.595782533690817 (95% CI  0.015948631323163  -  NA )</t>
  </si>
  <si>
    <t>kappa : 0.338770594090691 (95% CI  NA  -  0.863553214876073 )</t>
  </si>
  <si>
    <t>delta : 1 (95% CI  0.383864857724387  -  NA )</t>
  </si>
  <si>
    <t>kappa : 0.521376036878472 (95% CI  NA  -  NA )</t>
  </si>
  <si>
    <t>delta : 1 (95% CI  0.382878972997693  -  NA )</t>
  </si>
  <si>
    <t>delta : 1 (95% CI  0.381545965871954  -  NA )</t>
  </si>
  <si>
    <t>kappa : 0.533791057810105 (95% CI  NA  -  NA )</t>
  </si>
  <si>
    <t>delta : 1 (95% CI  0.383917343021624  -  NA )</t>
  </si>
  <si>
    <t>delta : 1 (95% CI  0.385102782300116  -  NA )</t>
  </si>
  <si>
    <t>delta : 1 (95% CI  0.383615648930938  -  NA )</t>
  </si>
  <si>
    <t>delta : 1 (95% CI  0.383307842905619  -  NA )</t>
  </si>
  <si>
    <t>delta : 1 (95% CI  0.381973480890787  -  NA )</t>
  </si>
  <si>
    <t>delta : 1 (95% CI  0.384558636700797  -  NA )</t>
  </si>
  <si>
    <t>kappa : 0.508819142732241 (95% CI  NA  -  NA )</t>
  </si>
  <si>
    <t>delta : 1 (95% CI  0.384455318957155  -  NA )</t>
  </si>
  <si>
    <t>delta : 1 (95% CI  0.380204847420082  -  NA )</t>
  </si>
  <si>
    <t>kappa : 0.571349048422048 (95% CI  NA  -  NA )</t>
  </si>
  <si>
    <t>delta : 1 (95% CI  0.384954896742941  -  NA )</t>
  </si>
  <si>
    <t>kappa : 0.616676620439831 (95% CI  0.0445842939338638  -  NA )</t>
  </si>
  <si>
    <t>kappa : 0.563745727452096 (95% CI  NA  -  NA )</t>
  </si>
  <si>
    <t>kappa : 0.463898601063065 (95% CI  NA  -  NA )</t>
  </si>
  <si>
    <t>kappa : 0.699350037831249 (95% CI  0.143561698185642  -  NA )</t>
  </si>
  <si>
    <t>kappa : 0.611196470971821 (95% CI  0.0423936499271495  -  NA )</t>
  </si>
  <si>
    <t>kappa : 0.659151310615561 (95% CI  0.115273679648564  -  NA )</t>
  </si>
  <si>
    <t>kappa : 0.643401897453557 (95% CI  0.108609158599945  -  NA )</t>
  </si>
  <si>
    <t>delta : 1 (95% CI  0.384107351762712  -  NA )</t>
  </si>
  <si>
    <t>kappa : 0.658674788597546 (95% CI  0.114254601419513  -  NA )</t>
  </si>
  <si>
    <t>kappa : 0.570781640040392 (95% CI  NA  -  NA )</t>
  </si>
  <si>
    <t>kappa : 0.57475390991604 (95% CI  NA  -  NA )</t>
  </si>
  <si>
    <t>kappa : 0.322028964253289 (95% CI  NA  -  0.965467407184088 )</t>
  </si>
  <si>
    <t>delta : 1 (95% CI  0.384029574906296  -  NA )</t>
  </si>
  <si>
    <t>Supplementary Data Table 7b.</t>
  </si>
  <si>
    <t>Supplementary Data Table 7a.</t>
  </si>
  <si>
    <t>A13b_Taxa_vs_Disease_Zeros_Included</t>
  </si>
  <si>
    <t>../output/PIC_results/A13b_Taxa_vs_Disease_Zeros_Included/PIC_skeleton_D_0__Bacteria___D_1__Proteobacteria___D_2__Alphaproteobacteria___D_3__Rickettsiales___D_4__Midichloriaceae___D_5__MD3_55_vs_perc_dis/PGLS_results.tsv</t>
  </si>
  <si>
    <t>../output/PIC_results/A13b_Taxa_vs_Disease_Zeros_Included/PIC_tissue_D_0__Bacteria___D_1__Tenericutes___D_2__Mollicutes___D_3__Mycoplasmatales___D_4__Mycoplasmataceae___D_5__Mycoplasma_vs_perc_dis/PGLS_results.tsv</t>
  </si>
  <si>
    <t>../output/PIC_results/A13b_Taxa_vs_Disease_Zeros_Included/PIC_mucus_D_0__Bacteria___D_1__Cyanobacteria___D_2__Oxyphotobacteria___D_3__Synechococcales___D_4__Cyanobiaceae___D_5__Synechococcus_CC9902_vs_perc_dis/PGLS_results.tsv</t>
  </si>
  <si>
    <t>../output/PIC_results/A13b_Taxa_vs_Disease_Zeros_Included/PIC_skeleton_D_0__Bacteria___D_1__Bacteroidetes___D_2__Chlorobia___D_3__Chlorobiales___D_4__Chlorobiaceae___D_5__Prosthecochloris_vs_perc_dis/PGLS_results.tsv</t>
  </si>
  <si>
    <t>../output/PIC_results/A13b_Taxa_vs_Disease_Zeros_Included/PIC_all_D_0__Bacteria___D_1__Proteobacteria___D_2__Alphaproteobacteria___D_3__Rhodobacterales___D_4__Rhodobacteraceae___D_5__Ruegeria_vs_perc_dis/PGLS_results.tsv</t>
  </si>
  <si>
    <t>../output/PIC_results/A13b_Taxa_vs_Disease_Zeros_Included/PIC_all_D_0__Bacteria___D_1__Proteobacteria___D_2__Alphaproteobacteria___D_3__Rhodospirillales___D_4__Terasakiellaceae___D_5__uncultured_vs_perc_dis/PGLS_results.tsv</t>
  </si>
  <si>
    <t>../output/PIC_results/A13b_Taxa_vs_Disease_Zeros_Included/PIC_all_D_0__Bacteria___D_1__Cyanobacteria___D_2__Oxyphotobacteria___D_3__Synechococcales___D_4__Cyanobiaceae___D_5__Synechococcus_CC9902_vs_perc_dis/PGLS_results.tsv</t>
  </si>
  <si>
    <t>../output/PIC_results/A13b_Taxa_vs_Disease_Zeros_Included/PIC_mucus_D_0__Bacteria___D_1__Proteobacteria___D_2__Gammaproteobacteria___D_3__Betaproteobacteriales___D_4__Burkholderiaceae___D_5__Aquabacterium_vs_perc_dis/PGLS_results.tsv</t>
  </si>
  <si>
    <t>../output/PIC_results/A13b_Taxa_vs_Disease_Zeros_Included/PIC_skeleton_D_0__Bacteria___D_1__Proteobacteria___D_2__Alphaproteobacteria___D_3__Rhodobacterales___D_4__Rhodobacteraceae___D_5__Ruegeria_vs_perc_dis/PGLS_results.tsv</t>
  </si>
  <si>
    <t>../output/PIC_results/A13b_Taxa_vs_Disease_Zeros_Included/PIC_all_D_0__Bacteria___D_1__Proteobacteria___D_2__Gammaproteobacteria___D_3__Vibrionales___D_4__Vibrionaceae___D_5__Vibrio_vs_perc_dis/PGLS_results.tsv</t>
  </si>
  <si>
    <t>../output/PIC_results/A13b_Taxa_vs_Disease_Zeros_Included/PIC_all_D_0__Bacteria___D_1__Proteobacteria___D_2__Gammaproteobacteria___D_3__Pseudomonadales___D_4__Pseudomonadaceae___D_5__Pseudomonas_vs_perc_dis/PGLS_results.tsv</t>
  </si>
  <si>
    <t>../output/PIC_results/A13b_Taxa_vs_Disease_Zeros_Included/PIC_mucus_D_0__Bacteria___D_1__Proteobacteria___D_2__Gammaproteobacteria___D_3__Alteromonadales___D_4__Pseudoalteromonadaceae___D_5__Pseudoalteromonas_vs_perc_dis/PGLS_results.tsv</t>
  </si>
  <si>
    <t>../output/PIC_results/A13b_Taxa_vs_Disease_Zeros_Included/PIC_mucus_D_0__Bacteria___D_1__Proteobacteria___D_2__Alphaproteobacteria___D_3__Rickettsiales___D_4__Midichloriaceae___D_5__MD3_55_vs_perc_dis/PGLS_results.tsv</t>
  </si>
  <si>
    <t>../output/PIC_results/A13b_Taxa_vs_Disease_Zeros_Included/PIC_skeleton_D_0__Bacteria___D_1__Spirochaetes___D_2__Spirochaetia___D_3__Spirochaetales___D_4__Spirochaetaceae___D_5__Spirochaeta_2_vs_perc_dis/PGLS_results.tsv</t>
  </si>
  <si>
    <t>../output/PIC_results/A13b_Taxa_vs_Disease_Zeros_Included/PIC_tissue_D_0__Bacteria___D_1__Proteobacteria___D_2__Alphaproteobacteria___D_3__Sphingomonadales___D_4__Sphingomonadaceae___D_5__Sphingobium_vs_perc_dis/PGLS_results.tsv</t>
  </si>
  <si>
    <t>../output/PIC_results/A13b_Taxa_vs_Disease_Zeros_Included/PIC_skeleton_D_0__Archaea___D_1__Thaumarchaeota___D_2__Nitrososphaeria___D_3__Nitrosopumilales___D_4__Nitrosopumilaceae___D_5__Candidatus_Nitrosopumilus_vs_perc_dis/PGLS_results.tsv</t>
  </si>
  <si>
    <t>../output/PIC_results/A13b_Taxa_vs_Disease_Zeros_Included/PIC_tissue_D_0__Bacteria___D_1__Proteobacteria___D_2__Alphaproteobacteria___D_3__Rickettsiales___D_4__Midichloriaceae___D_5__MD3_55_vs_perc_dis/PGLS_results.tsv</t>
  </si>
  <si>
    <t>../output/PIC_results/A13b_Taxa_vs_Disease_Zeros_Included/PIC_tissue_D_0__Bacteria___D_1__Bacteroidetes___D_2__Bacteroidia___D_3__Bacteroidales___D_4__Rikenellaceae___D_5__Rikenellaceae_RC9_gut_group_vs_perc_dis/PGLS_results.tsv</t>
  </si>
  <si>
    <t>../output/PIC_results/A13b_Taxa_vs_Disease_Zeros_Included/PIC_tissue_D_0__Bacteria___D_1__Proteobacteria___D_2__Gammaproteobacteria___D_3__Oceanospirillales___D_4__Endozoicomonadaceae___D_5__Endozoicomonas_vs_perc_dis/PGLS_results.tsv</t>
  </si>
  <si>
    <t>../output/PIC_results/A13b_Taxa_vs_Disease_Zeros_Included/PIC_all_D_0__Bacteria___D_1__Proteobacteria___D_2__Gammaproteobacteria___D_3__Betaproteobacteriales___D_4__Burkholderiaceae___D_5__Aquabacterium_vs_perc_dis/PGLS_results.tsv</t>
  </si>
  <si>
    <t>../output/PIC_results/A13b_Taxa_vs_Disease_Zeros_Included/PIC_mucus_D_0__Bacteria___D_1__Proteobacteria___D_2__Alphaproteobacteria___D_3__Rhodospirillales___D_4__Terasakiellaceae___D_5__uncultured_vs_perc_dis/PGLS_results.tsv</t>
  </si>
  <si>
    <t>../output/PIC_results/A13b_Taxa_vs_Disease_Zeros_Included/PIC_all_D_0__Bacteria___D_1__Proteobacteria___D_2__Gammaproteobacteria___D_3__Alteromonadales___D_4__Pseudoalteromonadaceae___D_5__Pseudoalteromonas_vs_perc_dis/PGLS_results.tsv</t>
  </si>
  <si>
    <t>../output/PIC_results/A13b_Taxa_vs_Disease_Zeros_Included/PIC_skeleton_D_0__Bacteria___D_1__Bacteroidetes___D_2__Bacteroidia___D_3__Bacteroidales___D_4__Rikenellaceae___D_5__Rikenellaceae_RC9_gut_group_vs_perc_dis/PGLS_results.tsv</t>
  </si>
  <si>
    <t>../output/PIC_results/A13b_Taxa_vs_Disease_Zeros_Included/PIC_all_D_0__Bacteria___D_1__Proteobacteria___D_2__Alphaproteobacteria___D_3__Rhizobiales___D_4__Stappiaceae___D_5__Pseudovibrio_vs_perc_dis/PGLS_results.tsv</t>
  </si>
  <si>
    <t>../output/PIC_results/A13b_Taxa_vs_Disease_Zeros_Included/PIC_tissue_D_0__Bacteria___D_1__Proteobacteria___D_2__Gammaproteobacteria___D_3__Pseudomonadales___D_4__Pseudomonadaceae___D_5__Pseudomonas_vs_perc_dis/PGLS_results.tsv</t>
  </si>
  <si>
    <t>../output/PIC_results/A13b_Taxa_vs_Disease_Zeros_Included/PIC_mucus_D_0__Bacteria___D_1__Proteobacteria___D_2__Gammaproteobacteria___D_3__Vibrionales___D_4__Vibrionaceae___D_5__Photobacterium_vs_perc_dis/PGLS_results.tsv</t>
  </si>
  <si>
    <t>../output/PIC_results/A13b_Taxa_vs_Disease_Zeros_Included/PIC_all_D_0__Bacteria___D_1__Proteobacteria___D_2__Gammaproteobacteria___D_3__Oceanospirillales___D_4__Endozoicomonadaceae___D_5__Endozoicomonas_vs_perc_dis/PGLS_results.tsv</t>
  </si>
  <si>
    <t>../output/PIC_results/A13b_Taxa_vs_Disease_Zeros_Included/PIC_skeleton_D_0__Bacteria___D_1__Proteobacteria___D_2__Deltaproteobacteria___D_3__Myxococcales___D_4__P3OB_42___D_5__uncultured_bacterium_vs_perc_dis/PGLS_results.tsv</t>
  </si>
  <si>
    <t>../output/PIC_results/A13b_Taxa_vs_Disease_Zeros_Included/PIC_mucus_D_0__Bacteria___D_1__Proteobacteria___D_2__Gammaproteobacteria___D_3__Pseudomonadales___D_4__Moraxellaceae___D_5__Enhydrobacter_vs_perc_dis/PGLS_results.tsv</t>
  </si>
  <si>
    <t>../output/PIC_results/A13b_Taxa_vs_Disease_Zeros_Included/PIC_all_D_0__Archaea___D_1__Thaumarchaeota___D_2__Nitrososphaeria___D_3__Nitrosopumilales___D_4__Nitrosopumilaceae___D_5__Candidatus_Nitrosopumilus_vs_perc_dis/PGLS_results.tsv</t>
  </si>
  <si>
    <t>../output/PIC_results/A13b_Taxa_vs_Disease_Zeros_Included/PIC_mucus_D_0__Bacteria___D_1__Proteobacteria___D_2__Alphaproteobacteria___D_3__Rhizobiales___D_4__Stappiaceae___D_5__Pseudovibrio_vs_perc_dis/PGLS_results.tsv</t>
  </si>
  <si>
    <t>../output/PIC_results/A13b_Taxa_vs_Disease_Zeros_Included/PIC_tissue_D_0__Bacteria___D_1__Proteobacteria___D_2__Alphaproteobacteria___D_3__Rhizobiales___D_4__Beijerinckiaceae___D_5__Methylobacterium_vs_perc_dis/PGLS_results.tsv</t>
  </si>
  <si>
    <t>../output/PIC_results/A13b_Taxa_vs_Disease_Zeros_Included/PIC_all_D_0__Bacteria___D_1__Spirochaetes___D_2__Spirochaetia___D_3__Spirochaetales___D_4__Spirochaetaceae___D_5__Spirochaeta_2_vs_perc_dis/PGLS_results.tsv</t>
  </si>
  <si>
    <t>../output/PIC_results/A13b_Taxa_vs_Disease_Zeros_Included/PIC_tissue_D_0__Bacteria___D_1__Bacteroidetes___D_2__Bacteroidia___D_3__Flavobacteriales___D_4__Flavobacteriaceae___D_5__Maritimimonas_vs_perc_dis/PGLS_results.tsv</t>
  </si>
  <si>
    <t>../output/PIC_results/A13b_Taxa_vs_Disease_Zeros_Included/PIC_skeleton_D_0__Bacteria___D_1__Chloroflexi___D_2__Chloroflexia___D_3__Chloroflexales___D_4__Chloroflexaceae___D_5__Candidatus_Chlorothrix_vs_perc_dis/PGLS_results.tsv</t>
  </si>
  <si>
    <t>../output/PIC_results/A13b_Taxa_vs_Disease_Zeros_Included/PIC_skeleton_D_0__Bacteria___D_1__Bacteroidetes___D_2__Bacteroidia___D_3__Cytophagales___D_4__Amoebophilaceae___D_5__Candidatus_Amoebophilus_vs_perc_dis/PGLS_results.tsv</t>
  </si>
  <si>
    <t>../output/PIC_results/A13b_Taxa_vs_Disease_Zeros_Included/PIC_skeleton_D_0__Bacteria___D_1__Proteobacteria___D_2__Deltaproteobacteria___D_3__Desulfobacterales___D_4__Desulfobacteraceae___D_5__Desulfobacter_vs_perc_dis/PGLS_results.tsv</t>
  </si>
  <si>
    <t>../output/PIC_results/A13b_Taxa_vs_Disease_Zeros_Included/PIC_tissue_D_0__Bacteria___D_1__Proteobacteria___D_2__Gammaproteobacteria___D_3__Betaproteobacteriales___D_4__Burkholderiaceae___D_5__Aquabacterium_vs_perc_dis/PGLS_results.tsv</t>
  </si>
  <si>
    <t>../output/PIC_results/A13b_Taxa_vs_Disease_Zeros_Included/PIC_mucus_D_0__Bacteria___D_1__Proteobacteria___D_2__Gammaproteobacteria___D_3__Pseudomonadales___D_4__Pseudomonadaceae___D_5__Pseudomonas_vs_perc_dis/PGLS_results.tsv</t>
  </si>
  <si>
    <t>../output/PIC_results/A13b_Taxa_vs_Disease_Zeros_Included/PIC_skeleton_D_0__Bacteria___D_1__Bacteroidetes___D_2__Bacteroidia___D_3__Cytophagales___D_4__Cyclobacteriaceae___D_5__uncultured_vs_perc_dis/PGLS_results.tsv</t>
  </si>
  <si>
    <t>../output/PIC_results/A13b_Taxa_vs_Disease_Zeros_Included/PIC_skeleton_D_0__Bacteria___D_1__Proteobacteria___D_2__Alphaproteobacteria___D_3__Rhodospirillales___D_4__Terasakiellaceae___D_5__uncultured_vs_perc_dis/PGLS_results.tsv</t>
  </si>
  <si>
    <t>../output/PIC_results/A13b_Taxa_vs_Disease_Zeros_Included/PIC_all_D_0__Bacteria___D_1__Proteobacteria___D_2__Alphaproteobacteria___D_3__Rickettsiales___D_4__Midichloriaceae___D_5__MD3_55_vs_perc_dis/PGLS_results.tsv</t>
  </si>
  <si>
    <t>../output/PIC_results/A13b_Taxa_vs_Disease_Zeros_Included/PIC_tissue_D_0__Bacteria___D_1__Proteobacteria___D_2__Gammaproteobacteria___D_3__Enterobacteriales___D_4__Enterobacteriaceae___D_5__Pantoea_vs_perc_dis/PGLS_results.tsv</t>
  </si>
  <si>
    <t>../output/PIC_results/A13b_Taxa_vs_Disease_Zeros_Included/PIC_mucus_D_0__Bacteria___D_1__Proteobacteria___D_2__Alphaproteobacteria___D_3__Sphingomonadales___D_4__Sphingomonadaceae___D_5__Sphingobium_vs_perc_dis/PGLS_results.tsv</t>
  </si>
  <si>
    <t>../output/PIC_results/A13b_Taxa_vs_Disease_Zeros_Included/PIC_mucus_D_0__Bacteria___D_1__Proteobacteria___D_2__Gammaproteobacteria___D_3__Vibrionales___D_4__Vibrionaceae___D_5__Vibrio_vs_perc_dis/PGLS_results.tsv</t>
  </si>
  <si>
    <t>../output/PIC_results/A13b_Taxa_vs_Disease_Zeros_Included/PIC_all_D_0__Bacteria___D_1__Bacteroidetes___D_2__Bacteroidia___D_3__Bacteroidales___D_4__Rikenellaceae___D_5__Rikenellaceae_RC9_gut_group_vs_perc_dis/PGLS_results.tsv</t>
  </si>
  <si>
    <t>../output/PIC_results/A13b_Taxa_vs_Disease_Zeros_Included/PIC_all_D_0__Bacteria___D_1__Bacteroidetes___D_2__Chlorobia___D_3__Chlorobiales___D_4__Chlorobiaceae___D_5__Prosthecochloris_vs_perc_dis/PGLS_results.tsv</t>
  </si>
  <si>
    <t>../output/PIC_results/A13b_Taxa_vs_Disease_Zeros_Included/PIC_tissue_D_0__Bacteria___D_1__Proteobacteria___D_2__Alphaproteobacteria___D_3__Rhodospirillales___D_4__Terasakiellaceae___D_5__uncultured_vs_perc_dis/PGLS_results.tsv</t>
  </si>
  <si>
    <t>../output/PIC_results/A13b_Taxa_vs_Disease_Zeros_Included/PIC_skeleton_D_0__Bacteria___D_1__Proteobacteria___D_2__Gammaproteobacteria___D_3__Pseudomonadales___D_4__Pseudomonadaceae___D_5__Pseudomonas_vs_perc_dis/PGLS_results.tsv</t>
  </si>
  <si>
    <t>../output/PIC_results/A13b_Taxa_vs_Disease_Zeros_Included/PIC_all_D_0__Bacteria___D_1__Tenericutes___D_2__Mollicutes___D_3__Mycoplasmatales___D_4__Mycoplasmataceae___D_5__Mycoplasma_vs_perc_dis/PGLS_results.tsv</t>
  </si>
  <si>
    <t>../output/PIC_results/A13b_Taxa_vs_Disease_Zeros_Included/PIC_all_D_0__Bacteria___D_1__Proteobacteria___D_2__Deltaproteobacteria___D_3__Desulfobacterales___D_4__Desulfobacteraceae___D_5__Desulfobacter_vs_perc_dis/PGLS_results.tsv</t>
  </si>
  <si>
    <t>../output/PIC_results/A13b_Taxa_vs_Disease_Zeros_Included/PIC_tissue_D_0__Archaea___D_1__Thaumarchaeota___D_2__Nitrososphaeria___D_3__Nitrosopumilales___D_4__Nitrosopumilaceae___D_5__uncultured_archaeon_vs_perc_dis/PGLS_results.tsv</t>
  </si>
  <si>
    <t>../output/PIC_results/A13b_Taxa_vs_Disease_Zeros_Included/PIC_tissue_D_0__Archaea___D_1__Thaumarchaeota___D_2__Nitrososphaeria___D_3__Nitrosopumilales___D_4__Nitrosopumilaceae___D_5__Candidatus_Nitrosopumilus_vs_perc_dis/PGLS_results.tsv</t>
  </si>
  <si>
    <t>../output/PIC_results/A13b_Taxa_vs_Disease_Zeros_Included/PIC_skeleton_D_0__Bacteria___D_1__Firmicutes___D_2__Clostridia___D_3__Clostridiales___D_4__Clostridiaceae_4___D_5__Paramaledivibacter_vs_perc_dis/PGLS_results.tsv</t>
  </si>
  <si>
    <t>../output/PIC_results/A13b_Taxa_vs_Disease_Zeros_Included/PIC_skeleton_D_0__Bacteria___D_1__Acidobacteria___D_2__Thermoanaerobaculia___D_3__Thermoanaerobaculales___D_4__Thermoanaerobaculaceae___D_5__Subgroup_10_vs_perc_dis/PGLS_results.tsv</t>
  </si>
  <si>
    <t>../output/PIC_results/A13b_Taxa_vs_Disease_Zeros_Included/PIC_skeleton_D_0__Bacteria___D_1__Proteobacteria___D_2__Gammaproteobacteria___D_3__Oceanospirillales___D_4__Endozoicomonadaceae___D_5__Endozoicomonas_vs_perc_dis/PGLS_results.tsv</t>
  </si>
  <si>
    <t>../output/PIC_results/A13b_Taxa_vs_Disease_Zeros_Included/PIC_all_D_0__Bacteria___D_1__Proteobacteria___D_2__Alphaproteobacteria___D_3__Sphingomonadales___D_4__Sphingomonadaceae___D_5__Sphingobium_vs_perc_dis/PGLS_results.tsv</t>
  </si>
  <si>
    <t>../output/PIC_results/A13b_Taxa_vs_Disease_Zeros_Included/PIC_skeleton_D_0__Bacteria___D_1__Proteobacteria___D_2__Alphaproteobacteria___D_3__Dstr_E11___D_4__uncultured_alpha_proteobacterium___D_5__uncultured_alpha_proteobacterium_vs_perc_dis/PGLS_results.tsv</t>
  </si>
  <si>
    <t>../output/PIC_results/A13b_Taxa_vs_Disease_Zeros_Included/PIC_mucus_D_0__Bacteria___D_1__Tenericutes___D_2__Mollicutes___D_3__Entomoplasmatales___D_4__Spiroplasmataceae___D_5__Spiroplasma_vs_perc_dis/PGLS_results.tsv</t>
  </si>
  <si>
    <t>../output/PIC_results/A13b_Taxa_vs_Disease_Zeros_Included/PIC_all_D_0__Bacteria___D_1__Proteobacteria___D_2__Gammaproteobacteria___D_3__Cellvibrionales___D_4__Spongiibacteraceae___D_5__BD1_7_clade_vs_perc_dis/PGLS_results.tsv</t>
  </si>
  <si>
    <t>../output/PIC_results/A13b_Taxa_vs_Disease_Zeros_Included/PIC_mucus_D_0__Bacteria___D_1__Proteobacteria___D_2__Gammaproteobacteria___D_3__Oceanospirillales___D_4__Endozoicomonadaceae___D_5__Endozoicomonas_vs_perc_dis/PGLS_results.tsv</t>
  </si>
  <si>
    <t>A13a_Taxa_vs_Disease_Zeros_Excluded</t>
  </si>
  <si>
    <t>../output/PIC_results/A13a_Taxa_vs_Disease_Zeros_Excluded/PIC_mucus_D_0__Bacteria___D_1__Proteobacteria___D_2__Alphaproteobacteria___D_3__Sphingomonadales___D_4__Sphingomonadaceae___D_5__Sphingobium_vs_perc_dis/PGLS_results.tsv</t>
  </si>
  <si>
    <t>lambda : 1e-06 (95% CI  NA  -  0.274423686477967 )</t>
  </si>
  <si>
    <t>../output/GCMP_trait_table_with_abundances_and_adiv_and_metadata.tsv</t>
  </si>
  <si>
    <t>../output/PIC_results/A13a_Taxa_vs_Disease_Zeros_Excluded/PIC_all_D_0__Bacteria___D_1__Proteobacteria___D_2__Alphaproteobacteria___D_3__Rhizobiales___D_4__Stappiaceae___D_5__Pseudovibrio_vs_perc_dis/PGLS_results.tsv</t>
  </si>
  <si>
    <t>lambda : 1e-06 (95% CI  NA  -  0.534990876491272 )</t>
  </si>
  <si>
    <t>../output/PIC_results/A13a_Taxa_vs_Disease_Zeros_Excluded/PIC_tissue_D_0__Bacteria___D_1__Proteobacteria___D_2__Gammaproteobacteria___D_3__Betaproteobacteriales___D_4__Burkholderiaceae___D_5__Aquabacterium_vs_perc_dis/PGLS_results.tsv</t>
  </si>
  <si>
    <t>lambda : 1e-06 (95% CI  NA  -  0.271366043671059 )</t>
  </si>
  <si>
    <t>../output/PIC_results/A13a_Taxa_vs_Disease_Zeros_Excluded/PIC_skeleton_D_0__Bacteria___D_1__Proteobacteria___D_2__Deltaproteobacteria___D_3__Myxococcales___D_4__P3OB_42___D_5__uncultured_bacterium_vs_perc_dis/PGLS_results.tsv</t>
  </si>
  <si>
    <t>lambda : 1e-06 (95% CI  NA  -  0.34021976849147 )</t>
  </si>
  <si>
    <t>../output/PIC_results/A13a_Taxa_vs_Disease_Zeros_Excluded/PIC_skeleton_D_0__Bacteria___D_1__Proteobacteria___D_2__Gammaproteobacteria___D_3__Pseudomonadales___D_4__Pseudomonadaceae___D_5__Pseudomonas_vs_perc_dis/PGLS_results.tsv</t>
  </si>
  <si>
    <t>lambda : 1e-06 (95% CI  NA  -  0.24653446782031 )</t>
  </si>
  <si>
    <t>../output/PIC_results/A13a_Taxa_vs_Disease_Zeros_Excluded/PIC_all_D_0__Bacteria___D_1__Proteobacteria___D_2__Gammaproteobacteria___D_3__Vibrionales___D_4__Vibrionaceae___D_5__Vibrio_vs_perc_dis/PGLS_results.tsv</t>
  </si>
  <si>
    <t>lambda : 1e-06 (95% CI  NA  -  0.244397399308059 )</t>
  </si>
  <si>
    <t>../output/PIC_results/A13a_Taxa_vs_Disease_Zeros_Excluded/PIC_all_D_0__Bacteria___D_1__Proteobacteria___D_2__Gammaproteobacteria___D_3__Pseudomonadales___D_4__Pseudomonadaceae___D_5__Pseudomonas_vs_perc_dis/PGLS_results.tsv</t>
  </si>
  <si>
    <t>lambda : 1e-06 (95% CI  NA  -  0.268501575004541 )</t>
  </si>
  <si>
    <t>../output/PIC_results/A13a_Taxa_vs_Disease_Zeros_Excluded/PIC_skeleton_D_0__Bacteria___D_1__Spirochaetes___D_2__Spirochaetia___D_3__Spirochaetales___D_4__Spirochaetaceae___D_5__Spirochaeta_2_vs_perc_dis/PGLS_results.tsv</t>
  </si>
  <si>
    <t>lambda : 1e-06 (95% CI  NA  -  0.306326590138422 )</t>
  </si>
  <si>
    <t>../output/PIC_results/A13a_Taxa_vs_Disease_Zeros_Excluded/PIC_all_D_0__Bacteria___D_1__Proteobacteria___D_2__Alphaproteobacteria___D_3__Rhodospirillales___D_4__Terasakiellaceae___D_5__uncultured_vs_perc_dis/PGLS_results.tsv</t>
  </si>
  <si>
    <t>lambda : 1e-06 (95% CI  NA  -  0.546821427305441 )</t>
  </si>
  <si>
    <t>../output/PIC_results/A13a_Taxa_vs_Disease_Zeros_Excluded/PIC_tissue_D_0__Bacteria___D_1__Proteobacteria___D_2__Alphaproteobacteria___D_3__Rickettsiales___D_4__Midichloriaceae___D_5__MD3_55_vs_perc_dis/PGLS_results.tsv</t>
  </si>
  <si>
    <t>../output/PIC_results/A13a_Taxa_vs_Disease_Zeros_Excluded/PIC_skeleton_D_0__Bacteria___D_1__Proteobacteria___D_2__Alphaproteobacteria___D_3__Rickettsiales___D_4__Midichloriaceae___D_5__MD3_55_vs_perc_dis/PGLS_results.tsv</t>
  </si>
  <si>
    <t>../output/PIC_results/A13a_Taxa_vs_Disease_Zeros_Excluded/PIC_tissue_D_0__Archaea___D_1__Thaumarchaeota___D_2__Nitrososphaeria___D_3__Nitrosopumilales___D_4__Nitrosopumilaceae___D_5__uncultured_archaeon_vs_perc_dis/PGLS_results.tsv</t>
  </si>
  <si>
    <t>lambda : 1e-06 (95% CI  NA  -  0.818181576240001 )</t>
  </si>
  <si>
    <t>../output/PIC_results/A13a_Taxa_vs_Disease_Zeros_Excluded/PIC_mucus_D_0__Bacteria___D_1__Proteobacteria___D_2__Gammaproteobacteria___D_3__Vibrionales___D_4__Vibrionaceae___D_5__Photobacterium_vs_perc_dis/PGLS_results.tsv</t>
  </si>
  <si>
    <t>lambda : 0.0308315914291737 (95% CI  NA  -  0.783045687288508 )</t>
  </si>
  <si>
    <t>../output/PIC_results/A13a_Taxa_vs_Disease_Zeros_Excluded/PIC_all_D_0__Bacteria___D_1__Proteobacteria___D_2__Gammaproteobacteria___D_3__Betaproteobacteriales___D_4__Burkholderiaceae___D_5__Aquabacterium_vs_perc_dis/PGLS_results.tsv</t>
  </si>
  <si>
    <t>lambda : 1e-06 (95% CI  NA  -  0.279683619255439 )</t>
  </si>
  <si>
    <t>../output/PIC_results/A13a_Taxa_vs_Disease_Zeros_Excluded/PIC_mucus_D_0__Bacteria___D_1__Cyanobacteria___D_2__Oxyphotobacteria___D_3__Synechococcales___D_4__Cyanobiaceae___D_5__Synechococcus_CC9902_vs_perc_dis/PGLS_results.tsv</t>
  </si>
  <si>
    <t>lambda : 1e-06 (95% CI  NA  -  0.294405093494282 )</t>
  </si>
  <si>
    <t>../output/PIC_results/A13a_Taxa_vs_Disease_Zeros_Excluded/PIC_tissue_D_0__Bacteria___D_1__Tenericutes___D_2__Mollicutes___D_3__Mycoplasmatales___D_4__Mycoplasmataceae___D_5__Mycoplasma_vs_perc_dis/PGLS_results.tsv</t>
  </si>
  <si>
    <t>lambda : 1e-06 (95% CI  NA  -  NA )</t>
  </si>
  <si>
    <t>../output/PIC_results/A13a_Taxa_vs_Disease_Zeros_Excluded/PIC_all_D_0__Bacteria___D_1__Proteobacteria___D_2__Gammaproteobacteria___D_3__Cellvibrionales___D_4__Spongiibacteraceae___D_5__BD1_7_clade_vs_perc_dis/PGLS_results.tsv</t>
  </si>
  <si>
    <t>lambda : 1e-06 (95% CI  NA  -  0.397335546590954 )</t>
  </si>
  <si>
    <t>../output/PIC_results/A13a_Taxa_vs_Disease_Zeros_Excluded/PIC_all_D_0__Bacteria___D_1__Tenericutes___D_2__Mollicutes___D_3__Mycoplasmatales___D_4__Mycoplasmataceae___D_5__Mycoplasma_vs_perc_dis/PGLS_results.tsv</t>
  </si>
  <si>
    <t>../output/PIC_results/A13a_Taxa_vs_Disease_Zeros_Excluded/PIC_skeleton_D_0__Archaea___D_1__Thaumarchaeota___D_2__Nitrososphaeria___D_3__Nitrosopumilales___D_4__Nitrosopumilaceae___D_5__Candidatus_Nitrosopumilus_vs_perc_dis/PGLS_results.tsv</t>
  </si>
  <si>
    <t>lambda : 1e-06 (95% CI  NA  -  0.262837903504413 )</t>
  </si>
  <si>
    <t>../output/PIC_results/A13a_Taxa_vs_Disease_Zeros_Excluded/PIC_tissue_D_0__Bacteria___D_1__Proteobacteria___D_2__Gammaproteobacteria___D_3__Enterobacteriales___D_4__Enterobacteriaceae___D_5__Pantoea_vs_perc_dis/PGLS_results.tsv</t>
  </si>
  <si>
    <t>lambda : 0.987245217750137 (95% CI  0.416163717769833  -  NA )</t>
  </si>
  <si>
    <t>../output/PIC_results/A13a_Taxa_vs_Disease_Zeros_Excluded/PIC_all_D_0__Bacteria___D_1__Proteobacteria___D_2__Alphaproteobacteria___D_3__Rickettsiales___D_4__Midichloriaceae___D_5__MD3_55_vs_perc_dis/PGLS_results.tsv</t>
  </si>
  <si>
    <t>lambda : 1e-06 (95% CI  NA  -  0.2708748019132 )</t>
  </si>
  <si>
    <t>../output/PIC_results/A13a_Taxa_vs_Disease_Zeros_Excluded/PIC_tissue_D_0__Bacteria___D_1__Proteobacteria___D_2__Gammaproteobacteria___D_3__Oceanospirillales___D_4__Endozoicomonadaceae___D_5__Endozoicomonas_vs_perc_dis/PGLS_results.tsv</t>
  </si>
  <si>
    <t>0.00869040807629038 - 0.0233726160635593</t>
  </si>
  <si>
    <t>lambda : 1e-06 (95% CI  NA  -  0.263585528289749 )</t>
  </si>
  <si>
    <t>../output/PIC_results/A13a_Taxa_vs_Disease_Zeros_Excluded/PIC_mucus_D_0__Bacteria___D_1__Proteobacteria___D_2__Alphaproteobacteria___D_3__Rickettsiales___D_4__Midichloriaceae___D_5__MD3_55_vs_perc_dis/PGLS_results.tsv</t>
  </si>
  <si>
    <t>lambda : 1e-06 (95% CI  NA  -  0.34255937119439 )</t>
  </si>
  <si>
    <t>../output/PIC_results/A13a_Taxa_vs_Disease_Zeros_Excluded/PIC_tissue_D_0__Archaea___D_1__Thaumarchaeota___D_2__Nitrososphaeria___D_3__Nitrosopumilales___D_4__Nitrosopumilaceae___D_5__Candidatus_Nitrosopumilus_vs_perc_dis/PGLS_results.tsv</t>
  </si>
  <si>
    <t>lambda : 1e-06 (95% CI  NA  -  0.335204015147794 )</t>
  </si>
  <si>
    <t>../output/PIC_results/A13a_Taxa_vs_Disease_Zeros_Excluded/PIC_skeleton_D_0__Bacteria___D_1__Proteobacteria___D_2__Alphaproteobacteria___D_3__Dstr_E11___D_4__uncultured_alpha_proteobacterium___D_5__uncultured_alpha_proteobacterium_vs_perc_dis/PGLS_results.tsv</t>
  </si>
  <si>
    <t>lambda : 1e-06 (95% CI  NA  -  0.654789840202349 )</t>
  </si>
  <si>
    <t>../output/PIC_results/A13a_Taxa_vs_Disease_Zeros_Excluded/PIC_all_D_0__Bacteria___D_1__Proteobacteria___D_2__Alphaproteobacteria___D_3__Sphingomonadales___D_4__Sphingomonadaceae___D_5__Sphingobium_vs_perc_dis/PGLS_results.tsv</t>
  </si>
  <si>
    <t>lambda : 1e-06 (95% CI  NA  -  0.269087040120771 )</t>
  </si>
  <si>
    <t>../output/PIC_results/A13a_Taxa_vs_Disease_Zeros_Excluded/PIC_mucus_D_0__Bacteria___D_1__Proteobacteria___D_2__Alphaproteobacteria___D_3__Rhodospirillales___D_4__Terasakiellaceae___D_5__uncultured_vs_perc_dis/PGLS_results.tsv</t>
  </si>
  <si>
    <t>lambda : 1e-06 (95% CI  NA  -  0.791408426994047 )</t>
  </si>
  <si>
    <t>../output/PIC_results/A13a_Taxa_vs_Disease_Zeros_Excluded/PIC_tissue_D_0__Bacteria___D_1__Proteobacteria___D_2__Alphaproteobacteria___D_3__Sphingomonadales___D_4__Sphingomonadaceae___D_5__Sphingobium_vs_perc_dis/PGLS_results.tsv</t>
  </si>
  <si>
    <t>lambda : 1e-06 (95% CI  NA  -  0.256854129364575 )</t>
  </si>
  <si>
    <t>../output/PIC_results/A13a_Taxa_vs_Disease_Zeros_Excluded/PIC_all_D_0__Archaea___D_1__Thaumarchaeota___D_2__Nitrososphaeria___D_3__Nitrosopumilales___D_4__Nitrosopumilaceae___D_5__Candidatus_Nitrosopumilus_vs_perc_dis/PGLS_results.tsv</t>
  </si>
  <si>
    <t>lambda : 1e-06 (95% CI  NA  -  0.234414448953405 )</t>
  </si>
  <si>
    <t>../output/PIC_results/A13a_Taxa_vs_Disease_Zeros_Excluded/PIC_skeleton_D_0__Bacteria___D_1__Bacteroidetes___D_2__Bacteroidia___D_3__Cytophagales___D_4__Amoebophilaceae___D_5__Candidatus_Amoebophilus_vs_perc_dis/PGLS_results.tsv</t>
  </si>
  <si>
    <t>lambda : 1e-06 (95% CI  NA  -  0.378167297053325 )</t>
  </si>
  <si>
    <t>../output/PIC_results/A13a_Taxa_vs_Disease_Zeros_Excluded/PIC_all_D_0__Bacteria___D_1__Proteobacteria___D_2__Gammaproteobacteria___D_3__Alteromonadales___D_4__Pseudoalteromonadaceae___D_5__Pseudoalteromonas_vs_perc_dis/PGLS_results.tsv</t>
  </si>
  <si>
    <t>lambda : 1e-06 (95% CI  NA  -  0.379181872819864 )</t>
  </si>
  <si>
    <t>../output/PIC_results/A13a_Taxa_vs_Disease_Zeros_Excluded/PIC_skeleton_D_0__Bacteria___D_1__Proteobacteria___D_2__Alphaproteobacteria___D_3__Rhodobacterales___D_4__Rhodobacteraceae___D_5__Ruegeria_vs_perc_dis/PGLS_results.tsv</t>
  </si>
  <si>
    <t>lambda : 1e-06 (95% CI  NA  -  0.259947451564874 )</t>
  </si>
  <si>
    <t>../output/PIC_results/A13a_Taxa_vs_Disease_Zeros_Excluded/PIC_mucus_D_0__Bacteria___D_1__Proteobacteria___D_2__Gammaproteobacteria___D_3__Pseudomonadales___D_4__Pseudomonadaceae___D_5__Pseudomonas_vs_perc_dis/PGLS_results.tsv</t>
  </si>
  <si>
    <t>lambda : 1e-06 (95% CI  NA  -  0.271971082745967 )</t>
  </si>
  <si>
    <t>../output/PIC_results/A13a_Taxa_vs_Disease_Zeros_Excluded/PIC_mucus_D_0__Bacteria___D_1__Proteobacteria___D_2__Gammaproteobacteria___D_3__Pseudomonadales___D_4__Moraxellaceae___D_5__Enhydrobacter_vs_perc_dis/PGLS_results.tsv</t>
  </si>
  <si>
    <t>lambda : 1e-06 (95% CI  NA  -  0.83199907019794 )</t>
  </si>
  <si>
    <t>../output/PIC_results/A13a_Taxa_vs_Disease_Zeros_Excluded/PIC_all_D_0__Bacteria___D_1__Proteobacteria___D_2__Alphaproteobacteria___D_3__Rhodobacterales___D_4__Rhodobacteraceae___D_5__Ruegeria_vs_perc_dis/PGLS_results.tsv</t>
  </si>
  <si>
    <t>lambda : 1e-06 (95% CI  NA  -  0.232888091682176 )</t>
  </si>
  <si>
    <t>../output/PIC_results/A13a_Taxa_vs_Disease_Zeros_Excluded/PIC_all_D_0__Bacteria___D_1__Cyanobacteria___D_2__Oxyphotobacteria___D_3__Synechococcales___D_4__Cyanobiaceae___D_5__Synechococcus_CC9902_vs_perc_dis/PGLS_results.tsv</t>
  </si>
  <si>
    <t>lambda : 1e-06 (95% CI  NA  -  0.241526047328645 )</t>
  </si>
  <si>
    <t>../output/PIC_results/A13a_Taxa_vs_Disease_Zeros_Excluded/PIC_tissue_D_0__Bacteria___D_1__Proteobacteria___D_2__Gammaproteobacteria___D_3__Pseudomonadales___D_4__Pseudomonadaceae___D_5__Pseudomonas_vs_perc_dis/PGLS_results.tsv</t>
  </si>
  <si>
    <t>lambda : 1e-06 (95% CI  NA  -  0.29152694805245 )</t>
  </si>
  <si>
    <t>../output/PIC_results/A13a_Taxa_vs_Disease_Zeros_Excluded/PIC_skeleton_D_0__Bacteria___D_1__Proteobacteria___D_2__Gammaproteobacteria___D_3__Oceanospirillales___D_4__Endozoicomonadaceae___D_5__Endozoicomonas_vs_perc_dis/PGLS_results.tsv</t>
  </si>
  <si>
    <t>lambda : 1e-06 (95% CI  NA  -  0.245639151750291 )</t>
  </si>
  <si>
    <t>../output/PIC_results/A13a_Taxa_vs_Disease_Zeros_Excluded/PIC_tissue_D_0__Bacteria___D_1__Bacteroidetes___D_2__Bacteroidia___D_3__Bacteroidales___D_4__Rikenellaceae___D_5__Rikenellaceae_RC9_gut_group_vs_perc_dis/PGLS_results.tsv</t>
  </si>
  <si>
    <t>delta : 0.11704671575865 (95% CI  0.00461370764819178  -  NA )</t>
  </si>
  <si>
    <t>../output/PIC_results/A13a_Taxa_vs_Disease_Zeros_Excluded/PIC_mucus_D_0__Bacteria___D_1__Tenericutes___D_2__Mollicutes___D_3__Entomoplasmatales___D_4__Spiroplasmataceae___D_5__Spiroplasma_vs_perc_dis/PGLS_results.tsv</t>
  </si>
  <si>
    <t>lambda : 1e-06 (95% CI  NA  -  0.711559032234447 )</t>
  </si>
  <si>
    <t>../output/PIC_results/A13a_Taxa_vs_Disease_Zeros_Excluded/PIC_mucus_D_0__Bacteria___D_1__Proteobacteria___D_2__Alphaproteobacteria___D_3__Rhizobiales___D_4__Stappiaceae___D_5__Pseudovibrio_vs_perc_dis/PGLS_results.tsv</t>
  </si>
  <si>
    <t>lambda : 1e-06 (95% CI  NA  -  0.674782706817741 )</t>
  </si>
  <si>
    <t>../output/PIC_results/A13a_Taxa_vs_Disease_Zeros_Excluded/PIC_mucus_D_0__Bacteria___D_1__Proteobacteria___D_2__Gammaproteobacteria___D_3__Vibrionales___D_4__Vibrionaceae___D_5__Vibrio_vs_perc_dis/PGLS_results.tsv</t>
  </si>
  <si>
    <t>lambda : 1e-06 (95% CI  NA  -  0.259792965618004 )</t>
  </si>
  <si>
    <t>../output/PIC_results/A13a_Taxa_vs_Disease_Zeros_Excluded/PIC_all_D_0__Bacteria___D_1__Proteobacteria___D_2__Deltaproteobacteria___D_3__Desulfobacterales___D_4__Desulfobacteraceae___D_5__Desulfobacter_vs_perc_dis/PGLS_results.tsv</t>
  </si>
  <si>
    <t>delta : 0.761869865276414 (95% CI  0.0404338443561853  -  NA )</t>
  </si>
  <si>
    <t>../output/PIC_results/A13a_Taxa_vs_Disease_Zeros_Excluded/PIC_mucus_D_0__Bacteria___D_1__Proteobacteria___D_2__Gammaproteobacteria___D_3__Oceanospirillales___D_4__Endozoicomonadaceae___D_5__Endozoicomonas_vs_perc_dis/PGLS_results.tsv</t>
  </si>
  <si>
    <t>0.0317346548897303 - 0.078787903998388</t>
  </si>
  <si>
    <t>lambda : 1e-06 (95% CI  NA  -  0.339289728441087 )</t>
  </si>
  <si>
    <t>../output/PIC_results/A13a_Taxa_vs_Disease_Zeros_Excluded/PIC_mucus_D_0__Bacteria___D_1__Proteobacteria___D_2__Gammaproteobacteria___D_3__Alteromonadales___D_4__Pseudoalteromonadaceae___D_5__Pseudoalteromonas_vs_perc_dis/PGLS_results.tsv</t>
  </si>
  <si>
    <t>../output/PIC_results/A13a_Taxa_vs_Disease_Zeros_Excluded/PIC_skeleton_D_0__Bacteria___D_1__Firmicutes___D_2__Clostridia___D_3__Clostridiales___D_4__Clostridiaceae_4___D_5__Paramaledivibacter_vs_perc_dis/PGLS_results.tsv</t>
  </si>
  <si>
    <t>lambda : 1e-06 (95% CI  NA  -  0.437723739790145 )</t>
  </si>
  <si>
    <t>../output/PIC_results/A13a_Taxa_vs_Disease_Zeros_Excluded/PIC_skeleton_D_0__Bacteria___D_1__Bacteroidetes___D_2__Bacteroidia___D_3__Cytophagales___D_4__Cyclobacteriaceae___D_5__uncultured_vs_perc_dis/PGLS_results.tsv</t>
  </si>
  <si>
    <t>lambda : 1e-06 (95% CI  NA  -  0.260761182418491 )</t>
  </si>
  <si>
    <t>../output/PIC_results/A13a_Taxa_vs_Disease_Zeros_Excluded/PIC_tissue_D_0__Bacteria___D_1__Proteobacteria___D_2__Alphaproteobacteria___D_3__Rhodospirillales___D_4__Terasakiellaceae___D_5__uncultured_vs_perc_dis/PGLS_results.tsv</t>
  </si>
  <si>
    <t>lambda : 0.959724706039716 (95% CI  NA  -  NA )</t>
  </si>
  <si>
    <t>inf</t>
  </si>
  <si>
    <t>../output/PIC_results/A13a_Taxa_vs_Disease_Zeros_Excluded/PIC_skeleton_D_0__Bacteria___D_1__Bacteroidetes___D_2__Bacteroidia___D_3__Bacteroidales___D_4__Rikenellaceae___D_5__Rikenellaceae_RC9_gut_group_vs_perc_dis/PGLS_results.tsv</t>
  </si>
  <si>
    <t>../output/PIC_results/A13a_Taxa_vs_Disease_Zeros_Excluded/PIC_all_D_0__Bacteria___D_1__Proteobacteria___D_2__Gammaproteobacteria___D_3__Oceanospirillales___D_4__Endozoicomonadaceae___D_5__Endozoicomonas_vs_perc_dis/PGLS_results.tsv</t>
  </si>
  <si>
    <t>0.017197856409444 - 0.0537960436041082</t>
  </si>
  <si>
    <t>lambda : 1e-06 (95% CI  NA  -  0.224617812639695 )</t>
  </si>
  <si>
    <t>../output/PIC_results/A13a_Taxa_vs_Disease_Zeros_Excluded/PIC_all_D_0__Bacteria___D_1__Bacteroidetes___D_2__Chlorobia___D_3__Chlorobiales___D_4__Chlorobiaceae___D_5__Prosthecochloris_vs_perc_dis/PGLS_results.tsv</t>
  </si>
  <si>
    <t>lambda : 1e-06 (95% CI  NA  -  0.427740791524082 )</t>
  </si>
  <si>
    <t>../output/PIC_results/A13a_Taxa_vs_Disease_Zeros_Excluded/PIC_skeleton_D_0__Bacteria___D_1__Chloroflexi___D_2__Chloroflexia___D_3__Chloroflexales___D_4__Chloroflexaceae___D_5__Candidatus_Chlorothrix_vs_perc_dis/PGLS_results.tsv</t>
  </si>
  <si>
    <t>lambda : 1e-06 (95% CI  NA  -  0.385883597321958 )</t>
  </si>
  <si>
    <t>../output/PIC_results/A13a_Taxa_vs_Disease_Zeros_Excluded/PIC_skeleton_D_0__Bacteria___D_1__Acidobacteria___D_2__Thermoanaerobaculia___D_3__Thermoanaerobaculales___D_4__Thermoanaerobaculaceae___D_5__Subgroup_10_vs_perc_dis/PGLS_results.tsv</t>
  </si>
  <si>
    <t>lambda : 1e-06 (95% CI  NA  -  0.238298627918783 )</t>
  </si>
  <si>
    <t>../output/PIC_results/A13a_Taxa_vs_Disease_Zeros_Excluded/PIC_all_D_0__Bacteria___D_1__Bacteroidetes___D_2__Bacteroidia___D_3__Bacteroidales___D_4__Rikenellaceae___D_5__Rikenellaceae_RC9_gut_group_vs_perc_dis/PGLS_results.tsv</t>
  </si>
  <si>
    <t>../output/PIC_results/A13a_Taxa_vs_Disease_Zeros_Excluded/PIC_skeleton_D_0__Bacteria___D_1__Proteobacteria___D_2__Alphaproteobacteria___D_3__Rhodospirillales___D_4__Terasakiellaceae___D_5__uncultured_vs_perc_dis/PGLS_results.tsv</t>
  </si>
  <si>
    <t>lambda : 1e-06 (95% CI  NA  -  0.944724681516438 )</t>
  </si>
  <si>
    <t>../output/PIC_results/A13a_Taxa_vs_Disease_Zeros_Excluded/PIC_tissue_D_0__Bacteria___D_1__Proteobacteria___D_2__Alphaproteobacteria___D_3__Rhizobiales___D_4__Beijerinckiaceae___D_5__Methylobacterium_vs_perc_dis/PGLS_results.tsv</t>
  </si>
  <si>
    <t>../output/PIC_results/A13a_Taxa_vs_Disease_Zeros_Excluded/PIC_tissue_D_0__Bacteria___D_1__Bacteroidetes___D_2__Bacteroidia___D_3__Flavobacteriales___D_4__Flavobacteriaceae___D_5__Maritimimonas_vs_perc_dis/PGLS_results.tsv</t>
  </si>
  <si>
    <t>lambda : 1e-06 (95% CI  NA  -  0.87623824780956 )</t>
  </si>
  <si>
    <t>../output/PIC_results/A13a_Taxa_vs_Disease_Zeros_Excluded/PIC_all_D_0__Bacteria___D_1__Spirochaetes___D_2__Spirochaetia___D_3__Spirochaetales___D_4__Spirochaetaceae___D_5__Spirochaeta_2_vs_perc_dis/PGLS_results.tsv</t>
  </si>
  <si>
    <t>lambda : 1e-06 (95% CI  NA  -  0.288070455777309 )</t>
  </si>
  <si>
    <t>../output/PIC_results/A13a_Taxa_vs_Disease_Zeros_Excluded/PIC_mucus_D_0__Bacteria___D_1__Proteobacteria___D_2__Gammaproteobacteria___D_3__Betaproteobacteriales___D_4__Burkholderiaceae___D_5__Aquabacterium_vs_perc_dis/PGLS_results.tsv</t>
  </si>
  <si>
    <t>lambda : 1e-06 (95% CI  NA  -  0.274249296134065 )</t>
  </si>
  <si>
    <t>../output/PIC_results/A13a_Taxa_vs_Disease_Zeros_Excluded/PIC_skeleton_D_0__Bacteria___D_1__Bacteroidetes___D_2__Chlorobia___D_3__Chlorobiales___D_4__Chlorobiaceae___D_5__Prosthecochloris_vs_perc_dis/PGLS_results.tsv</t>
  </si>
  <si>
    <t>lambda : 1e-06 (95% CI  NA  -  0.762538005238191 )</t>
  </si>
  <si>
    <t>0.0107515065325924 - 0.0545005189068889</t>
  </si>
  <si>
    <t>delta : 1 (95% CI  0.367286913953855  -  NA )</t>
  </si>
  <si>
    <t>kappa : 0.576902761107309 (95% CI  0.00223659304583315  -  NA )</t>
  </si>
  <si>
    <t>kappa : 0.441096332170251 (95% CI  NA  -  0.96833466893054 )</t>
  </si>
  <si>
    <t>delta : 1 (95% CI  0.234254688152155  -  NA )</t>
  </si>
  <si>
    <t>kappa : 1 (95% CI  0.325348259561259  -  NA )</t>
  </si>
  <si>
    <t>delta : 1 (95% CI  0.362172098491887  -  NA )</t>
  </si>
  <si>
    <t>delta : 1 (95% CI  0.380204847434892  -  NA )</t>
  </si>
  <si>
    <t>kappa : 1 (95% CI  NA  -  NA )</t>
  </si>
  <si>
    <t>delta : 1 (95% CI  0.174101397495625  -  NA )</t>
  </si>
  <si>
    <t>kappa : 0.295060850750615 (95% CI  NA  -  0.920564170613046 )</t>
  </si>
  <si>
    <t>kappa : 0.597211735931685 (95% CI  NA  -  NA )</t>
  </si>
  <si>
    <t>delta : 1 (95% CI  0.381415165564305  -  NA )</t>
  </si>
  <si>
    <t>delta : 1 (95% CI  0.161920438530161  -  NA )</t>
  </si>
  <si>
    <t>lambda : 1 (95% CI  NA  -  NA )</t>
  </si>
  <si>
    <t>kappa : 0.328827856935269 (95% CI  NA  -  0.861882533449886 )</t>
  </si>
  <si>
    <t>kappa : 0.760317703150622 (95% CI  NA  -  NA )</t>
  </si>
  <si>
    <t>delta : 1 (95% CI  0.382279305746271  -  NA )</t>
  </si>
  <si>
    <t>delta : 1 (95% CI  0.246178073650815  -  NA )</t>
  </si>
  <si>
    <t>delta : 1 (95% CI  0.381174246447762  -  NA )</t>
  </si>
  <si>
    <t>lambda : 1 (95% CI  0.662239829748871  -  NA )</t>
  </si>
  <si>
    <t>kappa : 0.432073902033688 (95% CI  NA  -  NA )</t>
  </si>
  <si>
    <t>kappa : 0.998051334154451 (95% CI  0.498542201028251  -  NA )</t>
  </si>
  <si>
    <t>kappa : 1e-06 (95% CI  NA  -  0.894709897602597 )</t>
  </si>
  <si>
    <t>delta : 1 (95% CI  0.38158654707157  -  NA )</t>
  </si>
  <si>
    <t>kappa : 0.490170000970931 (95% CI  NA  -  NA )</t>
  </si>
  <si>
    <t>delta : 1 (95% CI  0.344322434068115  -  NA )</t>
  </si>
  <si>
    <t>kappa : 0.479619845850361 (95% CI  NA  -  NA )</t>
  </si>
  <si>
    <t>delta : 1 (95% CI  0.382361426439099  -  NA )</t>
  </si>
  <si>
    <t>lambda : 1 (95% CI  0.540634884103239  -  NA )</t>
  </si>
  <si>
    <t>delta : 1 (95% CI  0.284644591190789  -  NA )</t>
  </si>
  <si>
    <t>kappa : 1e-06 (95% CI  NA  -  0.334630046565086 )</t>
  </si>
  <si>
    <t>kappa : 1 (95% CI  0.29098854566073  -  NA )</t>
  </si>
  <si>
    <t>kappa : 1 (95% CI  0.340712390942015  -  NA )</t>
  </si>
  <si>
    <t>delta : 1 (95% CI  0.323374391751063  -  NA )</t>
  </si>
  <si>
    <t>kappa : 0.614037351762469 (95% CI  NA  -  NA )</t>
  </si>
  <si>
    <t>kappa : 0.613813040523256 (95% CI  NA  -  NA )</t>
  </si>
  <si>
    <t>0.0956396830563275 - 0.620925544349736</t>
  </si>
  <si>
    <t>delta : 1 (95% CI  0.286146960140842  -  NA )</t>
  </si>
  <si>
    <t>kappa : 1 (95% CI  0.272304961572339  -  NA )</t>
  </si>
  <si>
    <t>kappa : 0.126310057063597 (95% CI  NA  -  0.967569273184024 )</t>
  </si>
  <si>
    <t>0.0100080981645506 - 0.0459123786027789</t>
  </si>
  <si>
    <t>delta : 1 (95% CI  0.388911361741836  -  NA )</t>
  </si>
  <si>
    <t>kappa : 0.312069019921529 (95% CI  NA  -  0.952068993439389 )</t>
  </si>
  <si>
    <t>kappa : 0.663071958653735 (95% CI  NA  -  NA )</t>
  </si>
  <si>
    <t>delta : 1 (95% CI  0.320173229088766  -  NA )</t>
  </si>
  <si>
    <t>delta : 1 (95% CI  0.0561512212329177  -  NA )</t>
  </si>
  <si>
    <t>kappa : 1 (95% CI  0.0310270887666642  -  NA )</t>
  </si>
  <si>
    <t>0.00775456694052935 - 0.022155639132799</t>
  </si>
  <si>
    <t>kappa : 0.35821957729218 (95% CI  NA  -  0.937077609766314 )</t>
  </si>
  <si>
    <t>kappa : 0.522069804057279 (95% CI  NA  -  NA )</t>
  </si>
  <si>
    <t>kappa : 0.513624122794018 (95% CI  NA  -  NA )</t>
  </si>
  <si>
    <t>delta : 1 (95% CI  0.381243037136035  -  NA )</t>
  </si>
  <si>
    <t>delta : 1 (95% CI  0.368382169127644  -  NA )</t>
  </si>
  <si>
    <t>delta : 1 (95% CI  0.0623362185033638  -  NA )</t>
  </si>
  <si>
    <t>delta : 1 (95% CI  0.38269588654998  -  NA )</t>
  </si>
  <si>
    <t>0.00556167863291396 - 0.940169736189802</t>
  </si>
  <si>
    <t>kappa : 1e-06 (95% CI  NA  -  NA )</t>
  </si>
  <si>
    <t>delta : 1 (95% CI  0.223048489868047  -  NA )</t>
  </si>
  <si>
    <t>delta : 1 (95% CI  0.312531811335915  -  NA )</t>
  </si>
  <si>
    <t>delta : 1 (95% CI  0.135243694252876  -  NA )</t>
  </si>
  <si>
    <t>delta : 1 (95% CI  0.369081961785527  -  NA )</t>
  </si>
  <si>
    <t>kappa : 1e-06 (95% CI  NA  -  0.843037920743036 )</t>
  </si>
  <si>
    <t>delta : 1 (95% CI  0.189114155551949  -  NA )</t>
  </si>
  <si>
    <t>kappa : 1e-06 (95% CI  NA  -  0.798297239939074 )</t>
  </si>
  <si>
    <t>kappa : 0.653557446349517 (95% CI  0.107147936928764  -  NA )</t>
  </si>
  <si>
    <t>0.0309346701812696 - 0.0792154370879253</t>
  </si>
  <si>
    <t>delta : 1 (95% CI  0.374582523642763  -  NA )</t>
  </si>
  <si>
    <t>kappa : 1e-06 (95% CI  NA  -  0.791643063097068 )</t>
  </si>
  <si>
    <t>delta : 1 (95% CI  0.370628884752157  -  NA )</t>
  </si>
  <si>
    <t>0.0343043645905699 - 0.0828618848349954</t>
  </si>
  <si>
    <t>kappa : 0.281297576088216 (95% CI  NA  -  0.928070883559269 )</t>
  </si>
  <si>
    <t>delta : 1 (95% CI  0.0512437799226261  -  NA )</t>
  </si>
  <si>
    <t>delta : 1 (95% CI  0.387111709579454  -  NA )</t>
  </si>
  <si>
    <t>kappa : 0.583198182245397 (95% CI  0.000606042214955192  -  NA )</t>
  </si>
  <si>
    <t>kappa : 0.554036065711494 (95% CI  NA  -  NA )</t>
  </si>
  <si>
    <t>0.0102534991501171 - 0.0664412837553975</t>
  </si>
  <si>
    <t>kappa : 0.523558159535149 (95% CI  NA  -  NA )</t>
  </si>
  <si>
    <t>0.00653078479659709 - 0.0203008934549459</t>
  </si>
  <si>
    <t>delta : 1 (95% CI  0.388449701993203  -  NA )</t>
  </si>
  <si>
    <t>kappa : 0.887646790597082 (95% CI  0.420885307145229  -  NA )</t>
  </si>
  <si>
    <t>delta : 1e-06 (95% CI  NA  -  6.70789286163178e-05 )</t>
  </si>
  <si>
    <t>kappa : 0.33604060120966 (95% CI  NA  -  0.935017108907185 )</t>
  </si>
  <si>
    <t>kappa : 0.522397153523939 (95% CI  NA  -  NA )</t>
  </si>
  <si>
    <t>kappa : 0.563745727266587 (95% CI  NA  -  NA )</t>
  </si>
  <si>
    <t>delta : 1 (95% CI  0.29192926271415  -  NA )</t>
  </si>
  <si>
    <t>delta : 1 (95% CI  0.355390153238849  -  NA )</t>
  </si>
  <si>
    <t>delta : 1 (95% CI  0.384108291432009  -  NA )</t>
  </si>
  <si>
    <t>kappa : 1 (95% CI  0.105923979302368  -  NA )</t>
  </si>
  <si>
    <t>kappa : 0.535435472781149 (95% CI  NA  -  NA )</t>
  </si>
  <si>
    <t>delta : 1 (95% CI  0.373212505644032  -  NA )</t>
  </si>
  <si>
    <t>delta : 1 (95% CI  0.385762579125084  -  NA )</t>
  </si>
  <si>
    <t>kappa : 0.333585282442434 (95% CI  NA  -  0.910805219972743 )</t>
  </si>
  <si>
    <t>kappa : 1e-06 (95% CI  NA  -  0.762307562934761 )</t>
  </si>
  <si>
    <t>delta : 1 (95% CI  0.369174722164515  -  NA )</t>
  </si>
  <si>
    <t>kappa : 1e-06 (95% CI  NA  -  0.948344522976875 )</t>
  </si>
  <si>
    <t>kappa : 0.4635868355342 (95% CI  NA  -  NA )</t>
  </si>
  <si>
    <t>kappa : 0.57623473315619 (95% CI  NA  -  NA )</t>
  </si>
  <si>
    <t>delta : 1 (95% CI  0.343294133151057  -  NA )</t>
  </si>
  <si>
    <t>delta : 1 (95% CI  0.346332386596577  -  NA )</t>
  </si>
  <si>
    <t>kappa : 0.255891769877393 (95% CI  NA  -  NA )</t>
  </si>
  <si>
    <t>0.0506715578312328 - 0.58241765381889</t>
  </si>
  <si>
    <t>kappa : 0.544906858926836 (95% CI  NA  -  NA )</t>
  </si>
  <si>
    <t>delta : 1 (95% CI  0.278510956403899  -  NA )</t>
  </si>
  <si>
    <t>delta : 1 (95% CI  0.287510551393374  -  NA )</t>
  </si>
  <si>
    <t>lambda : 1 (95% CI  0.904980282326922  -  NA )</t>
  </si>
  <si>
    <t>delta : 1 (95% CI  0.10869737181687  -  NA )</t>
  </si>
  <si>
    <t>delta : 1 (95% CI  0.334052997293304  -  NA )</t>
  </si>
  <si>
    <t>delta : 1 (95% CI  0.283806705974736  -  NA )</t>
  </si>
  <si>
    <t>kappa : 0.788470336763725 (95% CI  0.247201981207629  -  NA )</t>
  </si>
  <si>
    <t>kappa : 1 (95% CI  0.663353066512893  -  NA )</t>
  </si>
  <si>
    <t>delta : 1 (95% CI  0.287532896801551  -  NA )</t>
  </si>
  <si>
    <t>delta : 1 (95% CI  0.239084372429582  -  NA )</t>
  </si>
  <si>
    <t>delta : 1 (95% CI  0.262406206718353  -  NA )</t>
  </si>
  <si>
    <t>kappa : 0.709978905220036 (95% CI  0.111102122201254  -  NA )</t>
  </si>
  <si>
    <t>delta : 1 (95% CI  0.293176185642394  -  NA )</t>
  </si>
  <si>
    <t>delta : 1 (95% CI  0.38116374877133  -  NA )</t>
  </si>
  <si>
    <t>delta : 1 (95% CI  0.306845879421682  -  NA )</t>
  </si>
  <si>
    <t>delta : 1 (95% CI  0.269365707505835  -  NA )</t>
  </si>
  <si>
    <t>kappa : 0.348857556557528 (95% CI  NA  -  NA )</t>
  </si>
  <si>
    <t>kappa : 0.606382627667874 (95% CI  0.0392525994593961  -  NA )</t>
  </si>
  <si>
    <t>delta : 1 (95% CI  0.369790647447369  -  NA )</t>
  </si>
  <si>
    <t>kappa : 0.816281990090246 (95% CI  NA  -  NA )</t>
  </si>
  <si>
    <t>delta : 1 (95% CI  0.382254482192968  -  NA )</t>
  </si>
  <si>
    <t>kappa : 0.610910318499526 (95% CI  0.0566156417512216  -  NA )</t>
  </si>
  <si>
    <t>kappa : 0.672691025957358 (95% CI  NA  -  NA )</t>
  </si>
  <si>
    <t>0.0126246349665912 - 0.0496213165220802</t>
  </si>
  <si>
    <t>kappa : 0.49134895225503 (95% CI  NA  -  NA )</t>
  </si>
  <si>
    <t>delta : 1 (95% CI  0.383571953853573  -  NA )</t>
  </si>
  <si>
    <t>delta : 1 (95% CI  0.386363596707517  -  NA )</t>
  </si>
  <si>
    <r>
      <t xml:space="preserve">PGLS correlations between all dominant microbes and host disease prevelence b. with zero relative abundance counts excluded.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Four PGLS models (BM, BM_Lambda, BM_Kappa, BM_Delta) were run where parameters lambda (λ), delta (𝜹), and kappa (κ) were either set to 1 or maximum liklelihood (ML) (see Supplementary Data Table 13 for explanations of parameters). Best model designation is based on the lowest AIC score of the 4 models run with each alpha diversity variable in the 4 compartments: all, mucus, tissue, and skeleton.</t>
    </r>
  </si>
  <si>
    <r>
      <t xml:space="preserve">PGLS correlations between all dominant microbes and host disease prevelence with a. zero relative abundance counts included.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Four PGLS models (BM, BM_Lambda, BM_Kappa, BM_Delta) were run where parameters lambda (λ), delta (𝜹), and kappa (κ) were either set to 1 or maximum liklelihood (ML) (see Supplementary Data Table 13 for explanations of parameters). Best model designation is based on the lowest AIC score of the 4 models run with each alpha diversity variable in the 4 compartments: all, mucus, tissue, and skeleton.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</si>
</sst>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Y247"/>
  <sheetViews>
    <sheetView tabSelected="1" workbookViewId="0">
      <selection activeCell="A2" sqref="A2:K2"/>
    </sheetView>
  </sheetViews>
  <sheetFormatPr baseColWidth="10" defaultColWidth="11.1640625" defaultRowHeight="16" x14ac:dyDescent="0.2"/>
  <cols>
    <col min="3" max="3" width="10.83203125" customWidth="1"/>
  </cols>
  <sheetData>
    <row r="1" spans="1:25" ht="21" x14ac:dyDescent="0.2">
      <c r="A1" s="3" t="s">
        <v>305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5" ht="85.25" customHeight="1" x14ac:dyDescent="0.2">
      <c r="A2" s="5" t="s">
        <v>618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5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5" x14ac:dyDescent="0.2">
      <c r="A4" t="s">
        <v>306</v>
      </c>
      <c r="B4" t="s">
        <v>140</v>
      </c>
      <c r="C4" t="s">
        <v>24</v>
      </c>
      <c r="D4">
        <v>1.1904597068623001E-3</v>
      </c>
      <c r="E4">
        <v>0.83042334217699199</v>
      </c>
      <c r="F4">
        <v>0.92048879178491605</v>
      </c>
      <c r="G4">
        <v>59</v>
      </c>
      <c r="H4">
        <v>-1.8416979104972E-3</v>
      </c>
      <c r="I4" t="s">
        <v>25</v>
      </c>
      <c r="J4" t="b">
        <v>1</v>
      </c>
      <c r="K4">
        <v>243.376039799105</v>
      </c>
      <c r="L4">
        <v>243.69182927278899</v>
      </c>
      <c r="M4">
        <v>0</v>
      </c>
      <c r="N4" t="s">
        <v>26</v>
      </c>
      <c r="O4" t="s">
        <v>26</v>
      </c>
      <c r="P4" t="s">
        <v>307</v>
      </c>
      <c r="Q4">
        <f>-0.0185844232927568 - 0.0149010274717623</f>
        <v>-3.3485450764519101E-2</v>
      </c>
      <c r="R4" t="s">
        <v>34</v>
      </c>
      <c r="S4" t="s">
        <v>28</v>
      </c>
      <c r="T4" t="s">
        <v>29</v>
      </c>
      <c r="U4" t="s">
        <v>141</v>
      </c>
      <c r="V4">
        <v>3.1145308463616899</v>
      </c>
      <c r="W4">
        <v>8.5422068276833994E-3</v>
      </c>
      <c r="X4" t="s">
        <v>30</v>
      </c>
      <c r="Y4" t="s">
        <v>31</v>
      </c>
    </row>
    <row r="5" spans="1:25" x14ac:dyDescent="0.2">
      <c r="A5" t="s">
        <v>306</v>
      </c>
      <c r="B5" t="s">
        <v>53</v>
      </c>
      <c r="C5" t="s">
        <v>24</v>
      </c>
      <c r="D5">
        <v>5.7425758290727E-3</v>
      </c>
      <c r="E5">
        <v>0.64211411797380802</v>
      </c>
      <c r="F5">
        <v>0.92048879178491605</v>
      </c>
      <c r="G5">
        <v>57</v>
      </c>
      <c r="H5">
        <v>-1.21377798477179</v>
      </c>
      <c r="I5" t="s">
        <v>25</v>
      </c>
      <c r="J5" t="b">
        <v>1</v>
      </c>
      <c r="K5">
        <v>237.717661623905</v>
      </c>
      <c r="L5">
        <v>238.04198594823001</v>
      </c>
      <c r="M5">
        <v>0</v>
      </c>
      <c r="N5" t="s">
        <v>26</v>
      </c>
      <c r="O5" t="s">
        <v>26</v>
      </c>
      <c r="P5" t="s">
        <v>308</v>
      </c>
      <c r="Q5">
        <f>-6.29185848339435 - 3.86430251385077</f>
        <v>-10.15616099724512</v>
      </c>
      <c r="R5" t="s">
        <v>33</v>
      </c>
      <c r="S5" t="s">
        <v>28</v>
      </c>
      <c r="T5" t="s">
        <v>29</v>
      </c>
      <c r="U5" t="s">
        <v>54</v>
      </c>
      <c r="V5">
        <v>3.3755637858476901</v>
      </c>
      <c r="W5">
        <v>2.5908573972564102</v>
      </c>
      <c r="X5" t="s">
        <v>30</v>
      </c>
      <c r="Y5" t="s">
        <v>31</v>
      </c>
    </row>
    <row r="6" spans="1:25" x14ac:dyDescent="0.2">
      <c r="A6" t="s">
        <v>306</v>
      </c>
      <c r="B6" t="s">
        <v>147</v>
      </c>
      <c r="C6" t="s">
        <v>24</v>
      </c>
      <c r="D6">
        <v>3.0030811969575999E-3</v>
      </c>
      <c r="E6">
        <v>0.73698380746351999</v>
      </c>
      <c r="F6">
        <v>0.92048879178491605</v>
      </c>
      <c r="G6">
        <v>55</v>
      </c>
      <c r="H6">
        <v>-1.2136738614927801E-2</v>
      </c>
      <c r="I6" t="s">
        <v>25</v>
      </c>
      <c r="J6" t="b">
        <v>1</v>
      </c>
      <c r="K6">
        <v>237.55261379126</v>
      </c>
      <c r="L6">
        <v>237.87693811558501</v>
      </c>
      <c r="M6">
        <v>0</v>
      </c>
      <c r="N6" t="s">
        <v>26</v>
      </c>
      <c r="O6" t="s">
        <v>26</v>
      </c>
      <c r="P6" t="s">
        <v>309</v>
      </c>
      <c r="Q6">
        <f>-0.0824487695459791 - 0.0581752923161236</f>
        <v>-0.14062406186210269</v>
      </c>
      <c r="R6" t="s">
        <v>32</v>
      </c>
      <c r="S6" t="s">
        <v>28</v>
      </c>
      <c r="T6" t="s">
        <v>29</v>
      </c>
      <c r="U6" t="s">
        <v>148</v>
      </c>
      <c r="V6">
        <v>3.48893679223209</v>
      </c>
      <c r="W6">
        <v>3.58734851689037E-2</v>
      </c>
      <c r="X6" t="s">
        <v>30</v>
      </c>
      <c r="Y6" t="s">
        <v>31</v>
      </c>
    </row>
    <row r="7" spans="1:25" x14ac:dyDescent="0.2">
      <c r="A7" t="s">
        <v>306</v>
      </c>
      <c r="B7" t="s">
        <v>132</v>
      </c>
      <c r="C7" t="s">
        <v>24</v>
      </c>
      <c r="D7">
        <v>3.3516540600748001E-3</v>
      </c>
      <c r="E7">
        <v>0.715726970217337</v>
      </c>
      <c r="F7">
        <v>0.92048879178491605</v>
      </c>
      <c r="G7">
        <v>45</v>
      </c>
      <c r="H7">
        <v>9.5606269816812008E-3</v>
      </c>
      <c r="I7" t="s">
        <v>25</v>
      </c>
      <c r="J7" t="b">
        <v>1</v>
      </c>
      <c r="K7">
        <v>248.19268470524699</v>
      </c>
      <c r="L7">
        <v>248.500377012939</v>
      </c>
      <c r="M7">
        <v>0</v>
      </c>
      <c r="N7" t="s">
        <v>26</v>
      </c>
      <c r="O7" t="s">
        <v>26</v>
      </c>
      <c r="P7" t="s">
        <v>310</v>
      </c>
      <c r="Q7">
        <f>-0.0415314821979492 - 0.0606527361613117</f>
        <v>-0.10218421835926089</v>
      </c>
      <c r="R7" t="s">
        <v>34</v>
      </c>
      <c r="S7" t="s">
        <v>28</v>
      </c>
      <c r="T7" t="s">
        <v>29</v>
      </c>
      <c r="U7" t="s">
        <v>133</v>
      </c>
      <c r="V7">
        <v>3.0207566813753801</v>
      </c>
      <c r="W7">
        <v>2.6067402642668599E-2</v>
      </c>
      <c r="X7" t="s">
        <v>30</v>
      </c>
      <c r="Y7" t="s">
        <v>31</v>
      </c>
    </row>
    <row r="8" spans="1:25" x14ac:dyDescent="0.2">
      <c r="A8" t="s">
        <v>306</v>
      </c>
      <c r="B8" t="s">
        <v>138</v>
      </c>
      <c r="C8" t="s">
        <v>24</v>
      </c>
      <c r="D8">
        <v>2.88996736485851E-2</v>
      </c>
      <c r="E8">
        <v>0.26992421456378501</v>
      </c>
      <c r="F8">
        <v>0.92048879178491605</v>
      </c>
      <c r="G8">
        <v>11</v>
      </c>
      <c r="H8">
        <v>0.14748473688838701</v>
      </c>
      <c r="I8" t="s">
        <v>25</v>
      </c>
      <c r="J8" t="b">
        <v>1</v>
      </c>
      <c r="K8">
        <v>257.16759019580002</v>
      </c>
      <c r="L8">
        <v>257.46027312262902</v>
      </c>
      <c r="M8">
        <v>0</v>
      </c>
      <c r="N8" t="s">
        <v>26</v>
      </c>
      <c r="O8" t="s">
        <v>26</v>
      </c>
      <c r="P8" t="s">
        <v>311</v>
      </c>
      <c r="Q8">
        <f>-0.111076897731465 - 0.406046371508239</f>
        <v>-0.51712326923970398</v>
      </c>
      <c r="R8" t="s">
        <v>27</v>
      </c>
      <c r="S8" t="s">
        <v>28</v>
      </c>
      <c r="T8" t="s">
        <v>29</v>
      </c>
      <c r="U8" t="s">
        <v>139</v>
      </c>
      <c r="V8">
        <v>2.34855636877501</v>
      </c>
      <c r="W8">
        <v>0.13191920133665899</v>
      </c>
      <c r="X8" t="s">
        <v>30</v>
      </c>
      <c r="Y8" t="s">
        <v>31</v>
      </c>
    </row>
    <row r="9" spans="1:25" x14ac:dyDescent="0.2">
      <c r="A9" t="s">
        <v>306</v>
      </c>
      <c r="B9" t="s">
        <v>59</v>
      </c>
      <c r="C9" t="s">
        <v>24</v>
      </c>
      <c r="D9">
        <v>9.8914067211398008E-3</v>
      </c>
      <c r="E9">
        <v>0.52066739630358605</v>
      </c>
      <c r="F9">
        <v>0.92048879178491605</v>
      </c>
      <c r="G9">
        <v>41</v>
      </c>
      <c r="H9">
        <v>-8.8419584023282996E-3</v>
      </c>
      <c r="I9" t="s">
        <v>25</v>
      </c>
      <c r="J9" t="b">
        <v>1</v>
      </c>
      <c r="K9">
        <v>258.02052322751399</v>
      </c>
      <c r="L9">
        <v>258.31320615434299</v>
      </c>
      <c r="M9">
        <v>0</v>
      </c>
      <c r="N9" t="s">
        <v>26</v>
      </c>
      <c r="O9" t="s">
        <v>26</v>
      </c>
      <c r="P9" t="s">
        <v>312</v>
      </c>
      <c r="Q9">
        <f>-0.0355961774541074 - 0.0179122606494508</f>
        <v>-5.3508438103558195E-2</v>
      </c>
      <c r="R9" t="s">
        <v>27</v>
      </c>
      <c r="S9" t="s">
        <v>28</v>
      </c>
      <c r="T9" t="s">
        <v>29</v>
      </c>
      <c r="U9" t="s">
        <v>60</v>
      </c>
      <c r="V9">
        <v>3.1859817456285602</v>
      </c>
      <c r="W9">
        <v>1.36501117611118E-2</v>
      </c>
      <c r="X9" t="s">
        <v>30</v>
      </c>
      <c r="Y9" t="s">
        <v>31</v>
      </c>
    </row>
    <row r="10" spans="1:25" x14ac:dyDescent="0.2">
      <c r="A10" t="s">
        <v>306</v>
      </c>
      <c r="B10" t="s">
        <v>111</v>
      </c>
      <c r="C10" t="s">
        <v>24</v>
      </c>
      <c r="D10">
        <v>2.3813601208901101E-2</v>
      </c>
      <c r="E10">
        <v>0.31723345275091402</v>
      </c>
      <c r="F10">
        <v>0.92048879178491605</v>
      </c>
      <c r="G10">
        <v>10</v>
      </c>
      <c r="H10">
        <v>-7.4172323166799503E-2</v>
      </c>
      <c r="I10" t="s">
        <v>25</v>
      </c>
      <c r="J10" t="b">
        <v>1</v>
      </c>
      <c r="K10">
        <v>257.39743585062098</v>
      </c>
      <c r="L10">
        <v>257.69011877744998</v>
      </c>
      <c r="M10">
        <v>0</v>
      </c>
      <c r="N10" t="s">
        <v>26</v>
      </c>
      <c r="O10" t="s">
        <v>26</v>
      </c>
      <c r="P10" t="s">
        <v>313</v>
      </c>
      <c r="Q10">
        <f>-0.217796365513965 - 0.069451719180366</f>
        <v>-0.287248084694331</v>
      </c>
      <c r="R10" t="s">
        <v>27</v>
      </c>
      <c r="S10" t="s">
        <v>28</v>
      </c>
      <c r="T10" t="s">
        <v>29</v>
      </c>
      <c r="U10" t="s">
        <v>112</v>
      </c>
      <c r="V10">
        <v>3.81727662836099</v>
      </c>
      <c r="W10">
        <v>7.3277572626104903E-2</v>
      </c>
      <c r="X10" t="s">
        <v>30</v>
      </c>
      <c r="Y10" t="s">
        <v>31</v>
      </c>
    </row>
    <row r="11" spans="1:25" x14ac:dyDescent="0.2">
      <c r="A11" t="s">
        <v>306</v>
      </c>
      <c r="B11" t="s">
        <v>159</v>
      </c>
      <c r="C11" t="s">
        <v>24</v>
      </c>
      <c r="D11" s="1">
        <v>1.8583118629147699E-5</v>
      </c>
      <c r="E11">
        <v>0.97893866640710803</v>
      </c>
      <c r="F11">
        <v>0.97893866640710803</v>
      </c>
      <c r="G11">
        <v>55</v>
      </c>
      <c r="H11">
        <v>3.8199278831070003E-4</v>
      </c>
      <c r="I11" t="s">
        <v>25</v>
      </c>
      <c r="J11" t="b">
        <v>1</v>
      </c>
      <c r="K11">
        <v>237.67217443934601</v>
      </c>
      <c r="L11">
        <v>237.99649876366999</v>
      </c>
      <c r="M11">
        <v>0</v>
      </c>
      <c r="N11" t="s">
        <v>26</v>
      </c>
      <c r="O11" t="s">
        <v>26</v>
      </c>
      <c r="P11" t="s">
        <v>314</v>
      </c>
      <c r="Q11">
        <f>-0.0277924997132555 - 0.028556485289877</f>
        <v>-5.6348985003132498E-2</v>
      </c>
      <c r="R11" t="s">
        <v>32</v>
      </c>
      <c r="S11" t="s">
        <v>28</v>
      </c>
      <c r="T11" t="s">
        <v>29</v>
      </c>
      <c r="U11" t="s">
        <v>160</v>
      </c>
      <c r="V11">
        <v>3.1703201903123799</v>
      </c>
      <c r="W11">
        <v>1.4374741072227699E-2</v>
      </c>
      <c r="X11" t="s">
        <v>30</v>
      </c>
      <c r="Y11" t="s">
        <v>31</v>
      </c>
    </row>
    <row r="12" spans="1:25" x14ac:dyDescent="0.2">
      <c r="A12" t="s">
        <v>306</v>
      </c>
      <c r="B12" t="s">
        <v>161</v>
      </c>
      <c r="C12" t="s">
        <v>24</v>
      </c>
      <c r="D12">
        <v>8.8268101507327903E-2</v>
      </c>
      <c r="E12">
        <v>5.6041766977411103E-2</v>
      </c>
      <c r="F12">
        <v>0.68370955712441495</v>
      </c>
      <c r="G12">
        <v>27</v>
      </c>
      <c r="H12">
        <v>0.18422051350593899</v>
      </c>
      <c r="I12" t="s">
        <v>25</v>
      </c>
      <c r="J12" t="b">
        <v>1</v>
      </c>
      <c r="K12">
        <v>244.45249988027399</v>
      </c>
      <c r="L12">
        <v>244.760192187966</v>
      </c>
      <c r="M12">
        <v>0</v>
      </c>
      <c r="N12" t="s">
        <v>26</v>
      </c>
      <c r="O12" t="s">
        <v>26</v>
      </c>
      <c r="P12" t="s">
        <v>315</v>
      </c>
      <c r="Q12" t="s">
        <v>162</v>
      </c>
      <c r="R12" t="s">
        <v>34</v>
      </c>
      <c r="S12" t="s">
        <v>28</v>
      </c>
      <c r="T12" t="s">
        <v>29</v>
      </c>
      <c r="U12" t="s">
        <v>163</v>
      </c>
      <c r="V12">
        <v>2.11817571178134</v>
      </c>
      <c r="W12">
        <v>9.3613756927712094E-2</v>
      </c>
      <c r="X12" t="s">
        <v>30</v>
      </c>
      <c r="Y12" t="s">
        <v>31</v>
      </c>
    </row>
    <row r="13" spans="1:25" x14ac:dyDescent="0.2">
      <c r="A13" t="s">
        <v>306</v>
      </c>
      <c r="B13" t="s">
        <v>79</v>
      </c>
      <c r="C13" t="s">
        <v>24</v>
      </c>
      <c r="D13">
        <v>2.0933052377794998E-3</v>
      </c>
      <c r="E13">
        <v>0.76806547696229699</v>
      </c>
      <c r="F13">
        <v>0.92048879178491605</v>
      </c>
      <c r="G13">
        <v>62</v>
      </c>
      <c r="H13">
        <v>-2.8699122388371499E-2</v>
      </c>
      <c r="I13" t="s">
        <v>25</v>
      </c>
      <c r="J13" t="b">
        <v>1</v>
      </c>
      <c r="K13">
        <v>258.36570993420497</v>
      </c>
      <c r="L13">
        <v>258.65839286103397</v>
      </c>
      <c r="M13">
        <v>0</v>
      </c>
      <c r="N13" t="s">
        <v>26</v>
      </c>
      <c r="O13" t="s">
        <v>26</v>
      </c>
      <c r="P13" t="s">
        <v>316</v>
      </c>
      <c r="Q13">
        <f>-0.218207638291606 - 0.160809393514863</f>
        <v>-0.37901703180646901</v>
      </c>
      <c r="R13" t="s">
        <v>27</v>
      </c>
      <c r="S13" t="s">
        <v>28</v>
      </c>
      <c r="T13" t="s">
        <v>29</v>
      </c>
      <c r="U13" t="s">
        <v>80</v>
      </c>
      <c r="V13">
        <v>3.2058571230330899</v>
      </c>
      <c r="W13">
        <v>9.6688018317976798E-2</v>
      </c>
      <c r="X13" t="s">
        <v>30</v>
      </c>
      <c r="Y13" t="s">
        <v>31</v>
      </c>
    </row>
    <row r="14" spans="1:25" x14ac:dyDescent="0.2">
      <c r="A14" t="s">
        <v>306</v>
      </c>
      <c r="B14" t="s">
        <v>103</v>
      </c>
      <c r="C14" t="s">
        <v>24</v>
      </c>
      <c r="D14">
        <v>1.5589491471171E-3</v>
      </c>
      <c r="E14">
        <v>0.79913750262605798</v>
      </c>
      <c r="F14">
        <v>0.92048879178491605</v>
      </c>
      <c r="G14">
        <v>63</v>
      </c>
      <c r="H14">
        <v>-3.2455192133303999E-3</v>
      </c>
      <c r="I14" t="s">
        <v>25</v>
      </c>
      <c r="J14" t="b">
        <v>1</v>
      </c>
      <c r="K14">
        <v>258.38926461660202</v>
      </c>
      <c r="L14">
        <v>258.68194754343102</v>
      </c>
      <c r="M14">
        <v>0</v>
      </c>
      <c r="N14" t="s">
        <v>26</v>
      </c>
      <c r="O14" t="s">
        <v>26</v>
      </c>
      <c r="P14" t="s">
        <v>317</v>
      </c>
      <c r="Q14">
        <f>-0.0280860488050092 - 0.0215950103783484</f>
        <v>-4.96810591833576E-2</v>
      </c>
      <c r="R14" t="s">
        <v>27</v>
      </c>
      <c r="S14" t="s">
        <v>28</v>
      </c>
      <c r="T14" t="s">
        <v>29</v>
      </c>
      <c r="U14" t="s">
        <v>104</v>
      </c>
      <c r="V14">
        <v>3.30242663709071</v>
      </c>
      <c r="W14">
        <v>1.2673739587591199E-2</v>
      </c>
      <c r="X14" t="s">
        <v>30</v>
      </c>
      <c r="Y14" t="s">
        <v>31</v>
      </c>
    </row>
    <row r="15" spans="1:25" x14ac:dyDescent="0.2">
      <c r="A15" t="s">
        <v>306</v>
      </c>
      <c r="B15" t="s">
        <v>97</v>
      </c>
      <c r="C15" t="s">
        <v>24</v>
      </c>
      <c r="D15">
        <v>9.9101685654414996E-3</v>
      </c>
      <c r="E15">
        <v>0.54109051256794005</v>
      </c>
      <c r="F15">
        <v>0.92048879178491605</v>
      </c>
      <c r="G15">
        <v>23</v>
      </c>
      <c r="H15">
        <v>-5.4328291168138001E-3</v>
      </c>
      <c r="I15" t="s">
        <v>25</v>
      </c>
      <c r="J15" t="b">
        <v>1</v>
      </c>
      <c r="K15">
        <v>237.27453372510899</v>
      </c>
      <c r="L15">
        <v>237.59885804943301</v>
      </c>
      <c r="M15">
        <v>0</v>
      </c>
      <c r="N15" t="s">
        <v>26</v>
      </c>
      <c r="O15" t="s">
        <v>26</v>
      </c>
      <c r="P15" t="s">
        <v>318</v>
      </c>
      <c r="Q15">
        <f>-0.0226986446793015 - 0.0118329864456738</f>
        <v>-3.4531631124975301E-2</v>
      </c>
      <c r="R15" t="s">
        <v>32</v>
      </c>
      <c r="S15" t="s">
        <v>28</v>
      </c>
      <c r="T15" t="s">
        <v>29</v>
      </c>
      <c r="U15" t="s">
        <v>98</v>
      </c>
      <c r="V15">
        <v>3.3104317224641902</v>
      </c>
      <c r="W15">
        <v>8.8090895726976991E-3</v>
      </c>
      <c r="X15" t="s">
        <v>30</v>
      </c>
      <c r="Y15" t="s">
        <v>31</v>
      </c>
    </row>
    <row r="16" spans="1:25" x14ac:dyDescent="0.2">
      <c r="A16" t="s">
        <v>306</v>
      </c>
      <c r="B16" t="s">
        <v>120</v>
      </c>
      <c r="C16" t="s">
        <v>24</v>
      </c>
      <c r="D16">
        <v>1.5534148122819001E-3</v>
      </c>
      <c r="E16">
        <v>0.80919749622088699</v>
      </c>
      <c r="F16">
        <v>0.92048879178491605</v>
      </c>
      <c r="G16">
        <v>31</v>
      </c>
      <c r="H16">
        <v>-1.8071851763638001E-3</v>
      </c>
      <c r="I16" t="s">
        <v>25</v>
      </c>
      <c r="J16" t="b">
        <v>1</v>
      </c>
      <c r="K16">
        <v>237.610732866516</v>
      </c>
      <c r="L16">
        <v>237.93505719084101</v>
      </c>
      <c r="M16">
        <v>0</v>
      </c>
      <c r="N16" t="s">
        <v>26</v>
      </c>
      <c r="O16" t="s">
        <v>26</v>
      </c>
      <c r="P16" t="s">
        <v>319</v>
      </c>
      <c r="Q16">
        <f>-0.0163747052642 - 0.0127603349114723</f>
        <v>-2.9135040175672297E-2</v>
      </c>
      <c r="R16" t="s">
        <v>32</v>
      </c>
      <c r="S16" t="s">
        <v>28</v>
      </c>
      <c r="T16" t="s">
        <v>29</v>
      </c>
      <c r="U16" t="s">
        <v>121</v>
      </c>
      <c r="V16">
        <v>3.2347256986218298</v>
      </c>
      <c r="W16">
        <v>7.4324082080796001E-3</v>
      </c>
      <c r="X16" t="s">
        <v>30</v>
      </c>
      <c r="Y16" t="s">
        <v>31</v>
      </c>
    </row>
    <row r="17" spans="1:25" x14ac:dyDescent="0.2">
      <c r="A17" t="s">
        <v>306</v>
      </c>
      <c r="B17" t="s">
        <v>145</v>
      </c>
      <c r="C17" t="s">
        <v>24</v>
      </c>
      <c r="D17">
        <v>6.1080430836549997E-4</v>
      </c>
      <c r="E17">
        <v>0.87653913951281603</v>
      </c>
      <c r="F17">
        <v>0.921877370866927</v>
      </c>
      <c r="G17">
        <v>32</v>
      </c>
      <c r="H17">
        <v>-3.2931485606768002E-3</v>
      </c>
      <c r="I17" t="s">
        <v>25</v>
      </c>
      <c r="J17" t="b">
        <v>1</v>
      </c>
      <c r="K17">
        <v>248.308028990634</v>
      </c>
      <c r="L17">
        <v>248.615721298327</v>
      </c>
      <c r="M17">
        <v>0</v>
      </c>
      <c r="N17" t="s">
        <v>26</v>
      </c>
      <c r="O17" t="s">
        <v>26</v>
      </c>
      <c r="P17" t="s">
        <v>320</v>
      </c>
      <c r="Q17">
        <f>-0.044574478273238 - 0.0379881811518842</f>
        <v>-8.2562659425122198E-2</v>
      </c>
      <c r="R17" t="s">
        <v>34</v>
      </c>
      <c r="S17" t="s">
        <v>28</v>
      </c>
      <c r="T17" t="s">
        <v>29</v>
      </c>
      <c r="U17" t="s">
        <v>146</v>
      </c>
      <c r="V17">
        <v>3.1687084260642702</v>
      </c>
      <c r="W17">
        <v>2.1061902914571998E-2</v>
      </c>
      <c r="X17" t="s">
        <v>30</v>
      </c>
      <c r="Y17" t="s">
        <v>31</v>
      </c>
    </row>
    <row r="18" spans="1:25" x14ac:dyDescent="0.2">
      <c r="A18" t="s">
        <v>306</v>
      </c>
      <c r="B18" t="s">
        <v>101</v>
      </c>
      <c r="C18" t="s">
        <v>24</v>
      </c>
      <c r="D18">
        <v>4.6412593761211499E-2</v>
      </c>
      <c r="E18">
        <v>0.18185372968018701</v>
      </c>
      <c r="F18">
        <v>0.92048879178491605</v>
      </c>
      <c r="G18">
        <v>39</v>
      </c>
      <c r="H18">
        <v>-1.8241010835504601E-2</v>
      </c>
      <c r="I18" t="s">
        <v>25</v>
      </c>
      <c r="J18" t="b">
        <v>1</v>
      </c>
      <c r="K18">
        <v>236.04705916439599</v>
      </c>
      <c r="L18">
        <v>236.37138348872099</v>
      </c>
      <c r="M18">
        <v>0</v>
      </c>
      <c r="N18" t="s">
        <v>26</v>
      </c>
      <c r="O18" t="s">
        <v>26</v>
      </c>
      <c r="P18" t="s">
        <v>321</v>
      </c>
      <c r="Q18">
        <f>-0.0445300980984194 - 0.00804807642741024</f>
        <v>-5.2578174525829642E-2</v>
      </c>
      <c r="R18" t="s">
        <v>33</v>
      </c>
      <c r="S18" t="s">
        <v>28</v>
      </c>
      <c r="T18" t="s">
        <v>29</v>
      </c>
      <c r="U18" t="s">
        <v>102</v>
      </c>
      <c r="V18">
        <v>4.2246107626846197</v>
      </c>
      <c r="W18">
        <v>1.34127996239361E-2</v>
      </c>
      <c r="X18" t="s">
        <v>30</v>
      </c>
      <c r="Y18" t="s">
        <v>31</v>
      </c>
    </row>
    <row r="19" spans="1:25" x14ac:dyDescent="0.2">
      <c r="A19" t="s">
        <v>306</v>
      </c>
      <c r="B19" t="s">
        <v>77</v>
      </c>
      <c r="C19" t="s">
        <v>24</v>
      </c>
      <c r="D19">
        <v>3.41819934190149E-2</v>
      </c>
      <c r="E19">
        <v>0.24113181911937101</v>
      </c>
      <c r="F19">
        <v>0.92048879178491605</v>
      </c>
      <c r="G19">
        <v>10</v>
      </c>
      <c r="H19">
        <v>-3.0510395316561599E-2</v>
      </c>
      <c r="I19" t="s">
        <v>25</v>
      </c>
      <c r="J19" t="b">
        <v>1</v>
      </c>
      <c r="K19">
        <v>246.87293642635399</v>
      </c>
      <c r="L19">
        <v>247.180628734046</v>
      </c>
      <c r="M19">
        <v>0</v>
      </c>
      <c r="N19" t="s">
        <v>26</v>
      </c>
      <c r="O19" t="s">
        <v>26</v>
      </c>
      <c r="P19" t="s">
        <v>322</v>
      </c>
      <c r="Q19">
        <f>-0.0807704395355964 - 0.0197496489024731</f>
        <v>-0.1005200884380695</v>
      </c>
      <c r="R19" t="s">
        <v>34</v>
      </c>
      <c r="S19" t="s">
        <v>28</v>
      </c>
      <c r="T19" t="s">
        <v>29</v>
      </c>
      <c r="U19" t="s">
        <v>78</v>
      </c>
      <c r="V19">
        <v>3.8221911322626201</v>
      </c>
      <c r="W19">
        <v>2.5642879703589101E-2</v>
      </c>
      <c r="X19" t="s">
        <v>30</v>
      </c>
      <c r="Y19" t="s">
        <v>31</v>
      </c>
    </row>
    <row r="20" spans="1:25" x14ac:dyDescent="0.2">
      <c r="A20" t="s">
        <v>306</v>
      </c>
      <c r="B20" t="s">
        <v>128</v>
      </c>
      <c r="C20" t="s">
        <v>24</v>
      </c>
      <c r="D20">
        <v>1.6429683262391E-3</v>
      </c>
      <c r="E20">
        <v>0.80387942711674198</v>
      </c>
      <c r="F20">
        <v>0.92048879178491605</v>
      </c>
      <c r="G20">
        <v>48</v>
      </c>
      <c r="H20">
        <v>-1.8819000737103E-3</v>
      </c>
      <c r="I20" t="s">
        <v>25</v>
      </c>
      <c r="J20" t="b">
        <v>1</v>
      </c>
      <c r="K20">
        <v>237.88225395736899</v>
      </c>
      <c r="L20">
        <v>238.206578281693</v>
      </c>
      <c r="M20">
        <v>0</v>
      </c>
      <c r="N20" t="s">
        <v>26</v>
      </c>
      <c r="O20" t="s">
        <v>26</v>
      </c>
      <c r="P20" t="s">
        <v>323</v>
      </c>
      <c r="Q20">
        <f>-0.0166318035185942 - 0.0128680033711736</f>
        <v>-2.9499806889767798E-2</v>
      </c>
      <c r="R20" t="s">
        <v>33</v>
      </c>
      <c r="S20" t="s">
        <v>28</v>
      </c>
      <c r="T20" t="s">
        <v>29</v>
      </c>
      <c r="U20" t="s">
        <v>129</v>
      </c>
      <c r="V20">
        <v>3.2780033314674699</v>
      </c>
      <c r="W20">
        <v>7.5254609412672997E-3</v>
      </c>
      <c r="X20" t="s">
        <v>30</v>
      </c>
      <c r="Y20" t="s">
        <v>31</v>
      </c>
    </row>
    <row r="21" spans="1:25" x14ac:dyDescent="0.2">
      <c r="A21" t="s">
        <v>306</v>
      </c>
      <c r="B21" t="s">
        <v>47</v>
      </c>
      <c r="C21" t="s">
        <v>24</v>
      </c>
      <c r="D21">
        <v>1.34320196221686E-2</v>
      </c>
      <c r="E21">
        <v>0.47636787423939397</v>
      </c>
      <c r="F21">
        <v>0.92048879178491605</v>
      </c>
      <c r="G21">
        <v>28</v>
      </c>
      <c r="H21">
        <v>-6.9839714511740003E-3</v>
      </c>
      <c r="I21" t="s">
        <v>25</v>
      </c>
      <c r="J21" t="b">
        <v>1</v>
      </c>
      <c r="K21">
        <v>237.40710492765101</v>
      </c>
      <c r="L21">
        <v>237.73142925197499</v>
      </c>
      <c r="M21">
        <v>0</v>
      </c>
      <c r="N21" t="s">
        <v>26</v>
      </c>
      <c r="O21" t="s">
        <v>26</v>
      </c>
      <c r="P21" t="s">
        <v>324</v>
      </c>
      <c r="Q21">
        <f>-0.0260148824280382 - 0.0120469395256901</f>
        <v>-3.80618219537283E-2</v>
      </c>
      <c r="R21" t="s">
        <v>33</v>
      </c>
      <c r="S21" t="s">
        <v>28</v>
      </c>
      <c r="T21" t="s">
        <v>29</v>
      </c>
      <c r="U21" t="s">
        <v>48</v>
      </c>
      <c r="V21">
        <v>3.33246413302522</v>
      </c>
      <c r="W21">
        <v>9.7096484575836996E-3</v>
      </c>
      <c r="X21" t="s">
        <v>30</v>
      </c>
      <c r="Y21" t="s">
        <v>31</v>
      </c>
    </row>
    <row r="22" spans="1:25" x14ac:dyDescent="0.2">
      <c r="A22" t="s">
        <v>306</v>
      </c>
      <c r="B22" t="s">
        <v>81</v>
      </c>
      <c r="C22" t="s">
        <v>24</v>
      </c>
      <c r="D22">
        <v>0.30196004663495501</v>
      </c>
      <c r="E22">
        <v>2.402178713669E-4</v>
      </c>
      <c r="F22">
        <v>4.8844300511269598E-3</v>
      </c>
      <c r="G22">
        <v>42</v>
      </c>
      <c r="H22">
        <v>1.50391245008179E-2</v>
      </c>
      <c r="I22" t="s">
        <v>25</v>
      </c>
      <c r="J22" t="b">
        <v>1</v>
      </c>
      <c r="K22">
        <v>223.56886921332699</v>
      </c>
      <c r="L22">
        <v>223.893193537651</v>
      </c>
      <c r="M22">
        <v>0</v>
      </c>
      <c r="N22" t="s">
        <v>26</v>
      </c>
      <c r="O22" t="s">
        <v>26</v>
      </c>
      <c r="P22" t="s">
        <v>325</v>
      </c>
      <c r="Q22" t="s">
        <v>82</v>
      </c>
      <c r="R22" t="s">
        <v>33</v>
      </c>
      <c r="S22" t="s">
        <v>28</v>
      </c>
      <c r="T22" t="s">
        <v>29</v>
      </c>
      <c r="U22" t="s">
        <v>83</v>
      </c>
      <c r="V22">
        <v>1.7800619685779699</v>
      </c>
      <c r="W22">
        <v>3.7093358324023001E-3</v>
      </c>
      <c r="X22" t="s">
        <v>30</v>
      </c>
      <c r="Y22" t="s">
        <v>31</v>
      </c>
    </row>
    <row r="23" spans="1:25" x14ac:dyDescent="0.2">
      <c r="A23" t="s">
        <v>306</v>
      </c>
      <c r="B23" t="s">
        <v>61</v>
      </c>
      <c r="C23" t="s">
        <v>24</v>
      </c>
      <c r="D23">
        <v>4.1525438786129999E-3</v>
      </c>
      <c r="E23">
        <v>0.67772098829221905</v>
      </c>
      <c r="F23">
        <v>0.92048879178491605</v>
      </c>
      <c r="G23">
        <v>6</v>
      </c>
      <c r="H23">
        <v>-7.4637660273366001E-3</v>
      </c>
      <c r="I23" t="s">
        <v>25</v>
      </c>
      <c r="J23" t="b">
        <v>1</v>
      </c>
      <c r="K23">
        <v>258.27481955800198</v>
      </c>
      <c r="L23">
        <v>258.56750248483098</v>
      </c>
      <c r="M23">
        <v>0</v>
      </c>
      <c r="N23" t="s">
        <v>26</v>
      </c>
      <c r="O23" t="s">
        <v>26</v>
      </c>
      <c r="P23" t="s">
        <v>326</v>
      </c>
      <c r="Q23">
        <f>-0.0424203299638417 - 0.0274927979091685</f>
        <v>-6.9913127873010197E-2</v>
      </c>
      <c r="R23" t="s">
        <v>27</v>
      </c>
      <c r="S23" t="s">
        <v>28</v>
      </c>
      <c r="T23" t="s">
        <v>29</v>
      </c>
      <c r="U23" t="s">
        <v>62</v>
      </c>
      <c r="V23">
        <v>3.4474328197864099</v>
      </c>
      <c r="W23">
        <v>1.7834981600257701E-2</v>
      </c>
      <c r="X23" t="s">
        <v>30</v>
      </c>
      <c r="Y23" t="s">
        <v>31</v>
      </c>
    </row>
    <row r="24" spans="1:25" x14ac:dyDescent="0.2">
      <c r="A24" t="s">
        <v>306</v>
      </c>
      <c r="B24" t="s">
        <v>118</v>
      </c>
      <c r="C24" t="s">
        <v>24</v>
      </c>
      <c r="D24">
        <v>1.8049017506563299E-2</v>
      </c>
      <c r="E24">
        <v>0.40852290152975601</v>
      </c>
      <c r="F24">
        <v>0.92048879178491605</v>
      </c>
      <c r="G24">
        <v>20</v>
      </c>
      <c r="H24">
        <v>-8.8691160122750991E-3</v>
      </c>
      <c r="I24" t="s">
        <v>25</v>
      </c>
      <c r="J24" t="b">
        <v>1</v>
      </c>
      <c r="K24">
        <v>236.94436225627899</v>
      </c>
      <c r="L24">
        <v>237.268686580603</v>
      </c>
      <c r="M24">
        <v>0</v>
      </c>
      <c r="N24" t="s">
        <v>26</v>
      </c>
      <c r="O24" t="s">
        <v>26</v>
      </c>
      <c r="P24" t="s">
        <v>327</v>
      </c>
      <c r="Q24">
        <f>-0.029669087046687 - 0.0119308550221368</f>
        <v>-4.1599942068823802E-2</v>
      </c>
      <c r="R24" t="s">
        <v>32</v>
      </c>
      <c r="S24" t="s">
        <v>28</v>
      </c>
      <c r="T24" t="s">
        <v>29</v>
      </c>
      <c r="U24" t="s">
        <v>119</v>
      </c>
      <c r="V24">
        <v>3.3433881587572101</v>
      </c>
      <c r="W24">
        <v>1.06122301195979E-2</v>
      </c>
      <c r="X24" t="s">
        <v>30</v>
      </c>
      <c r="Y24" t="s">
        <v>31</v>
      </c>
    </row>
    <row r="25" spans="1:25" x14ac:dyDescent="0.2">
      <c r="A25" t="s">
        <v>306</v>
      </c>
      <c r="B25" t="s">
        <v>151</v>
      </c>
      <c r="C25" t="s">
        <v>24</v>
      </c>
      <c r="D25">
        <v>7.478582912943E-4</v>
      </c>
      <c r="E25">
        <v>0.86012887101213498</v>
      </c>
      <c r="F25">
        <v>0.92048879178491605</v>
      </c>
      <c r="G25">
        <v>28</v>
      </c>
      <c r="H25">
        <v>-8.1812030168721007E-3</v>
      </c>
      <c r="I25" t="s">
        <v>25</v>
      </c>
      <c r="J25" t="b">
        <v>1</v>
      </c>
      <c r="K25">
        <v>258.424993826422</v>
      </c>
      <c r="L25">
        <v>258.71767675325202</v>
      </c>
      <c r="M25">
        <v>0</v>
      </c>
      <c r="N25" t="s">
        <v>26</v>
      </c>
      <c r="O25" t="s">
        <v>26</v>
      </c>
      <c r="P25" t="s">
        <v>328</v>
      </c>
      <c r="Q25">
        <f>-0.0986245203780432 - 0.0822621143442989</f>
        <v>-0.18088663472234212</v>
      </c>
      <c r="R25" t="s">
        <v>27</v>
      </c>
      <c r="S25" t="s">
        <v>28</v>
      </c>
      <c r="T25" t="s">
        <v>29</v>
      </c>
      <c r="U25" t="s">
        <v>152</v>
      </c>
      <c r="V25">
        <v>3.1018145997061102</v>
      </c>
      <c r="W25">
        <v>4.61445496740669E-2</v>
      </c>
      <c r="X25" t="s">
        <v>30</v>
      </c>
      <c r="Y25" t="s">
        <v>31</v>
      </c>
    </row>
    <row r="26" spans="1:25" x14ac:dyDescent="0.2">
      <c r="A26" t="s">
        <v>306</v>
      </c>
      <c r="B26" t="s">
        <v>88</v>
      </c>
      <c r="C26" t="s">
        <v>24</v>
      </c>
      <c r="D26">
        <v>1.23375062713634E-2</v>
      </c>
      <c r="E26">
        <v>0.48374519486513601</v>
      </c>
      <c r="F26">
        <v>0.92048879178491605</v>
      </c>
      <c r="G26">
        <v>22</v>
      </c>
      <c r="H26">
        <v>-3.6652777068394999E-3</v>
      </c>
      <c r="I26" t="s">
        <v>25</v>
      </c>
      <c r="J26" t="b">
        <v>1</v>
      </c>
      <c r="K26">
        <v>247.81229231392999</v>
      </c>
      <c r="L26">
        <v>248.11998462162299</v>
      </c>
      <c r="M26">
        <v>0</v>
      </c>
      <c r="N26" t="s">
        <v>26</v>
      </c>
      <c r="O26" t="s">
        <v>26</v>
      </c>
      <c r="P26" t="s">
        <v>329</v>
      </c>
      <c r="Q26">
        <f>-0.0138283156916861 - 0.00649776027800693</f>
        <v>-2.032607596969303E-2</v>
      </c>
      <c r="R26" t="s">
        <v>34</v>
      </c>
      <c r="S26" t="s">
        <v>28</v>
      </c>
      <c r="T26" t="s">
        <v>29</v>
      </c>
      <c r="U26" t="s">
        <v>89</v>
      </c>
      <c r="V26">
        <v>3.19831830195991</v>
      </c>
      <c r="W26">
        <v>5.1852234616563001E-3</v>
      </c>
      <c r="X26" t="s">
        <v>30</v>
      </c>
      <c r="Y26" t="s">
        <v>31</v>
      </c>
    </row>
    <row r="27" spans="1:25" x14ac:dyDescent="0.2">
      <c r="A27" t="s">
        <v>306</v>
      </c>
      <c r="B27" t="s">
        <v>134</v>
      </c>
      <c r="C27" t="s">
        <v>24</v>
      </c>
      <c r="D27">
        <v>4.2408411746187299E-2</v>
      </c>
      <c r="E27">
        <v>0.17988596481653901</v>
      </c>
      <c r="F27">
        <v>0.92048879178491605</v>
      </c>
      <c r="G27">
        <v>6</v>
      </c>
      <c r="H27">
        <v>3.6557016909164297E-2</v>
      </c>
      <c r="I27" t="s">
        <v>25</v>
      </c>
      <c r="J27" t="b">
        <v>1</v>
      </c>
      <c r="K27">
        <v>256.551219906987</v>
      </c>
      <c r="L27">
        <v>256.84390283381703</v>
      </c>
      <c r="M27">
        <v>0</v>
      </c>
      <c r="N27" t="s">
        <v>26</v>
      </c>
      <c r="O27" t="s">
        <v>26</v>
      </c>
      <c r="P27" t="s">
        <v>330</v>
      </c>
      <c r="Q27">
        <f>-0.0159801117172741 - 0.0890941455356027</f>
        <v>-0.10507425725287681</v>
      </c>
      <c r="R27" t="s">
        <v>27</v>
      </c>
      <c r="S27" t="s">
        <v>28</v>
      </c>
      <c r="T27" t="s">
        <v>29</v>
      </c>
      <c r="U27" t="s">
        <v>135</v>
      </c>
      <c r="V27">
        <v>2.77857647129813</v>
      </c>
      <c r="W27">
        <v>2.68046574624685E-2</v>
      </c>
      <c r="X27" t="s">
        <v>30</v>
      </c>
      <c r="Y27" t="s">
        <v>31</v>
      </c>
    </row>
    <row r="28" spans="1:25" x14ac:dyDescent="0.2">
      <c r="A28" t="s">
        <v>306</v>
      </c>
      <c r="B28" t="s">
        <v>124</v>
      </c>
      <c r="C28" t="s">
        <v>24</v>
      </c>
      <c r="D28">
        <v>3.7859719059530103E-2</v>
      </c>
      <c r="E28">
        <v>0.22892891655237599</v>
      </c>
      <c r="F28">
        <v>0.92048879178491605</v>
      </c>
      <c r="G28">
        <v>57</v>
      </c>
      <c r="H28">
        <v>-1.6381503268804401E-2</v>
      </c>
      <c r="I28" t="s">
        <v>25</v>
      </c>
      <c r="J28" t="b">
        <v>1</v>
      </c>
      <c r="K28">
        <v>236.40422606596201</v>
      </c>
      <c r="L28">
        <v>236.72855039028599</v>
      </c>
      <c r="M28">
        <v>0</v>
      </c>
      <c r="N28" t="s">
        <v>26</v>
      </c>
      <c r="O28" t="s">
        <v>26</v>
      </c>
      <c r="P28" t="s">
        <v>331</v>
      </c>
      <c r="Q28">
        <f>-0.0426387104525037 - 0.00987570391489496</f>
        <v>-5.2514414367398655E-2</v>
      </c>
      <c r="R28" t="s">
        <v>33</v>
      </c>
      <c r="S28" t="s">
        <v>28</v>
      </c>
      <c r="T28" t="s">
        <v>29</v>
      </c>
      <c r="U28" t="s">
        <v>125</v>
      </c>
      <c r="V28">
        <v>4.2226371602627601</v>
      </c>
      <c r="W28">
        <v>1.33965342773976E-2</v>
      </c>
      <c r="X28" t="s">
        <v>30</v>
      </c>
      <c r="Y28" t="s">
        <v>31</v>
      </c>
    </row>
    <row r="29" spans="1:25" x14ac:dyDescent="0.2">
      <c r="A29" t="s">
        <v>306</v>
      </c>
      <c r="B29" t="s">
        <v>122</v>
      </c>
      <c r="C29" t="s">
        <v>24</v>
      </c>
      <c r="D29">
        <v>7.1659853697498997E-3</v>
      </c>
      <c r="E29">
        <v>0.60352098206475002</v>
      </c>
      <c r="F29">
        <v>0.92048879178491605</v>
      </c>
      <c r="G29">
        <v>39</v>
      </c>
      <c r="H29">
        <v>-4.2162454436488299E-2</v>
      </c>
      <c r="I29" t="s">
        <v>25</v>
      </c>
      <c r="J29" t="b">
        <v>1</v>
      </c>
      <c r="K29">
        <v>237.38524639632001</v>
      </c>
      <c r="L29">
        <v>237.709570720644</v>
      </c>
      <c r="M29">
        <v>0</v>
      </c>
      <c r="N29" t="s">
        <v>26</v>
      </c>
      <c r="O29" t="s">
        <v>26</v>
      </c>
      <c r="P29" t="s">
        <v>332</v>
      </c>
      <c r="Q29">
        <f>-0.199956468149454 - 0.115631559276477</f>
        <v>-0.31558802742593101</v>
      </c>
      <c r="R29" t="s">
        <v>32</v>
      </c>
      <c r="S29" t="s">
        <v>28</v>
      </c>
      <c r="T29" t="s">
        <v>29</v>
      </c>
      <c r="U29" t="s">
        <v>123</v>
      </c>
      <c r="V29">
        <v>3.3358410515405601</v>
      </c>
      <c r="W29">
        <v>8.0507149853554005E-2</v>
      </c>
      <c r="X29" t="s">
        <v>30</v>
      </c>
      <c r="Y29" t="s">
        <v>31</v>
      </c>
    </row>
    <row r="30" spans="1:25" x14ac:dyDescent="0.2">
      <c r="A30" t="s">
        <v>306</v>
      </c>
      <c r="B30" t="s">
        <v>90</v>
      </c>
      <c r="C30" t="s">
        <v>24</v>
      </c>
      <c r="D30">
        <v>0.27929697370127199</v>
      </c>
      <c r="E30">
        <v>2.264428256295E-4</v>
      </c>
      <c r="F30">
        <v>4.8844300511269598E-3</v>
      </c>
      <c r="G30">
        <v>31</v>
      </c>
      <c r="H30">
        <v>3.5295602659497202E-2</v>
      </c>
      <c r="I30" t="s">
        <v>25</v>
      </c>
      <c r="J30" t="b">
        <v>1</v>
      </c>
      <c r="K30">
        <v>244.04667471198701</v>
      </c>
      <c r="L30">
        <v>244.33935763881601</v>
      </c>
      <c r="M30">
        <v>0</v>
      </c>
      <c r="N30" t="s">
        <v>26</v>
      </c>
      <c r="O30" t="s">
        <v>26</v>
      </c>
      <c r="P30" t="s">
        <v>333</v>
      </c>
      <c r="Q30" t="s">
        <v>91</v>
      </c>
      <c r="R30" t="s">
        <v>27</v>
      </c>
      <c r="S30" t="s">
        <v>28</v>
      </c>
      <c r="T30" t="s">
        <v>29</v>
      </c>
      <c r="U30" t="s">
        <v>92</v>
      </c>
      <c r="V30">
        <v>1.5627951698466001</v>
      </c>
      <c r="W30">
        <v>8.7486494352941001E-3</v>
      </c>
      <c r="X30" t="s">
        <v>30</v>
      </c>
      <c r="Y30" t="s">
        <v>31</v>
      </c>
    </row>
    <row r="31" spans="1:25" x14ac:dyDescent="0.2">
      <c r="A31" t="s">
        <v>306</v>
      </c>
      <c r="B31" t="s">
        <v>166</v>
      </c>
      <c r="C31" t="s">
        <v>24</v>
      </c>
      <c r="D31">
        <v>3.99834951449703E-2</v>
      </c>
      <c r="E31">
        <v>0.20421255906630201</v>
      </c>
      <c r="F31">
        <v>0.92048879178491605</v>
      </c>
      <c r="G31">
        <v>4</v>
      </c>
      <c r="H31">
        <v>2.5012818142039699E-2</v>
      </c>
      <c r="I31" t="s">
        <v>25</v>
      </c>
      <c r="J31" t="b">
        <v>1</v>
      </c>
      <c r="K31">
        <v>246.61988892084699</v>
      </c>
      <c r="L31">
        <v>246.927581228539</v>
      </c>
      <c r="M31">
        <v>0</v>
      </c>
      <c r="N31" t="s">
        <v>26</v>
      </c>
      <c r="O31" t="s">
        <v>26</v>
      </c>
      <c r="P31" t="s">
        <v>334</v>
      </c>
      <c r="Q31">
        <f>-0.0129700427938124 - 0.0629956790778919</f>
        <v>-7.5965721871704306E-2</v>
      </c>
      <c r="R31" t="s">
        <v>34</v>
      </c>
      <c r="S31" t="s">
        <v>28</v>
      </c>
      <c r="T31" t="s">
        <v>29</v>
      </c>
      <c r="U31" t="s">
        <v>167</v>
      </c>
      <c r="V31">
        <v>2.8932354494176602</v>
      </c>
      <c r="W31">
        <v>1.9379010681557202E-2</v>
      </c>
      <c r="X31" t="s">
        <v>30</v>
      </c>
      <c r="Y31" t="s">
        <v>31</v>
      </c>
    </row>
    <row r="32" spans="1:25" x14ac:dyDescent="0.2">
      <c r="A32" t="s">
        <v>306</v>
      </c>
      <c r="B32" t="s">
        <v>105</v>
      </c>
      <c r="C32" t="s">
        <v>24</v>
      </c>
      <c r="D32">
        <v>1.25530871260133E-2</v>
      </c>
      <c r="E32">
        <v>0.49125830088343603</v>
      </c>
      <c r="F32">
        <v>0.92048879178491605</v>
      </c>
      <c r="G32">
        <v>47</v>
      </c>
      <c r="H32">
        <v>-2.2669102967211599E-2</v>
      </c>
      <c r="I32" t="s">
        <v>25</v>
      </c>
      <c r="J32" t="b">
        <v>1</v>
      </c>
      <c r="K32">
        <v>237.16761606032301</v>
      </c>
      <c r="L32">
        <v>237.49194038464699</v>
      </c>
      <c r="M32">
        <v>0</v>
      </c>
      <c r="N32" t="s">
        <v>26</v>
      </c>
      <c r="O32" t="s">
        <v>26</v>
      </c>
      <c r="P32" t="s">
        <v>335</v>
      </c>
      <c r="Q32">
        <f>-0.0865954980916631 - 0.0412572921572398</f>
        <v>-0.12785279024890289</v>
      </c>
      <c r="R32" t="s">
        <v>32</v>
      </c>
      <c r="S32" t="s">
        <v>28</v>
      </c>
      <c r="T32" t="s">
        <v>29</v>
      </c>
      <c r="U32" t="s">
        <v>106</v>
      </c>
      <c r="V32">
        <v>3.2924005485686001</v>
      </c>
      <c r="W32">
        <v>3.2615507716556899E-2</v>
      </c>
      <c r="X32" t="s">
        <v>30</v>
      </c>
      <c r="Y32" t="s">
        <v>31</v>
      </c>
    </row>
    <row r="33" spans="1:25" x14ac:dyDescent="0.2">
      <c r="A33" t="s">
        <v>306</v>
      </c>
      <c r="B33" t="s">
        <v>155</v>
      </c>
      <c r="C33" t="s">
        <v>24</v>
      </c>
      <c r="D33">
        <v>9.7783946579963008E-3</v>
      </c>
      <c r="E33">
        <v>0.52307089742978197</v>
      </c>
      <c r="F33">
        <v>0.92048879178491605</v>
      </c>
      <c r="G33">
        <v>20</v>
      </c>
      <c r="H33">
        <v>-2.0169477507459E-2</v>
      </c>
      <c r="I33" t="s">
        <v>25</v>
      </c>
      <c r="J33" t="b">
        <v>1</v>
      </c>
      <c r="K33">
        <v>258.02554514839102</v>
      </c>
      <c r="L33">
        <v>258.31822807522002</v>
      </c>
      <c r="M33">
        <v>0</v>
      </c>
      <c r="N33" t="s">
        <v>26</v>
      </c>
      <c r="O33" t="s">
        <v>26</v>
      </c>
      <c r="P33" t="s">
        <v>336</v>
      </c>
      <c r="Q33">
        <f>-0.0815539449336106 - 0.0412149899186926</f>
        <v>-0.1227689348523032</v>
      </c>
      <c r="R33" t="s">
        <v>27</v>
      </c>
      <c r="S33" t="s">
        <v>28</v>
      </c>
      <c r="T33" t="s">
        <v>29</v>
      </c>
      <c r="U33" t="s">
        <v>156</v>
      </c>
      <c r="V33">
        <v>3.3704627253333199</v>
      </c>
      <c r="W33">
        <v>3.1318605829669201E-2</v>
      </c>
      <c r="X33" t="s">
        <v>30</v>
      </c>
      <c r="Y33" t="s">
        <v>31</v>
      </c>
    </row>
    <row r="34" spans="1:25" x14ac:dyDescent="0.2">
      <c r="A34" t="s">
        <v>306</v>
      </c>
      <c r="B34" t="s">
        <v>149</v>
      </c>
      <c r="C34" t="s">
        <v>24</v>
      </c>
      <c r="D34">
        <v>8.4437330014560004E-3</v>
      </c>
      <c r="E34">
        <v>0.57280263126641795</v>
      </c>
      <c r="F34">
        <v>0.92048879178491605</v>
      </c>
      <c r="G34">
        <v>22</v>
      </c>
      <c r="H34">
        <v>4.0084114431302E-3</v>
      </c>
      <c r="I34" t="s">
        <v>25</v>
      </c>
      <c r="J34" t="b">
        <v>1</v>
      </c>
      <c r="K34">
        <v>237.33373444042601</v>
      </c>
      <c r="L34">
        <v>237.65805876475</v>
      </c>
      <c r="M34">
        <v>0</v>
      </c>
      <c r="N34" t="s">
        <v>26</v>
      </c>
      <c r="O34" t="s">
        <v>26</v>
      </c>
      <c r="P34" t="s">
        <v>337</v>
      </c>
      <c r="Q34">
        <f>-0.00980268004594904 - 0.0178195029322095</f>
        <v>-2.7622182978158542E-2</v>
      </c>
      <c r="R34" t="s">
        <v>32</v>
      </c>
      <c r="S34" t="s">
        <v>28</v>
      </c>
      <c r="T34" t="s">
        <v>29</v>
      </c>
      <c r="U34" t="s">
        <v>150</v>
      </c>
      <c r="V34">
        <v>3.0886749328710601</v>
      </c>
      <c r="W34">
        <v>7.0464752495302003E-3</v>
      </c>
      <c r="X34" t="s">
        <v>30</v>
      </c>
      <c r="Y34" t="s">
        <v>31</v>
      </c>
    </row>
    <row r="35" spans="1:25" x14ac:dyDescent="0.2">
      <c r="A35" t="s">
        <v>306</v>
      </c>
      <c r="B35" t="s">
        <v>153</v>
      </c>
      <c r="C35" t="s">
        <v>24</v>
      </c>
      <c r="D35">
        <v>3.1519472964982698E-2</v>
      </c>
      <c r="E35">
        <v>0.273090297140335</v>
      </c>
      <c r="F35">
        <v>0.92048879178491605</v>
      </c>
      <c r="G35">
        <v>32</v>
      </c>
      <c r="H35">
        <v>-3.2038349814476397E-2</v>
      </c>
      <c r="I35" t="s">
        <v>25</v>
      </c>
      <c r="J35" t="b">
        <v>1</v>
      </c>
      <c r="K35">
        <v>236.66695063047899</v>
      </c>
      <c r="L35">
        <v>236.991274954803</v>
      </c>
      <c r="M35">
        <v>0</v>
      </c>
      <c r="N35" t="s">
        <v>26</v>
      </c>
      <c r="O35" t="s">
        <v>26</v>
      </c>
      <c r="P35" t="s">
        <v>338</v>
      </c>
      <c r="Q35">
        <f>-0.0885047868233809 - 0.024428087194428</f>
        <v>-0.1129328740178089</v>
      </c>
      <c r="R35" t="s">
        <v>33</v>
      </c>
      <c r="S35" t="s">
        <v>28</v>
      </c>
      <c r="T35" t="s">
        <v>29</v>
      </c>
      <c r="U35" t="s">
        <v>154</v>
      </c>
      <c r="V35">
        <v>3.8034375732337899</v>
      </c>
      <c r="W35">
        <v>2.8809406637196201E-2</v>
      </c>
      <c r="X35" t="s">
        <v>30</v>
      </c>
      <c r="Y35" t="s">
        <v>31</v>
      </c>
    </row>
    <row r="36" spans="1:25" x14ac:dyDescent="0.2">
      <c r="A36" t="s">
        <v>306</v>
      </c>
      <c r="B36" t="s">
        <v>65</v>
      </c>
      <c r="C36" t="s">
        <v>24</v>
      </c>
      <c r="D36">
        <v>5.8178405023584998E-3</v>
      </c>
      <c r="E36">
        <v>0.62264719791375001</v>
      </c>
      <c r="F36">
        <v>0.92048879178491605</v>
      </c>
      <c r="G36">
        <v>8</v>
      </c>
      <c r="H36">
        <v>-1.05397455107591E-2</v>
      </c>
      <c r="I36" t="s">
        <v>25</v>
      </c>
      <c r="J36" t="b">
        <v>1</v>
      </c>
      <c r="K36">
        <v>258.20117937900801</v>
      </c>
      <c r="L36">
        <v>258.49386230583701</v>
      </c>
      <c r="M36">
        <v>0</v>
      </c>
      <c r="N36" t="s">
        <v>26</v>
      </c>
      <c r="O36" t="s">
        <v>26</v>
      </c>
      <c r="P36" t="s">
        <v>339</v>
      </c>
      <c r="Q36">
        <f>-0.0522087982901878 - 0.0311293072686695</f>
        <v>-8.3338105558857289E-2</v>
      </c>
      <c r="R36" t="s">
        <v>27</v>
      </c>
      <c r="S36" t="s">
        <v>28</v>
      </c>
      <c r="T36" t="s">
        <v>29</v>
      </c>
      <c r="U36" t="s">
        <v>66</v>
      </c>
      <c r="V36">
        <v>3.1599519600325299</v>
      </c>
      <c r="W36">
        <v>2.1259720805830998E-2</v>
      </c>
      <c r="X36" t="s">
        <v>30</v>
      </c>
      <c r="Y36" t="s">
        <v>31</v>
      </c>
    </row>
    <row r="37" spans="1:25" x14ac:dyDescent="0.2">
      <c r="A37" t="s">
        <v>306</v>
      </c>
      <c r="B37" t="s">
        <v>63</v>
      </c>
      <c r="C37" t="s">
        <v>24</v>
      </c>
      <c r="D37">
        <v>1.37297668802714E-2</v>
      </c>
      <c r="E37">
        <v>0.47148759866970302</v>
      </c>
      <c r="F37">
        <v>0.92048879178491605</v>
      </c>
      <c r="G37">
        <v>34</v>
      </c>
      <c r="H37">
        <v>-1.8188128729729799E-2</v>
      </c>
      <c r="I37" t="s">
        <v>25</v>
      </c>
      <c r="J37" t="b">
        <v>1</v>
      </c>
      <c r="K37">
        <v>237.39503106337401</v>
      </c>
      <c r="L37">
        <v>237.71935538769799</v>
      </c>
      <c r="M37">
        <v>0</v>
      </c>
      <c r="N37" t="s">
        <v>26</v>
      </c>
      <c r="O37" t="s">
        <v>26</v>
      </c>
      <c r="P37" t="s">
        <v>340</v>
      </c>
      <c r="Q37">
        <f>-0.0672019625061873 - 0.0308257050467277</f>
        <v>-9.8027667552915004E-2</v>
      </c>
      <c r="R37" t="s">
        <v>33</v>
      </c>
      <c r="S37" t="s">
        <v>28</v>
      </c>
      <c r="T37" t="s">
        <v>29</v>
      </c>
      <c r="U37" t="s">
        <v>64</v>
      </c>
      <c r="V37">
        <v>3.4245020493760299</v>
      </c>
      <c r="W37">
        <v>2.5007058049213E-2</v>
      </c>
      <c r="X37" t="s">
        <v>30</v>
      </c>
      <c r="Y37" t="s">
        <v>31</v>
      </c>
    </row>
    <row r="38" spans="1:25" x14ac:dyDescent="0.2">
      <c r="A38" t="s">
        <v>306</v>
      </c>
      <c r="B38" t="s">
        <v>130</v>
      </c>
      <c r="C38" t="s">
        <v>24</v>
      </c>
      <c r="D38">
        <v>8.0396736466609999E-4</v>
      </c>
      <c r="E38">
        <v>0.85852886416056096</v>
      </c>
      <c r="F38">
        <v>0.92048879178491605</v>
      </c>
      <c r="G38">
        <v>57</v>
      </c>
      <c r="H38">
        <v>-1.52337278220494E-2</v>
      </c>
      <c r="I38" t="s">
        <v>25</v>
      </c>
      <c r="J38" t="b">
        <v>1</v>
      </c>
      <c r="K38">
        <v>248.29991039926799</v>
      </c>
      <c r="L38">
        <v>248.60760270695999</v>
      </c>
      <c r="M38">
        <v>0</v>
      </c>
      <c r="N38" t="s">
        <v>26</v>
      </c>
      <c r="O38" t="s">
        <v>26</v>
      </c>
      <c r="P38" t="s">
        <v>341</v>
      </c>
      <c r="Q38">
        <f>-0.181666331797618 - 0.15119887615352</f>
        <v>-0.33286520795113805</v>
      </c>
      <c r="R38" t="s">
        <v>34</v>
      </c>
      <c r="S38" t="s">
        <v>28</v>
      </c>
      <c r="T38" t="s">
        <v>29</v>
      </c>
      <c r="U38" t="s">
        <v>131</v>
      </c>
      <c r="V38">
        <v>3.1635964396099698</v>
      </c>
      <c r="W38">
        <v>8.4914593865086194E-2</v>
      </c>
      <c r="X38" t="s">
        <v>30</v>
      </c>
      <c r="Y38" t="s">
        <v>31</v>
      </c>
    </row>
    <row r="39" spans="1:25" x14ac:dyDescent="0.2">
      <c r="A39" t="s">
        <v>306</v>
      </c>
      <c r="B39" t="s">
        <v>113</v>
      </c>
      <c r="C39" t="s">
        <v>24</v>
      </c>
      <c r="D39">
        <v>3.3406237579094002E-3</v>
      </c>
      <c r="E39">
        <v>0.71617559608263204</v>
      </c>
      <c r="F39">
        <v>0.92048879178491605</v>
      </c>
      <c r="G39">
        <v>19</v>
      </c>
      <c r="H39">
        <v>4.5551990273831004E-3</v>
      </c>
      <c r="I39" t="s">
        <v>25</v>
      </c>
      <c r="J39" t="b">
        <v>1</v>
      </c>
      <c r="K39">
        <v>248.19314953331701</v>
      </c>
      <c r="L39">
        <v>248.50084184100899</v>
      </c>
      <c r="M39">
        <v>0</v>
      </c>
      <c r="N39" t="s">
        <v>26</v>
      </c>
      <c r="O39" t="s">
        <v>26</v>
      </c>
      <c r="P39" t="s">
        <v>342</v>
      </c>
      <c r="Q39">
        <f>-0.0198281316516723 - 0.0289385297064385</f>
        <v>-4.8766661358110794E-2</v>
      </c>
      <c r="R39" t="s">
        <v>34</v>
      </c>
      <c r="S39" t="s">
        <v>28</v>
      </c>
      <c r="T39" t="s">
        <v>29</v>
      </c>
      <c r="U39" t="s">
        <v>114</v>
      </c>
      <c r="V39">
        <v>2.9435234379626798</v>
      </c>
      <c r="W39">
        <v>1.24404748362528E-2</v>
      </c>
      <c r="X39" t="s">
        <v>30</v>
      </c>
      <c r="Y39" t="s">
        <v>31</v>
      </c>
    </row>
    <row r="40" spans="1:25" x14ac:dyDescent="0.2">
      <c r="A40" t="s">
        <v>306</v>
      </c>
      <c r="B40" t="s">
        <v>69</v>
      </c>
      <c r="C40" t="s">
        <v>24</v>
      </c>
      <c r="D40">
        <v>8.8813604831515999E-3</v>
      </c>
      <c r="E40">
        <v>0.55275068843545305</v>
      </c>
      <c r="F40">
        <v>0.92048879178491605</v>
      </c>
      <c r="G40">
        <v>46</v>
      </c>
      <c r="H40">
        <v>1.0802018823555E-2</v>
      </c>
      <c r="I40" t="s">
        <v>25</v>
      </c>
      <c r="J40" t="b">
        <v>1</v>
      </c>
      <c r="K40">
        <v>247.95900714587799</v>
      </c>
      <c r="L40">
        <v>248.26669945357</v>
      </c>
      <c r="M40">
        <v>0</v>
      </c>
      <c r="N40" t="s">
        <v>26</v>
      </c>
      <c r="O40" t="s">
        <v>26</v>
      </c>
      <c r="P40" t="s">
        <v>343</v>
      </c>
      <c r="Q40">
        <f>-0.0245613864672362 - 0.0461654241143462</f>
        <v>-7.0726810581582394E-2</v>
      </c>
      <c r="R40" t="s">
        <v>34</v>
      </c>
      <c r="S40" t="s">
        <v>28</v>
      </c>
      <c r="T40" t="s">
        <v>29</v>
      </c>
      <c r="U40" t="s">
        <v>70</v>
      </c>
      <c r="V40">
        <v>3.0529236136855702</v>
      </c>
      <c r="W40">
        <v>1.8042553719791399E-2</v>
      </c>
      <c r="X40" t="s">
        <v>30</v>
      </c>
      <c r="Y40" t="s">
        <v>31</v>
      </c>
    </row>
    <row r="41" spans="1:25" x14ac:dyDescent="0.2">
      <c r="A41" t="s">
        <v>306</v>
      </c>
      <c r="B41" t="s">
        <v>86</v>
      </c>
      <c r="C41" t="s">
        <v>24</v>
      </c>
      <c r="D41">
        <v>4.4166586022754702E-2</v>
      </c>
      <c r="E41">
        <v>0.19305194800799699</v>
      </c>
      <c r="F41">
        <v>0.92048879178491605</v>
      </c>
      <c r="G41">
        <v>13</v>
      </c>
      <c r="H41">
        <v>-1.8751971703260401E-2</v>
      </c>
      <c r="I41" t="s">
        <v>25</v>
      </c>
      <c r="J41" t="b">
        <v>1</v>
      </c>
      <c r="K41">
        <v>236.141161365464</v>
      </c>
      <c r="L41">
        <v>236.46548568978801</v>
      </c>
      <c r="M41">
        <v>0</v>
      </c>
      <c r="N41" t="s">
        <v>26</v>
      </c>
      <c r="O41" t="s">
        <v>26</v>
      </c>
      <c r="P41" t="s">
        <v>344</v>
      </c>
      <c r="Q41">
        <f>-0.0464887107753282 - 0.0089847673688074</f>
        <v>-5.5473478144135599E-2</v>
      </c>
      <c r="R41" t="s">
        <v>33</v>
      </c>
      <c r="S41" t="s">
        <v>28</v>
      </c>
      <c r="T41" t="s">
        <v>29</v>
      </c>
      <c r="U41" t="s">
        <v>87</v>
      </c>
      <c r="V41">
        <v>4.1966654575976099</v>
      </c>
      <c r="W41">
        <v>1.4151397485748901E-2</v>
      </c>
      <c r="X41" t="s">
        <v>30</v>
      </c>
      <c r="Y41" t="s">
        <v>31</v>
      </c>
    </row>
    <row r="42" spans="1:25" x14ac:dyDescent="0.2">
      <c r="A42" t="s">
        <v>306</v>
      </c>
      <c r="B42" t="s">
        <v>170</v>
      </c>
      <c r="C42" t="s">
        <v>24</v>
      </c>
      <c r="D42">
        <v>1.3814151110382001E-3</v>
      </c>
      <c r="E42">
        <v>0.81988583009893801</v>
      </c>
      <c r="F42">
        <v>0.92048879178491605</v>
      </c>
      <c r="G42">
        <v>51</v>
      </c>
      <c r="H42">
        <v>2.3042337087939E-3</v>
      </c>
      <c r="I42" t="s">
        <v>25</v>
      </c>
      <c r="J42" t="b">
        <v>1</v>
      </c>
      <c r="K42">
        <v>237.61762296521701</v>
      </c>
      <c r="L42">
        <v>237.94194728954099</v>
      </c>
      <c r="M42">
        <v>0</v>
      </c>
      <c r="N42" t="s">
        <v>26</v>
      </c>
      <c r="O42" t="s">
        <v>26</v>
      </c>
      <c r="P42" t="s">
        <v>345</v>
      </c>
      <c r="Q42">
        <f>-0.0173940559637879 - 0.0220025233813759</f>
        <v>-3.9396579345163801E-2</v>
      </c>
      <c r="R42" t="s">
        <v>32</v>
      </c>
      <c r="S42" t="s">
        <v>28</v>
      </c>
      <c r="T42" t="s">
        <v>29</v>
      </c>
      <c r="U42" t="s">
        <v>171</v>
      </c>
      <c r="V42">
        <v>2.9181786281881501</v>
      </c>
      <c r="W42">
        <v>1.0050147792133601E-2</v>
      </c>
      <c r="X42" t="s">
        <v>30</v>
      </c>
      <c r="Y42" t="s">
        <v>31</v>
      </c>
    </row>
    <row r="43" spans="1:25" x14ac:dyDescent="0.2">
      <c r="A43" t="s">
        <v>306</v>
      </c>
      <c r="B43" t="s">
        <v>164</v>
      </c>
      <c r="C43" t="s">
        <v>24</v>
      </c>
      <c r="D43" s="1">
        <v>9.1407126435792501E-5</v>
      </c>
      <c r="E43">
        <v>0.952082443851751</v>
      </c>
      <c r="F43">
        <v>0.96795048458261301</v>
      </c>
      <c r="G43">
        <v>66</v>
      </c>
      <c r="H43">
        <v>-1.6294155509558E-3</v>
      </c>
      <c r="I43" t="s">
        <v>25</v>
      </c>
      <c r="J43" t="b">
        <v>1</v>
      </c>
      <c r="K43">
        <v>248.32985133471601</v>
      </c>
      <c r="L43">
        <v>248.63754364240799</v>
      </c>
      <c r="M43">
        <v>0</v>
      </c>
      <c r="N43" t="s">
        <v>26</v>
      </c>
      <c r="O43" t="s">
        <v>26</v>
      </c>
      <c r="P43" t="s">
        <v>346</v>
      </c>
      <c r="Q43">
        <f>-0.0544432931636631 - 0.0511844620617515</f>
        <v>-0.10562775522541459</v>
      </c>
      <c r="R43" t="s">
        <v>34</v>
      </c>
      <c r="S43" t="s">
        <v>28</v>
      </c>
      <c r="T43" t="s">
        <v>29</v>
      </c>
      <c r="U43" t="s">
        <v>165</v>
      </c>
      <c r="V43">
        <v>3.15495583920019</v>
      </c>
      <c r="W43">
        <v>2.6945855924850701E-2</v>
      </c>
      <c r="X43" t="s">
        <v>30</v>
      </c>
      <c r="Y43" t="s">
        <v>31</v>
      </c>
    </row>
    <row r="44" spans="1:25" x14ac:dyDescent="0.2">
      <c r="A44" t="s">
        <v>306</v>
      </c>
      <c r="B44" t="s">
        <v>157</v>
      </c>
      <c r="C44" t="s">
        <v>24</v>
      </c>
      <c r="D44">
        <v>5.1734639986086997E-3</v>
      </c>
      <c r="E44">
        <v>0.65079460910703602</v>
      </c>
      <c r="F44">
        <v>0.92048879178491605</v>
      </c>
      <c r="G44">
        <v>67</v>
      </c>
      <c r="H44">
        <v>-5.8525351649429003E-3</v>
      </c>
      <c r="I44" t="s">
        <v>25</v>
      </c>
      <c r="J44" t="b">
        <v>1</v>
      </c>
      <c r="K44">
        <v>248.115841116149</v>
      </c>
      <c r="L44">
        <v>248.42353342384101</v>
      </c>
      <c r="M44">
        <v>0</v>
      </c>
      <c r="N44" t="s">
        <v>26</v>
      </c>
      <c r="O44" t="s">
        <v>26</v>
      </c>
      <c r="P44" t="s">
        <v>347</v>
      </c>
      <c r="Q44">
        <f>-0.0310034086412296 - 0.0192983383113437</f>
        <v>-5.0301746952573299E-2</v>
      </c>
      <c r="R44" t="s">
        <v>34</v>
      </c>
      <c r="S44" t="s">
        <v>28</v>
      </c>
      <c r="T44" t="s">
        <v>29</v>
      </c>
      <c r="U44" t="s">
        <v>158</v>
      </c>
      <c r="V44">
        <v>3.20883339793536</v>
      </c>
      <c r="W44">
        <v>1.28320783042279E-2</v>
      </c>
      <c r="X44" t="s">
        <v>30</v>
      </c>
      <c r="Y44" t="s">
        <v>31</v>
      </c>
    </row>
    <row r="45" spans="1:25" x14ac:dyDescent="0.2">
      <c r="A45" t="s">
        <v>306</v>
      </c>
      <c r="B45" t="s">
        <v>51</v>
      </c>
      <c r="C45" t="s">
        <v>24</v>
      </c>
      <c r="D45">
        <v>1.1458418236672001E-3</v>
      </c>
      <c r="E45">
        <v>0.82732334032742005</v>
      </c>
      <c r="F45">
        <v>0.92048879178491605</v>
      </c>
      <c r="G45">
        <v>49</v>
      </c>
      <c r="H45">
        <v>-1.6568848474765999E-3</v>
      </c>
      <c r="I45" t="s">
        <v>25</v>
      </c>
      <c r="J45" t="b">
        <v>1</v>
      </c>
      <c r="K45">
        <v>258.40746595450003</v>
      </c>
      <c r="L45">
        <v>258.70014888132903</v>
      </c>
      <c r="M45">
        <v>0</v>
      </c>
      <c r="N45" t="s">
        <v>26</v>
      </c>
      <c r="O45" t="s">
        <v>26</v>
      </c>
      <c r="P45" t="s">
        <v>348</v>
      </c>
      <c r="Q45">
        <f>-0.01645179929954 - 0.0131380296045866</f>
        <v>-2.9589828904126599E-2</v>
      </c>
      <c r="R45" t="s">
        <v>27</v>
      </c>
      <c r="S45" t="s">
        <v>28</v>
      </c>
      <c r="T45" t="s">
        <v>29</v>
      </c>
      <c r="U45" t="s">
        <v>52</v>
      </c>
      <c r="V45">
        <v>3.0897784431092199</v>
      </c>
      <c r="W45">
        <v>7.5484257408485996E-3</v>
      </c>
      <c r="X45" t="s">
        <v>30</v>
      </c>
      <c r="Y45" t="s">
        <v>31</v>
      </c>
    </row>
    <row r="46" spans="1:25" x14ac:dyDescent="0.2">
      <c r="A46" t="s">
        <v>306</v>
      </c>
      <c r="B46" t="s">
        <v>67</v>
      </c>
      <c r="C46" t="s">
        <v>24</v>
      </c>
      <c r="D46">
        <v>1.39111877549977E-2</v>
      </c>
      <c r="E46">
        <v>0.468552777186028</v>
      </c>
      <c r="F46">
        <v>0.92048879178491605</v>
      </c>
      <c r="G46">
        <v>10</v>
      </c>
      <c r="H46">
        <v>-1.18251294588116E-2</v>
      </c>
      <c r="I46" t="s">
        <v>25</v>
      </c>
      <c r="J46" t="b">
        <v>1</v>
      </c>
      <c r="K46">
        <v>237.38767252992</v>
      </c>
      <c r="L46">
        <v>237.71199685424401</v>
      </c>
      <c r="M46">
        <v>0</v>
      </c>
      <c r="N46" t="s">
        <v>26</v>
      </c>
      <c r="O46" t="s">
        <v>26</v>
      </c>
      <c r="P46" t="s">
        <v>349</v>
      </c>
      <c r="Q46">
        <f>-0.0434804041643472 - 0.0198301452467241</f>
        <v>-6.331054941107131E-2</v>
      </c>
      <c r="R46" t="s">
        <v>33</v>
      </c>
      <c r="S46" t="s">
        <v>28</v>
      </c>
      <c r="T46" t="s">
        <v>29</v>
      </c>
      <c r="U46" t="s">
        <v>68</v>
      </c>
      <c r="V46">
        <v>3.33670527425123</v>
      </c>
      <c r="W46">
        <v>1.6150650359967201E-2</v>
      </c>
      <c r="X46" t="s">
        <v>30</v>
      </c>
      <c r="Y46" t="s">
        <v>31</v>
      </c>
    </row>
    <row r="47" spans="1:25" x14ac:dyDescent="0.2">
      <c r="A47" t="s">
        <v>306</v>
      </c>
      <c r="B47" t="s">
        <v>136</v>
      </c>
      <c r="C47" t="s">
        <v>24</v>
      </c>
      <c r="D47">
        <v>7.3475834191830004E-3</v>
      </c>
      <c r="E47">
        <v>0.59895263659965503</v>
      </c>
      <c r="F47">
        <v>0.92048879178491605</v>
      </c>
      <c r="G47">
        <v>57</v>
      </c>
      <c r="H47">
        <v>6.0586647117318003E-3</v>
      </c>
      <c r="I47" t="s">
        <v>25</v>
      </c>
      <c r="J47" t="b">
        <v>1</v>
      </c>
      <c r="K47">
        <v>237.377929376286</v>
      </c>
      <c r="L47">
        <v>237.70225370060999</v>
      </c>
      <c r="M47">
        <v>0</v>
      </c>
      <c r="N47" t="s">
        <v>26</v>
      </c>
      <c r="O47" t="s">
        <v>26</v>
      </c>
      <c r="P47" t="s">
        <v>350</v>
      </c>
      <c r="Q47">
        <f>-0.0163320280948539 - 0.0284493575183176</f>
        <v>-4.47813856131715E-2</v>
      </c>
      <c r="R47" t="s">
        <v>32</v>
      </c>
      <c r="S47" t="s">
        <v>28</v>
      </c>
      <c r="T47" t="s">
        <v>29</v>
      </c>
      <c r="U47" t="s">
        <v>137</v>
      </c>
      <c r="V47">
        <v>2.6423393782703801</v>
      </c>
      <c r="W47">
        <v>1.1423822860503001E-2</v>
      </c>
      <c r="X47" t="s">
        <v>30</v>
      </c>
      <c r="Y47" t="s">
        <v>31</v>
      </c>
    </row>
    <row r="48" spans="1:25" x14ac:dyDescent="0.2">
      <c r="A48" t="s">
        <v>306</v>
      </c>
      <c r="B48" t="s">
        <v>49</v>
      </c>
      <c r="C48" t="s">
        <v>24</v>
      </c>
      <c r="D48">
        <v>1.929949537488E-4</v>
      </c>
      <c r="E48">
        <v>0.93219756835939205</v>
      </c>
      <c r="F48">
        <v>0.96379748593089598</v>
      </c>
      <c r="G48">
        <v>45</v>
      </c>
      <c r="H48">
        <v>2.9656500835895001E-3</v>
      </c>
      <c r="I48" t="s">
        <v>25</v>
      </c>
      <c r="J48" t="b">
        <v>1</v>
      </c>
      <c r="K48">
        <v>237.66519722781101</v>
      </c>
      <c r="L48">
        <v>237.98952155213499</v>
      </c>
      <c r="M48">
        <v>0</v>
      </c>
      <c r="N48" t="s">
        <v>26</v>
      </c>
      <c r="O48" t="s">
        <v>26</v>
      </c>
      <c r="P48" t="s">
        <v>351</v>
      </c>
      <c r="Q48">
        <f>-0.0649030125279947 - 0.0708343126951738</f>
        <v>-0.1357373252231685</v>
      </c>
      <c r="R48" t="s">
        <v>32</v>
      </c>
      <c r="S48" t="s">
        <v>28</v>
      </c>
      <c r="T48" t="s">
        <v>29</v>
      </c>
      <c r="U48" t="s">
        <v>50</v>
      </c>
      <c r="V48">
        <v>3.1732028101517602</v>
      </c>
      <c r="W48">
        <v>3.4626868679379703E-2</v>
      </c>
      <c r="X48" t="s">
        <v>30</v>
      </c>
      <c r="Y48" t="s">
        <v>31</v>
      </c>
    </row>
    <row r="49" spans="1:25" x14ac:dyDescent="0.2">
      <c r="A49" t="s">
        <v>306</v>
      </c>
      <c r="B49" t="s">
        <v>109</v>
      </c>
      <c r="C49" t="s">
        <v>24</v>
      </c>
      <c r="D49">
        <v>1.16924974378962E-2</v>
      </c>
      <c r="E49">
        <v>0.48475865060837098</v>
      </c>
      <c r="F49">
        <v>0.92048879178491605</v>
      </c>
      <c r="G49">
        <v>12</v>
      </c>
      <c r="H49">
        <v>-6.9754053150953999E-3</v>
      </c>
      <c r="I49" t="s">
        <v>25</v>
      </c>
      <c r="J49" t="b">
        <v>1</v>
      </c>
      <c r="K49">
        <v>257.94041064291002</v>
      </c>
      <c r="L49">
        <v>258.23309356973903</v>
      </c>
      <c r="M49">
        <v>0</v>
      </c>
      <c r="N49" t="s">
        <v>26</v>
      </c>
      <c r="O49" t="s">
        <v>26</v>
      </c>
      <c r="P49" t="s">
        <v>352</v>
      </c>
      <c r="Q49">
        <f>-0.026370561378352 - 0.0124197507481611</f>
        <v>-3.8790312126513099E-2</v>
      </c>
      <c r="R49" t="s">
        <v>27</v>
      </c>
      <c r="S49" t="s">
        <v>28</v>
      </c>
      <c r="T49" t="s">
        <v>29</v>
      </c>
      <c r="U49" t="s">
        <v>110</v>
      </c>
      <c r="V49">
        <v>3.13864829303495</v>
      </c>
      <c r="W49">
        <v>9.8954877873757008E-3</v>
      </c>
      <c r="X49" t="s">
        <v>30</v>
      </c>
      <c r="Y49" t="s">
        <v>31</v>
      </c>
    </row>
    <row r="50" spans="1:25" x14ac:dyDescent="0.2">
      <c r="A50" t="s">
        <v>306</v>
      </c>
      <c r="B50" t="s">
        <v>75</v>
      </c>
      <c r="C50" t="s">
        <v>24</v>
      </c>
      <c r="D50">
        <v>1.4062007413848999E-3</v>
      </c>
      <c r="E50">
        <v>0.80903855288827398</v>
      </c>
      <c r="F50">
        <v>0.92048879178491605</v>
      </c>
      <c r="G50">
        <v>45</v>
      </c>
      <c r="H50">
        <v>1.17737762634108E-2</v>
      </c>
      <c r="I50" t="s">
        <v>25</v>
      </c>
      <c r="J50" t="b">
        <v>1</v>
      </c>
      <c r="K50">
        <v>258.39599552554398</v>
      </c>
      <c r="L50">
        <v>258.68867845237298</v>
      </c>
      <c r="M50">
        <v>0</v>
      </c>
      <c r="N50" t="s">
        <v>26</v>
      </c>
      <c r="O50" t="s">
        <v>26</v>
      </c>
      <c r="P50" t="s">
        <v>353</v>
      </c>
      <c r="Q50">
        <f>-0.0831156839321142 - 0.106663236458936</f>
        <v>-0.18977892039105021</v>
      </c>
      <c r="R50" t="s">
        <v>27</v>
      </c>
      <c r="S50" t="s">
        <v>28</v>
      </c>
      <c r="T50" t="s">
        <v>29</v>
      </c>
      <c r="U50" t="s">
        <v>76</v>
      </c>
      <c r="V50">
        <v>3.0073224648188002</v>
      </c>
      <c r="W50">
        <v>4.8412989895676002E-2</v>
      </c>
      <c r="X50" t="s">
        <v>30</v>
      </c>
      <c r="Y50" t="s">
        <v>31</v>
      </c>
    </row>
    <row r="51" spans="1:25" x14ac:dyDescent="0.2">
      <c r="A51" t="s">
        <v>306</v>
      </c>
      <c r="B51" t="s">
        <v>45</v>
      </c>
      <c r="C51" t="s">
        <v>24</v>
      </c>
      <c r="D51">
        <v>7.7474155006795999E-3</v>
      </c>
      <c r="E51">
        <v>0.58914098360539602</v>
      </c>
      <c r="F51">
        <v>0.92048879178491605</v>
      </c>
      <c r="G51">
        <v>66</v>
      </c>
      <c r="H51">
        <v>-6.3632440827509004E-3</v>
      </c>
      <c r="I51" t="s">
        <v>25</v>
      </c>
      <c r="J51" t="b">
        <v>1</v>
      </c>
      <c r="K51">
        <v>237.63692343105399</v>
      </c>
      <c r="L51">
        <v>237.961247755378</v>
      </c>
      <c r="M51">
        <v>0</v>
      </c>
      <c r="N51" t="s">
        <v>26</v>
      </c>
      <c r="O51" t="s">
        <v>26</v>
      </c>
      <c r="P51" t="s">
        <v>354</v>
      </c>
      <c r="Q51">
        <f>-0.0292600841516609 - 0.0165335959861591</f>
        <v>-4.5793680137820002E-2</v>
      </c>
      <c r="R51" t="s">
        <v>33</v>
      </c>
      <c r="S51" t="s">
        <v>28</v>
      </c>
      <c r="T51" t="s">
        <v>29</v>
      </c>
      <c r="U51" t="s">
        <v>46</v>
      </c>
      <c r="V51">
        <v>3.35177554773946</v>
      </c>
      <c r="W51">
        <v>1.1682061259647899E-2</v>
      </c>
      <c r="X51" t="s">
        <v>30</v>
      </c>
      <c r="Y51" t="s">
        <v>31</v>
      </c>
    </row>
    <row r="52" spans="1:25" x14ac:dyDescent="0.2">
      <c r="A52" t="s">
        <v>306</v>
      </c>
      <c r="B52" t="s">
        <v>84</v>
      </c>
      <c r="C52" t="s">
        <v>24</v>
      </c>
      <c r="D52">
        <v>8.2947359151509998E-4</v>
      </c>
      <c r="E52">
        <v>0.856325394806566</v>
      </c>
      <c r="F52">
        <v>0.92048879178491605</v>
      </c>
      <c r="G52">
        <v>25</v>
      </c>
      <c r="H52">
        <v>1.877538616906E-3</v>
      </c>
      <c r="I52" t="s">
        <v>25</v>
      </c>
      <c r="J52" t="b">
        <v>1</v>
      </c>
      <c r="K52">
        <v>248.298838262104</v>
      </c>
      <c r="L52">
        <v>248.60653056979601</v>
      </c>
      <c r="M52">
        <v>0</v>
      </c>
      <c r="N52" t="s">
        <v>26</v>
      </c>
      <c r="O52" t="s">
        <v>26</v>
      </c>
      <c r="P52" t="s">
        <v>355</v>
      </c>
      <c r="Q52">
        <f>-0.0183169788033129 - 0.022072056037125</f>
        <v>-4.0389034840437904E-2</v>
      </c>
      <c r="R52" t="s">
        <v>34</v>
      </c>
      <c r="S52" t="s">
        <v>28</v>
      </c>
      <c r="T52" t="s">
        <v>29</v>
      </c>
      <c r="U52" t="s">
        <v>85</v>
      </c>
      <c r="V52">
        <v>3.04364886228855</v>
      </c>
      <c r="W52">
        <v>1.0303325214397399E-2</v>
      </c>
      <c r="X52" t="s">
        <v>30</v>
      </c>
      <c r="Y52" t="s">
        <v>31</v>
      </c>
    </row>
    <row r="53" spans="1:25" x14ac:dyDescent="0.2">
      <c r="A53" t="s">
        <v>306</v>
      </c>
      <c r="B53" t="s">
        <v>107</v>
      </c>
      <c r="C53" t="s">
        <v>24</v>
      </c>
      <c r="D53">
        <v>1.71270253984303E-2</v>
      </c>
      <c r="E53">
        <v>0.39713199915684599</v>
      </c>
      <c r="F53">
        <v>0.92048879178491605</v>
      </c>
      <c r="G53">
        <v>17</v>
      </c>
      <c r="H53">
        <v>-0.360406865079965</v>
      </c>
      <c r="I53" t="s">
        <v>25</v>
      </c>
      <c r="J53" t="b">
        <v>1</v>
      </c>
      <c r="K53">
        <v>257.69779476994898</v>
      </c>
      <c r="L53">
        <v>257.99047769677901</v>
      </c>
      <c r="M53">
        <v>0</v>
      </c>
      <c r="N53" t="s">
        <v>26</v>
      </c>
      <c r="O53" t="s">
        <v>26</v>
      </c>
      <c r="P53" t="s">
        <v>356</v>
      </c>
      <c r="Q53">
        <f>-1.18612573026537 - 0.465312000105436</f>
        <v>-1.6514377303708061</v>
      </c>
      <c r="R53" t="s">
        <v>27</v>
      </c>
      <c r="S53" t="s">
        <v>28</v>
      </c>
      <c r="T53" t="s">
        <v>29</v>
      </c>
      <c r="U53" t="s">
        <v>108</v>
      </c>
      <c r="V53">
        <v>3.2168284417997</v>
      </c>
      <c r="W53">
        <v>0.42128513529867401</v>
      </c>
      <c r="X53" t="s">
        <v>30</v>
      </c>
      <c r="Y53" t="s">
        <v>31</v>
      </c>
    </row>
    <row r="54" spans="1:25" x14ac:dyDescent="0.2">
      <c r="A54" t="s">
        <v>306</v>
      </c>
      <c r="B54" t="s">
        <v>126</v>
      </c>
      <c r="C54" t="s">
        <v>24</v>
      </c>
      <c r="D54">
        <v>9.0222868713453995E-3</v>
      </c>
      <c r="E54">
        <v>0.53966827056002298</v>
      </c>
      <c r="F54">
        <v>0.92048879178491605</v>
      </c>
      <c r="G54">
        <v>53</v>
      </c>
      <c r="H54">
        <v>2.1894060103323801E-2</v>
      </c>
      <c r="I54" t="s">
        <v>25</v>
      </c>
      <c r="J54" t="b">
        <v>1</v>
      </c>
      <c r="K54">
        <v>258.05912959788799</v>
      </c>
      <c r="L54">
        <v>258.35181252471801</v>
      </c>
      <c r="M54">
        <v>0</v>
      </c>
      <c r="N54" t="s">
        <v>26</v>
      </c>
      <c r="O54" t="s">
        <v>26</v>
      </c>
      <c r="P54" t="s">
        <v>357</v>
      </c>
      <c r="Q54">
        <f>-0.0475014480013912 - 0.0912895682080388</f>
        <v>-0.13879101620942999</v>
      </c>
      <c r="R54" t="s">
        <v>27</v>
      </c>
      <c r="S54" t="s">
        <v>28</v>
      </c>
      <c r="T54" t="s">
        <v>29</v>
      </c>
      <c r="U54" t="s">
        <v>127</v>
      </c>
      <c r="V54">
        <v>3.0012866651041299</v>
      </c>
      <c r="W54">
        <v>3.5405871481997399E-2</v>
      </c>
      <c r="X54" t="s">
        <v>30</v>
      </c>
      <c r="Y54" t="s">
        <v>31</v>
      </c>
    </row>
    <row r="55" spans="1:25" x14ac:dyDescent="0.2">
      <c r="A55" t="s">
        <v>306</v>
      </c>
      <c r="B55" t="s">
        <v>99</v>
      </c>
      <c r="C55" t="s">
        <v>24</v>
      </c>
      <c r="D55">
        <v>5.7832336684517996E-3</v>
      </c>
      <c r="E55">
        <v>0.64093491469951802</v>
      </c>
      <c r="F55">
        <v>0.92048879178491605</v>
      </c>
      <c r="G55">
        <v>32</v>
      </c>
      <c r="H55">
        <v>2.0605949059925799E-2</v>
      </c>
      <c r="I55" t="s">
        <v>25</v>
      </c>
      <c r="J55" t="b">
        <v>1</v>
      </c>
      <c r="K55">
        <v>237.71602588371499</v>
      </c>
      <c r="L55">
        <v>238.040350208039</v>
      </c>
      <c r="M55">
        <v>0</v>
      </c>
      <c r="N55" t="s">
        <v>26</v>
      </c>
      <c r="O55" t="s">
        <v>26</v>
      </c>
      <c r="P55" t="s">
        <v>358</v>
      </c>
      <c r="Q55">
        <f>-0.0652977897685024 - 0.106509687888354</f>
        <v>-0.17180747765685639</v>
      </c>
      <c r="R55" t="s">
        <v>33</v>
      </c>
      <c r="S55" t="s">
        <v>28</v>
      </c>
      <c r="T55" t="s">
        <v>29</v>
      </c>
      <c r="U55" t="s">
        <v>100</v>
      </c>
      <c r="V55">
        <v>3.1503575369080199</v>
      </c>
      <c r="W55">
        <v>4.3828438177769498E-2</v>
      </c>
      <c r="X55" t="s">
        <v>30</v>
      </c>
      <c r="Y55" t="s">
        <v>31</v>
      </c>
    </row>
    <row r="56" spans="1:25" x14ac:dyDescent="0.2">
      <c r="A56" t="s">
        <v>306</v>
      </c>
      <c r="B56" t="s">
        <v>55</v>
      </c>
      <c r="C56" t="s">
        <v>24</v>
      </c>
      <c r="D56">
        <v>8.4191315744829996E-4</v>
      </c>
      <c r="E56">
        <v>0.85893519101320304</v>
      </c>
      <c r="F56">
        <v>0.92048879178491605</v>
      </c>
      <c r="G56">
        <v>59</v>
      </c>
      <c r="H56">
        <v>7.3618491816919004E-3</v>
      </c>
      <c r="I56" t="s">
        <v>25</v>
      </c>
      <c r="J56" t="b">
        <v>1</v>
      </c>
      <c r="K56">
        <v>237.91433602590701</v>
      </c>
      <c r="L56">
        <v>238.23866035023201</v>
      </c>
      <c r="M56">
        <v>0</v>
      </c>
      <c r="N56" t="s">
        <v>26</v>
      </c>
      <c r="O56" t="s">
        <v>26</v>
      </c>
      <c r="P56" t="s">
        <v>359</v>
      </c>
      <c r="Q56">
        <f>-0.0732752032867209 - 0.0879989016501048</f>
        <v>-0.1612741049368257</v>
      </c>
      <c r="R56" t="s">
        <v>33</v>
      </c>
      <c r="S56" t="s">
        <v>28</v>
      </c>
      <c r="T56" t="s">
        <v>29</v>
      </c>
      <c r="U56" t="s">
        <v>56</v>
      </c>
      <c r="V56">
        <v>3.14984385881549</v>
      </c>
      <c r="W56">
        <v>4.1141353300210598E-2</v>
      </c>
      <c r="X56" t="s">
        <v>30</v>
      </c>
      <c r="Y56" t="s">
        <v>31</v>
      </c>
    </row>
    <row r="57" spans="1:25" x14ac:dyDescent="0.2">
      <c r="A57" t="s">
        <v>306</v>
      </c>
      <c r="B57" t="s">
        <v>115</v>
      </c>
      <c r="C57" t="s">
        <v>24</v>
      </c>
      <c r="D57">
        <v>0.13094406613095</v>
      </c>
      <c r="E57">
        <v>1.85335368137691E-2</v>
      </c>
      <c r="F57">
        <v>0.28263643640997799</v>
      </c>
      <c r="G57">
        <v>43</v>
      </c>
      <c r="H57">
        <v>3.6554379731901697E-2</v>
      </c>
      <c r="I57" t="s">
        <v>25</v>
      </c>
      <c r="J57" t="b">
        <v>1</v>
      </c>
      <c r="K57">
        <v>242.43908342945701</v>
      </c>
      <c r="L57">
        <v>242.74677573714899</v>
      </c>
      <c r="M57">
        <v>0</v>
      </c>
      <c r="N57" t="s">
        <v>26</v>
      </c>
      <c r="O57" t="s">
        <v>26</v>
      </c>
      <c r="P57" t="s">
        <v>360</v>
      </c>
      <c r="Q57" t="s">
        <v>116</v>
      </c>
      <c r="R57" t="s">
        <v>34</v>
      </c>
      <c r="S57" t="s">
        <v>28</v>
      </c>
      <c r="T57" t="s">
        <v>29</v>
      </c>
      <c r="U57" t="s">
        <v>117</v>
      </c>
      <c r="V57">
        <v>2.3610899321846799</v>
      </c>
      <c r="W57">
        <v>1.4889851849706801E-2</v>
      </c>
      <c r="X57" t="s">
        <v>30</v>
      </c>
      <c r="Y57" t="s">
        <v>31</v>
      </c>
    </row>
    <row r="58" spans="1:25" x14ac:dyDescent="0.2">
      <c r="A58" t="s">
        <v>306</v>
      </c>
      <c r="B58" t="s">
        <v>71</v>
      </c>
      <c r="C58" t="s">
        <v>24</v>
      </c>
      <c r="D58">
        <v>5.2342107694105897E-2</v>
      </c>
      <c r="E58">
        <v>0.145018923195114</v>
      </c>
      <c r="F58">
        <v>0.92048879178491605</v>
      </c>
      <c r="G58">
        <v>41</v>
      </c>
      <c r="H58">
        <v>-7.1124155483225704E-2</v>
      </c>
      <c r="I58" t="s">
        <v>25</v>
      </c>
      <c r="J58" t="b">
        <v>1</v>
      </c>
      <c r="K58">
        <v>246.075698581491</v>
      </c>
      <c r="L58">
        <v>246.383390889184</v>
      </c>
      <c r="M58">
        <v>0</v>
      </c>
      <c r="N58" t="s">
        <v>26</v>
      </c>
      <c r="O58" t="s">
        <v>26</v>
      </c>
      <c r="P58" t="s">
        <v>361</v>
      </c>
      <c r="Q58">
        <f>-0.164911315900015 - 0.0226630049335638</f>
        <v>-0.18757432083357881</v>
      </c>
      <c r="R58" t="s">
        <v>34</v>
      </c>
      <c r="S58" t="s">
        <v>28</v>
      </c>
      <c r="T58" t="s">
        <v>29</v>
      </c>
      <c r="U58" t="s">
        <v>72</v>
      </c>
      <c r="V58">
        <v>3.9064707822649001</v>
      </c>
      <c r="W58">
        <v>4.7850592049382398E-2</v>
      </c>
      <c r="X58" t="s">
        <v>30</v>
      </c>
      <c r="Y58" t="s">
        <v>31</v>
      </c>
    </row>
    <row r="59" spans="1:25" x14ac:dyDescent="0.2">
      <c r="A59" t="s">
        <v>306</v>
      </c>
      <c r="B59" t="s">
        <v>95</v>
      </c>
      <c r="C59" t="s">
        <v>24</v>
      </c>
      <c r="D59">
        <v>4.5778361513479297E-2</v>
      </c>
      <c r="E59">
        <v>0.17364593669842401</v>
      </c>
      <c r="F59">
        <v>0.92048879178491605</v>
      </c>
      <c r="G59">
        <v>48</v>
      </c>
      <c r="H59">
        <v>4.2828761643186899E-2</v>
      </c>
      <c r="I59" t="s">
        <v>25</v>
      </c>
      <c r="J59" t="b">
        <v>1</v>
      </c>
      <c r="K59">
        <v>246.36559962899199</v>
      </c>
      <c r="L59">
        <v>246.673291936684</v>
      </c>
      <c r="M59">
        <v>0</v>
      </c>
      <c r="N59" t="s">
        <v>26</v>
      </c>
      <c r="O59" t="s">
        <v>26</v>
      </c>
      <c r="P59" t="s">
        <v>362</v>
      </c>
      <c r="Q59">
        <f>-0.0177689328286222 - 0.103426456114996</f>
        <v>-0.1211953889436182</v>
      </c>
      <c r="R59" t="s">
        <v>34</v>
      </c>
      <c r="S59" t="s">
        <v>28</v>
      </c>
      <c r="T59" t="s">
        <v>29</v>
      </c>
      <c r="U59" t="s">
        <v>96</v>
      </c>
      <c r="V59">
        <v>2.6569369025028799</v>
      </c>
      <c r="W59">
        <v>3.09171910570454E-2</v>
      </c>
      <c r="X59" t="s">
        <v>30</v>
      </c>
      <c r="Y59" t="s">
        <v>31</v>
      </c>
    </row>
    <row r="60" spans="1:25" x14ac:dyDescent="0.2">
      <c r="A60" t="s">
        <v>306</v>
      </c>
      <c r="B60" t="s">
        <v>73</v>
      </c>
      <c r="C60" t="s">
        <v>24</v>
      </c>
      <c r="D60">
        <v>1.6793116285175999E-3</v>
      </c>
      <c r="E60">
        <v>0.79169355196292301</v>
      </c>
      <c r="F60">
        <v>0.92048879178491605</v>
      </c>
      <c r="G60">
        <v>36</v>
      </c>
      <c r="H60">
        <v>-4.2718769652985E-3</v>
      </c>
      <c r="I60" t="s">
        <v>25</v>
      </c>
      <c r="J60" t="b">
        <v>1</v>
      </c>
      <c r="K60">
        <v>258.38396007867499</v>
      </c>
      <c r="L60">
        <v>258.67664300550399</v>
      </c>
      <c r="M60">
        <v>0</v>
      </c>
      <c r="N60" t="s">
        <v>26</v>
      </c>
      <c r="O60" t="s">
        <v>26</v>
      </c>
      <c r="P60" t="s">
        <v>363</v>
      </c>
      <c r="Q60">
        <f>-0.0357725294901688 - 0.0272287755595717</f>
        <v>-6.3001305049740497E-2</v>
      </c>
      <c r="R60" t="s">
        <v>27</v>
      </c>
      <c r="S60" t="s">
        <v>28</v>
      </c>
      <c r="T60" t="s">
        <v>29</v>
      </c>
      <c r="U60" t="s">
        <v>74</v>
      </c>
      <c r="V60">
        <v>3.3024740965416299</v>
      </c>
      <c r="W60">
        <v>1.60717614922808E-2</v>
      </c>
      <c r="X60" t="s">
        <v>30</v>
      </c>
      <c r="Y60" t="s">
        <v>31</v>
      </c>
    </row>
    <row r="61" spans="1:25" x14ac:dyDescent="0.2">
      <c r="A61" t="s">
        <v>306</v>
      </c>
      <c r="B61" t="s">
        <v>57</v>
      </c>
      <c r="C61" t="s">
        <v>24</v>
      </c>
      <c r="D61">
        <v>2.3903667725309899E-2</v>
      </c>
      <c r="E61">
        <v>0.32825650497970099</v>
      </c>
      <c r="F61">
        <v>0.92048879178491605</v>
      </c>
      <c r="G61">
        <v>45</v>
      </c>
      <c r="H61">
        <v>-4.4803058527268402E-2</v>
      </c>
      <c r="I61" t="s">
        <v>25</v>
      </c>
      <c r="J61" t="b">
        <v>1</v>
      </c>
      <c r="K61">
        <v>247.317542763278</v>
      </c>
      <c r="L61">
        <v>247.62523507097001</v>
      </c>
      <c r="M61">
        <v>0</v>
      </c>
      <c r="N61" t="s">
        <v>26</v>
      </c>
      <c r="O61" t="s">
        <v>26</v>
      </c>
      <c r="P61" t="s">
        <v>364</v>
      </c>
      <c r="Q61">
        <f>-0.133528426073692 - 0.0439223090191553</f>
        <v>-0.17745073509284731</v>
      </c>
      <c r="R61" t="s">
        <v>34</v>
      </c>
      <c r="S61" t="s">
        <v>28</v>
      </c>
      <c r="T61" t="s">
        <v>29</v>
      </c>
      <c r="U61" t="s">
        <v>58</v>
      </c>
      <c r="V61">
        <v>3.3140315628155301</v>
      </c>
      <c r="W61">
        <v>4.5268044666542703E-2</v>
      </c>
      <c r="X61" t="s">
        <v>30</v>
      </c>
      <c r="Y61" t="s">
        <v>31</v>
      </c>
    </row>
    <row r="62" spans="1:25" x14ac:dyDescent="0.2">
      <c r="A62" t="s">
        <v>306</v>
      </c>
      <c r="B62" t="s">
        <v>93</v>
      </c>
      <c r="C62" t="s">
        <v>24</v>
      </c>
      <c r="D62">
        <v>7.0363208429537E-2</v>
      </c>
      <c r="E62">
        <v>9.80785022017856E-2</v>
      </c>
      <c r="F62">
        <v>0.92048879178491605</v>
      </c>
      <c r="G62">
        <v>61</v>
      </c>
      <c r="H62">
        <v>0.36227270604649398</v>
      </c>
      <c r="I62" t="s">
        <v>25</v>
      </c>
      <c r="J62" t="b">
        <v>1</v>
      </c>
      <c r="K62">
        <v>234.75446513833799</v>
      </c>
      <c r="L62">
        <v>235.078789462663</v>
      </c>
      <c r="M62">
        <v>0</v>
      </c>
      <c r="N62" t="s">
        <v>26</v>
      </c>
      <c r="O62" t="s">
        <v>26</v>
      </c>
      <c r="P62" t="s">
        <v>365</v>
      </c>
      <c r="Q62">
        <f>-0.0564087469005662 - 0.780954158993555</f>
        <v>-0.83736290589412121</v>
      </c>
      <c r="R62" t="s">
        <v>32</v>
      </c>
      <c r="S62" t="s">
        <v>28</v>
      </c>
      <c r="T62" t="s">
        <v>29</v>
      </c>
      <c r="U62" t="s">
        <v>94</v>
      </c>
      <c r="V62">
        <v>2.85261404027804</v>
      </c>
      <c r="W62">
        <v>0.21361298619748001</v>
      </c>
      <c r="X62" t="s">
        <v>30</v>
      </c>
      <c r="Y62" t="s">
        <v>31</v>
      </c>
    </row>
    <row r="63" spans="1:25" x14ac:dyDescent="0.2">
      <c r="A63" t="s">
        <v>306</v>
      </c>
      <c r="B63" t="s">
        <v>168</v>
      </c>
      <c r="C63" t="s">
        <v>24</v>
      </c>
      <c r="D63">
        <v>2.0788861581114398E-2</v>
      </c>
      <c r="E63">
        <v>0.35042616504920199</v>
      </c>
      <c r="F63">
        <v>0.92048879178491605</v>
      </c>
      <c r="G63">
        <v>57</v>
      </c>
      <c r="H63">
        <v>-1.0889139661469001</v>
      </c>
      <c r="I63" t="s">
        <v>25</v>
      </c>
      <c r="J63" t="b">
        <v>1</v>
      </c>
      <c r="K63">
        <v>257.533560241945</v>
      </c>
      <c r="L63">
        <v>257.826243168774</v>
      </c>
      <c r="M63">
        <v>0</v>
      </c>
      <c r="N63" t="s">
        <v>26</v>
      </c>
      <c r="O63" t="s">
        <v>26</v>
      </c>
      <c r="P63" t="s">
        <v>366</v>
      </c>
      <c r="Q63">
        <f>-3.34911886974524 - 1.17129093745144</f>
        <v>-4.5204098071966801</v>
      </c>
      <c r="R63" t="s">
        <v>27</v>
      </c>
      <c r="S63" t="s">
        <v>28</v>
      </c>
      <c r="T63" t="s">
        <v>29</v>
      </c>
      <c r="U63" t="s">
        <v>169</v>
      </c>
      <c r="V63">
        <v>3.3430514238361702</v>
      </c>
      <c r="W63">
        <v>1.1531657671420099</v>
      </c>
      <c r="X63" t="s">
        <v>30</v>
      </c>
      <c r="Y63" t="s">
        <v>31</v>
      </c>
    </row>
    <row r="64" spans="1:25" x14ac:dyDescent="0.2">
      <c r="A64" t="s">
        <v>306</v>
      </c>
      <c r="B64" t="s">
        <v>142</v>
      </c>
      <c r="C64" t="s">
        <v>24</v>
      </c>
      <c r="D64">
        <v>0.42733444143585902</v>
      </c>
      <c r="E64" s="1">
        <v>4.7905379552126703E-6</v>
      </c>
      <c r="F64">
        <v>2.9222281526797202E-4</v>
      </c>
      <c r="G64">
        <v>59</v>
      </c>
      <c r="H64">
        <v>5.3687947187905198E-2</v>
      </c>
      <c r="I64" t="s">
        <v>25</v>
      </c>
      <c r="J64" t="b">
        <v>1</v>
      </c>
      <c r="K64">
        <v>215.37478176720299</v>
      </c>
      <c r="L64">
        <v>215.69910609152799</v>
      </c>
      <c r="M64">
        <v>0</v>
      </c>
      <c r="N64" t="s">
        <v>26</v>
      </c>
      <c r="O64" t="s">
        <v>26</v>
      </c>
      <c r="P64" t="s">
        <v>367</v>
      </c>
      <c r="Q64" t="s">
        <v>143</v>
      </c>
      <c r="R64" t="s">
        <v>32</v>
      </c>
      <c r="S64" t="s">
        <v>28</v>
      </c>
      <c r="T64" t="s">
        <v>29</v>
      </c>
      <c r="U64" t="s">
        <v>144</v>
      </c>
      <c r="V64">
        <v>1.2352237165637501</v>
      </c>
      <c r="W64">
        <v>1.0082113545673999E-2</v>
      </c>
      <c r="X64" t="s">
        <v>30</v>
      </c>
      <c r="Y64" t="s">
        <v>31</v>
      </c>
    </row>
    <row r="65" spans="1:25" x14ac:dyDescent="0.2">
      <c r="A65" t="s">
        <v>306</v>
      </c>
      <c r="B65" t="s">
        <v>170</v>
      </c>
      <c r="C65" t="s">
        <v>24</v>
      </c>
      <c r="D65">
        <v>6.506041913812E-4</v>
      </c>
      <c r="E65">
        <v>0.87585180492187398</v>
      </c>
      <c r="F65" t="s">
        <v>35</v>
      </c>
      <c r="G65">
        <v>51</v>
      </c>
      <c r="H65">
        <v>1.0937923326115001E-3</v>
      </c>
      <c r="I65" t="s">
        <v>39</v>
      </c>
      <c r="J65" t="b">
        <v>0</v>
      </c>
      <c r="K65">
        <v>254.67737177732101</v>
      </c>
      <c r="L65">
        <v>255.001696101645</v>
      </c>
      <c r="M65">
        <v>17.059748812104001</v>
      </c>
      <c r="N65" t="s">
        <v>26</v>
      </c>
      <c r="O65" t="s">
        <v>26</v>
      </c>
      <c r="P65" t="s">
        <v>345</v>
      </c>
      <c r="Q65">
        <f>-0.0125363187871969 - 0.01472390345242</f>
        <v>-2.7260222239616903E-2</v>
      </c>
      <c r="R65" t="s">
        <v>32</v>
      </c>
      <c r="S65" t="s">
        <v>40</v>
      </c>
      <c r="T65" t="s">
        <v>41</v>
      </c>
      <c r="U65" t="s">
        <v>206</v>
      </c>
      <c r="V65">
        <v>3.5138558092010199</v>
      </c>
      <c r="W65">
        <v>6.9541383264328004E-3</v>
      </c>
      <c r="X65" t="s">
        <v>30</v>
      </c>
      <c r="Y65" t="s">
        <v>31</v>
      </c>
    </row>
    <row r="66" spans="1:25" x14ac:dyDescent="0.2">
      <c r="A66" t="s">
        <v>306</v>
      </c>
      <c r="B66" t="s">
        <v>151</v>
      </c>
      <c r="C66" t="s">
        <v>24</v>
      </c>
      <c r="D66" s="1">
        <v>2.2198194956929401E-5</v>
      </c>
      <c r="E66">
        <v>0.975785560082021</v>
      </c>
      <c r="F66" t="s">
        <v>35</v>
      </c>
      <c r="G66">
        <v>28</v>
      </c>
      <c r="H66">
        <v>-9.4688291231549997E-4</v>
      </c>
      <c r="I66" t="s">
        <v>42</v>
      </c>
      <c r="J66" t="b">
        <v>0</v>
      </c>
      <c r="K66">
        <v>275.66995747485998</v>
      </c>
      <c r="L66">
        <v>275.96264040168899</v>
      </c>
      <c r="M66">
        <v>17.244963648436901</v>
      </c>
      <c r="N66" t="s">
        <v>26</v>
      </c>
      <c r="O66" t="s">
        <v>26</v>
      </c>
      <c r="P66" t="s">
        <v>328</v>
      </c>
      <c r="Q66">
        <f>-0.0617273529636256 - 0.0598335871389946</f>
        <v>-0.1215609401026202</v>
      </c>
      <c r="R66" t="s">
        <v>27</v>
      </c>
      <c r="S66" t="s">
        <v>43</v>
      </c>
      <c r="T66" t="s">
        <v>26</v>
      </c>
      <c r="U66" t="s">
        <v>44</v>
      </c>
      <c r="V66">
        <v>3.5948833653850798</v>
      </c>
      <c r="W66">
        <v>3.1010443903729701E-2</v>
      </c>
      <c r="X66" t="s">
        <v>30</v>
      </c>
      <c r="Y66" t="s">
        <v>31</v>
      </c>
    </row>
    <row r="67" spans="1:25" x14ac:dyDescent="0.2">
      <c r="A67" t="s">
        <v>306</v>
      </c>
      <c r="B67" t="s">
        <v>120</v>
      </c>
      <c r="C67" t="s">
        <v>24</v>
      </c>
      <c r="D67">
        <v>6.4230448406219995E-4</v>
      </c>
      <c r="E67">
        <v>0.87664009480701899</v>
      </c>
      <c r="F67" t="s">
        <v>35</v>
      </c>
      <c r="G67">
        <v>31</v>
      </c>
      <c r="H67">
        <v>-2.7510506642487E-3</v>
      </c>
      <c r="I67" t="s">
        <v>42</v>
      </c>
      <c r="J67" t="b">
        <v>0</v>
      </c>
      <c r="K67">
        <v>254.67770398036799</v>
      </c>
      <c r="L67">
        <v>255.002028304692</v>
      </c>
      <c r="M67">
        <v>17.066971113850901</v>
      </c>
      <c r="N67" t="s">
        <v>26</v>
      </c>
      <c r="O67" t="s">
        <v>26</v>
      </c>
      <c r="P67" t="s">
        <v>319</v>
      </c>
      <c r="Q67">
        <f>-0.037253733439889 - 0.0317516321113915</f>
        <v>-6.9005365551280506E-2</v>
      </c>
      <c r="R67" t="s">
        <v>32</v>
      </c>
      <c r="S67" t="s">
        <v>43</v>
      </c>
      <c r="T67" t="s">
        <v>26</v>
      </c>
      <c r="U67" t="s">
        <v>44</v>
      </c>
      <c r="V67">
        <v>3.82942203467121</v>
      </c>
      <c r="W67">
        <v>1.76034095794083E-2</v>
      </c>
      <c r="X67" t="s">
        <v>30</v>
      </c>
      <c r="Y67" t="s">
        <v>31</v>
      </c>
    </row>
    <row r="68" spans="1:25" x14ac:dyDescent="0.2">
      <c r="A68" t="s">
        <v>306</v>
      </c>
      <c r="B68" t="s">
        <v>63</v>
      </c>
      <c r="C68" t="s">
        <v>24</v>
      </c>
      <c r="D68">
        <v>1.9902211311432601E-2</v>
      </c>
      <c r="E68">
        <v>0.38523052468993202</v>
      </c>
      <c r="F68" t="s">
        <v>35</v>
      </c>
      <c r="G68">
        <v>34</v>
      </c>
      <c r="H68">
        <v>-1.7351742285593E-2</v>
      </c>
      <c r="I68" t="s">
        <v>36</v>
      </c>
      <c r="J68" t="b">
        <v>0</v>
      </c>
      <c r="K68">
        <v>254.37398531590301</v>
      </c>
      <c r="L68">
        <v>254.698309640227</v>
      </c>
      <c r="M68">
        <v>16.978954252529</v>
      </c>
      <c r="N68" t="s">
        <v>26</v>
      </c>
      <c r="O68" t="s">
        <v>26</v>
      </c>
      <c r="P68" t="s">
        <v>340</v>
      </c>
      <c r="Q68">
        <f>-0.0560678241904026 - 0.0213643396192166</f>
        <v>-7.7432163809619203E-2</v>
      </c>
      <c r="R68" t="s">
        <v>33</v>
      </c>
      <c r="S68" t="s">
        <v>37</v>
      </c>
      <c r="T68" t="s">
        <v>38</v>
      </c>
      <c r="U68" t="s">
        <v>227</v>
      </c>
      <c r="V68">
        <v>3.6958032553728501</v>
      </c>
      <c r="W68">
        <v>1.9753103012658001E-2</v>
      </c>
      <c r="X68" t="s">
        <v>30</v>
      </c>
      <c r="Y68" t="s">
        <v>31</v>
      </c>
    </row>
    <row r="69" spans="1:25" x14ac:dyDescent="0.2">
      <c r="A69" t="s">
        <v>306</v>
      </c>
      <c r="B69" t="s">
        <v>49</v>
      </c>
      <c r="C69" t="s">
        <v>24</v>
      </c>
      <c r="D69">
        <v>6.9101682981079996E-4</v>
      </c>
      <c r="E69">
        <v>0.87208505612202403</v>
      </c>
      <c r="F69" t="s">
        <v>35</v>
      </c>
      <c r="G69">
        <v>45</v>
      </c>
      <c r="H69">
        <v>2.5866207168571999E-3</v>
      </c>
      <c r="I69" t="s">
        <v>42</v>
      </c>
      <c r="J69" t="b">
        <v>0</v>
      </c>
      <c r="K69">
        <v>254.67575418668699</v>
      </c>
      <c r="L69">
        <v>255.000078511011</v>
      </c>
      <c r="M69">
        <v>17.010556958875998</v>
      </c>
      <c r="N69" t="s">
        <v>26</v>
      </c>
      <c r="O69" t="s">
        <v>26</v>
      </c>
      <c r="P69" t="s">
        <v>351</v>
      </c>
      <c r="Q69">
        <f>-0.0286887602096047 - 0.0338620016433193</f>
        <v>-6.2550761852924006E-2</v>
      </c>
      <c r="R69" t="s">
        <v>32</v>
      </c>
      <c r="S69" t="s">
        <v>43</v>
      </c>
      <c r="T69" t="s">
        <v>26</v>
      </c>
      <c r="U69" t="s">
        <v>44</v>
      </c>
      <c r="V69">
        <v>3.6207037910507802</v>
      </c>
      <c r="W69">
        <v>1.5956827003297001E-2</v>
      </c>
      <c r="X69" t="s">
        <v>30</v>
      </c>
      <c r="Y69" t="s">
        <v>31</v>
      </c>
    </row>
    <row r="70" spans="1:25" x14ac:dyDescent="0.2">
      <c r="A70" t="s">
        <v>306</v>
      </c>
      <c r="B70" t="s">
        <v>79</v>
      </c>
      <c r="C70" t="s">
        <v>24</v>
      </c>
      <c r="D70" s="1">
        <v>3.2580081780227301E-5</v>
      </c>
      <c r="E70">
        <v>0.97066665245165695</v>
      </c>
      <c r="F70" t="s">
        <v>35</v>
      </c>
      <c r="G70">
        <v>62</v>
      </c>
      <c r="H70">
        <v>-1.8886170210639999E-3</v>
      </c>
      <c r="I70" t="s">
        <v>42</v>
      </c>
      <c r="J70" t="b">
        <v>0</v>
      </c>
      <c r="K70">
        <v>275.66950065932798</v>
      </c>
      <c r="L70">
        <v>275.96218358615698</v>
      </c>
      <c r="M70">
        <v>17.303790725123001</v>
      </c>
      <c r="N70" t="s">
        <v>26</v>
      </c>
      <c r="O70" t="s">
        <v>26</v>
      </c>
      <c r="P70" t="s">
        <v>316</v>
      </c>
      <c r="Q70">
        <f>-0.101955913301964 - 0.098178679259836</f>
        <v>-0.2001345925618</v>
      </c>
      <c r="R70" t="s">
        <v>27</v>
      </c>
      <c r="S70" t="s">
        <v>43</v>
      </c>
      <c r="T70" t="s">
        <v>26</v>
      </c>
      <c r="U70" t="s">
        <v>44</v>
      </c>
      <c r="V70">
        <v>3.6040599911491999</v>
      </c>
      <c r="W70">
        <v>5.1054743000459299E-2</v>
      </c>
      <c r="X70" t="s">
        <v>30</v>
      </c>
      <c r="Y70" t="s">
        <v>31</v>
      </c>
    </row>
    <row r="71" spans="1:25" x14ac:dyDescent="0.2">
      <c r="A71" t="s">
        <v>306</v>
      </c>
      <c r="B71" t="s">
        <v>109</v>
      </c>
      <c r="C71" t="s">
        <v>24</v>
      </c>
      <c r="D71">
        <v>1.1348429807120999E-3</v>
      </c>
      <c r="E71">
        <v>0.82814156014709295</v>
      </c>
      <c r="F71" t="s">
        <v>35</v>
      </c>
      <c r="G71">
        <v>12</v>
      </c>
      <c r="H71">
        <v>-1.711395605397E-3</v>
      </c>
      <c r="I71" t="s">
        <v>36</v>
      </c>
      <c r="J71" t="b">
        <v>0</v>
      </c>
      <c r="K71">
        <v>274.17244492673302</v>
      </c>
      <c r="L71">
        <v>274.46512785356202</v>
      </c>
      <c r="M71">
        <v>16.232034283822902</v>
      </c>
      <c r="N71" t="s">
        <v>26</v>
      </c>
      <c r="O71" t="s">
        <v>26</v>
      </c>
      <c r="P71" t="s">
        <v>352</v>
      </c>
      <c r="Q71">
        <f>-0.0170670165429222 - 0.0136442253321281</f>
        <v>-3.0711241875050303E-2</v>
      </c>
      <c r="R71" t="s">
        <v>27</v>
      </c>
      <c r="S71" t="s">
        <v>37</v>
      </c>
      <c r="T71" t="s">
        <v>38</v>
      </c>
      <c r="U71" t="s">
        <v>211</v>
      </c>
      <c r="V71">
        <v>3.56096235967166</v>
      </c>
      <c r="W71">
        <v>7.8345004783290997E-3</v>
      </c>
      <c r="X71" t="s">
        <v>30</v>
      </c>
      <c r="Y71" t="s">
        <v>31</v>
      </c>
    </row>
    <row r="72" spans="1:25" x14ac:dyDescent="0.2">
      <c r="A72" t="s">
        <v>306</v>
      </c>
      <c r="B72" t="s">
        <v>53</v>
      </c>
      <c r="C72" t="s">
        <v>24</v>
      </c>
      <c r="D72">
        <v>7.2171565003842997E-3</v>
      </c>
      <c r="E72">
        <v>0.60222637746432495</v>
      </c>
      <c r="F72" t="s">
        <v>35</v>
      </c>
      <c r="G72">
        <v>57</v>
      </c>
      <c r="H72">
        <v>1.65242985807983</v>
      </c>
      <c r="I72" t="s">
        <v>39</v>
      </c>
      <c r="J72" t="b">
        <v>0</v>
      </c>
      <c r="K72">
        <v>257.36827551746097</v>
      </c>
      <c r="L72">
        <v>257.69259984178501</v>
      </c>
      <c r="M72">
        <v>19.650613893555001</v>
      </c>
      <c r="N72" t="s">
        <v>26</v>
      </c>
      <c r="O72" t="s">
        <v>26</v>
      </c>
      <c r="P72" t="s">
        <v>308</v>
      </c>
      <c r="Q72">
        <f>-4.50970753204818 - 7.81456724820783</f>
        <v>-12.32427478025601</v>
      </c>
      <c r="R72" t="s">
        <v>33</v>
      </c>
      <c r="S72" t="s">
        <v>40</v>
      </c>
      <c r="T72" t="s">
        <v>41</v>
      </c>
      <c r="U72" t="s">
        <v>212</v>
      </c>
      <c r="V72">
        <v>3.4646712097616299</v>
      </c>
      <c r="W72">
        <v>3.1439476480244899</v>
      </c>
      <c r="X72" t="s">
        <v>30</v>
      </c>
      <c r="Y72" t="s">
        <v>31</v>
      </c>
    </row>
    <row r="73" spans="1:25" x14ac:dyDescent="0.2">
      <c r="A73" t="s">
        <v>306</v>
      </c>
      <c r="B73" t="s">
        <v>97</v>
      </c>
      <c r="C73" t="s">
        <v>24</v>
      </c>
      <c r="D73">
        <v>1.31796021369513E-2</v>
      </c>
      <c r="E73">
        <v>0.48056872112879201</v>
      </c>
      <c r="F73" t="s">
        <v>35</v>
      </c>
      <c r="G73">
        <v>23</v>
      </c>
      <c r="H73">
        <v>-4.4474658277332E-3</v>
      </c>
      <c r="I73" t="s">
        <v>39</v>
      </c>
      <c r="J73" t="b">
        <v>0</v>
      </c>
      <c r="K73">
        <v>254.17271546140299</v>
      </c>
      <c r="L73">
        <v>254.49703978572799</v>
      </c>
      <c r="M73">
        <v>16.898181736294902</v>
      </c>
      <c r="N73" t="s">
        <v>26</v>
      </c>
      <c r="O73" t="s">
        <v>26</v>
      </c>
      <c r="P73" t="s">
        <v>318</v>
      </c>
      <c r="Q73">
        <f>-0.0166836160971345 - 0.00778868444166799</f>
        <v>-2.4472300538802491E-2</v>
      </c>
      <c r="R73" t="s">
        <v>32</v>
      </c>
      <c r="S73" t="s">
        <v>40</v>
      </c>
      <c r="T73" t="s">
        <v>41</v>
      </c>
      <c r="U73" t="s">
        <v>180</v>
      </c>
      <c r="V73">
        <v>3.6691025949143601</v>
      </c>
      <c r="W73">
        <v>6.2429338109190003E-3</v>
      </c>
      <c r="X73" t="s">
        <v>30</v>
      </c>
      <c r="Y73" t="s">
        <v>31</v>
      </c>
    </row>
    <row r="74" spans="1:25" x14ac:dyDescent="0.2">
      <c r="A74" t="s">
        <v>306</v>
      </c>
      <c r="B74" t="s">
        <v>109</v>
      </c>
      <c r="C74" t="s">
        <v>24</v>
      </c>
      <c r="D74">
        <v>1.0315629132113999E-3</v>
      </c>
      <c r="E74">
        <v>0.83603606533271202</v>
      </c>
      <c r="F74" t="s">
        <v>35</v>
      </c>
      <c r="G74">
        <v>12</v>
      </c>
      <c r="H74">
        <v>-1.4651259241081E-3</v>
      </c>
      <c r="I74" t="s">
        <v>42</v>
      </c>
      <c r="J74" t="b">
        <v>0</v>
      </c>
      <c r="K74">
        <v>275.62552201130097</v>
      </c>
      <c r="L74">
        <v>275.91820493812997</v>
      </c>
      <c r="M74">
        <v>17.685111368390899</v>
      </c>
      <c r="N74" t="s">
        <v>26</v>
      </c>
      <c r="O74" t="s">
        <v>26</v>
      </c>
      <c r="P74" t="s">
        <v>352</v>
      </c>
      <c r="Q74">
        <f>-0.0152541777024878 - 0.0123239258542714</f>
        <v>-2.7578103556759201E-2</v>
      </c>
      <c r="R74" t="s">
        <v>27</v>
      </c>
      <c r="S74" t="s">
        <v>43</v>
      </c>
      <c r="T74" t="s">
        <v>26</v>
      </c>
      <c r="U74" t="s">
        <v>44</v>
      </c>
      <c r="V74">
        <v>3.6019662779075801</v>
      </c>
      <c r="W74">
        <v>7.0352304991732001E-3</v>
      </c>
      <c r="X74" t="s">
        <v>30</v>
      </c>
      <c r="Y74" t="s">
        <v>31</v>
      </c>
    </row>
    <row r="75" spans="1:25" x14ac:dyDescent="0.2">
      <c r="A75" t="s">
        <v>306</v>
      </c>
      <c r="B75" t="s">
        <v>73</v>
      </c>
      <c r="C75" t="s">
        <v>24</v>
      </c>
      <c r="D75">
        <v>8.5579597961698006E-3</v>
      </c>
      <c r="E75">
        <v>0.55033760072765703</v>
      </c>
      <c r="F75" t="s">
        <v>35</v>
      </c>
      <c r="G75">
        <v>36</v>
      </c>
      <c r="H75">
        <v>-5.0712406929301996E-3</v>
      </c>
      <c r="I75" t="s">
        <v>39</v>
      </c>
      <c r="J75" t="b">
        <v>0</v>
      </c>
      <c r="K75">
        <v>275.29276347228802</v>
      </c>
      <c r="L75">
        <v>275.58544639911798</v>
      </c>
      <c r="M75">
        <v>16.908803393613901</v>
      </c>
      <c r="N75" t="s">
        <v>26</v>
      </c>
      <c r="O75" t="s">
        <v>26</v>
      </c>
      <c r="P75" t="s">
        <v>363</v>
      </c>
      <c r="Q75">
        <f>-0.0215792305765664 - 0.0114367491907058</f>
        <v>-3.3015979767272198E-2</v>
      </c>
      <c r="R75" t="s">
        <v>27</v>
      </c>
      <c r="S75" t="s">
        <v>40</v>
      </c>
      <c r="T75" t="s">
        <v>41</v>
      </c>
      <c r="U75" t="s">
        <v>257</v>
      </c>
      <c r="V75">
        <v>3.87837193437363</v>
      </c>
      <c r="W75">
        <v>8.4224438181816005E-3</v>
      </c>
      <c r="X75" t="s">
        <v>30</v>
      </c>
      <c r="Y75" t="s">
        <v>31</v>
      </c>
    </row>
    <row r="76" spans="1:25" x14ac:dyDescent="0.2">
      <c r="A76" t="s">
        <v>306</v>
      </c>
      <c r="B76" t="s">
        <v>63</v>
      </c>
      <c r="C76" t="s">
        <v>24</v>
      </c>
      <c r="D76">
        <v>3.24434771392174E-2</v>
      </c>
      <c r="E76">
        <v>0.26605793751894602</v>
      </c>
      <c r="F76" t="s">
        <v>35</v>
      </c>
      <c r="G76">
        <v>34</v>
      </c>
      <c r="H76">
        <v>-1.81990205251105E-2</v>
      </c>
      <c r="I76" t="s">
        <v>42</v>
      </c>
      <c r="J76" t="b">
        <v>0</v>
      </c>
      <c r="K76">
        <v>256.33875119509901</v>
      </c>
      <c r="L76">
        <v>256.66307551942299</v>
      </c>
      <c r="M76">
        <v>18.943720131725001</v>
      </c>
      <c r="N76" t="s">
        <v>26</v>
      </c>
      <c r="O76" t="s">
        <v>26</v>
      </c>
      <c r="P76" t="s">
        <v>340</v>
      </c>
      <c r="Q76">
        <f>-0.0497989973103712 - 0.0134009562601503</f>
        <v>-6.3199953570521494E-2</v>
      </c>
      <c r="R76" t="s">
        <v>33</v>
      </c>
      <c r="S76" t="s">
        <v>43</v>
      </c>
      <c r="T76" t="s">
        <v>26</v>
      </c>
      <c r="U76" t="s">
        <v>44</v>
      </c>
      <c r="V76">
        <v>3.7302859848147598</v>
      </c>
      <c r="W76">
        <v>1.6122437135337099E-2</v>
      </c>
      <c r="X76" t="s">
        <v>30</v>
      </c>
      <c r="Y76" t="s">
        <v>31</v>
      </c>
    </row>
    <row r="77" spans="1:25" x14ac:dyDescent="0.2">
      <c r="A77" t="s">
        <v>306</v>
      </c>
      <c r="B77" t="s">
        <v>147</v>
      </c>
      <c r="C77" t="s">
        <v>24</v>
      </c>
      <c r="D77">
        <v>2.272321372833E-4</v>
      </c>
      <c r="E77">
        <v>0.92644401188121805</v>
      </c>
      <c r="F77" t="s">
        <v>35</v>
      </c>
      <c r="G77">
        <v>55</v>
      </c>
      <c r="H77">
        <v>-2.7736634925036E-3</v>
      </c>
      <c r="I77" t="s">
        <v>36</v>
      </c>
      <c r="J77" t="b">
        <v>0</v>
      </c>
      <c r="K77">
        <v>252.811242461739</v>
      </c>
      <c r="L77">
        <v>253.13556678606301</v>
      </c>
      <c r="M77">
        <v>15.258628670478</v>
      </c>
      <c r="N77" t="s">
        <v>26</v>
      </c>
      <c r="O77" t="s">
        <v>26</v>
      </c>
      <c r="P77" t="s">
        <v>309</v>
      </c>
      <c r="Q77">
        <f>-0.0612706936939525 - 0.0557233667089453</f>
        <v>-0.11699406040289781</v>
      </c>
      <c r="R77" t="s">
        <v>32</v>
      </c>
      <c r="S77" t="s">
        <v>37</v>
      </c>
      <c r="T77" t="s">
        <v>38</v>
      </c>
      <c r="U77" t="s">
        <v>265</v>
      </c>
      <c r="V77">
        <v>3.6494114835754998</v>
      </c>
      <c r="W77">
        <v>2.9845423572167799E-2</v>
      </c>
      <c r="X77" t="s">
        <v>30</v>
      </c>
      <c r="Y77" t="s">
        <v>31</v>
      </c>
    </row>
    <row r="78" spans="1:25" x14ac:dyDescent="0.2">
      <c r="A78" t="s">
        <v>306</v>
      </c>
      <c r="B78" t="s">
        <v>122</v>
      </c>
      <c r="C78" t="s">
        <v>24</v>
      </c>
      <c r="D78">
        <v>9.7156440351520005E-4</v>
      </c>
      <c r="E78">
        <v>0.84857963837602501</v>
      </c>
      <c r="F78" t="s">
        <v>35</v>
      </c>
      <c r="G78">
        <v>39</v>
      </c>
      <c r="H78">
        <v>-7.3245347163560003E-3</v>
      </c>
      <c r="I78" t="s">
        <v>39</v>
      </c>
      <c r="J78" t="b">
        <v>0</v>
      </c>
      <c r="K78">
        <v>254.66452294724101</v>
      </c>
      <c r="L78">
        <v>254.98884727156499</v>
      </c>
      <c r="M78">
        <v>17.279276550920901</v>
      </c>
      <c r="N78" t="s">
        <v>26</v>
      </c>
      <c r="O78" t="s">
        <v>26</v>
      </c>
      <c r="P78" t="s">
        <v>332</v>
      </c>
      <c r="Q78">
        <f>-0.0820033539260253 - 0.0673542844933132</f>
        <v>-0.1493576384193385</v>
      </c>
      <c r="R78" t="s">
        <v>32</v>
      </c>
      <c r="S78" t="s">
        <v>40</v>
      </c>
      <c r="T78" t="s">
        <v>41</v>
      </c>
      <c r="U78" t="s">
        <v>278</v>
      </c>
      <c r="V78">
        <v>3.66943558179999</v>
      </c>
      <c r="W78">
        <v>3.8101438372280201E-2</v>
      </c>
      <c r="X78" t="s">
        <v>30</v>
      </c>
      <c r="Y78" t="s">
        <v>31</v>
      </c>
    </row>
    <row r="79" spans="1:25" x14ac:dyDescent="0.2">
      <c r="A79" t="s">
        <v>306</v>
      </c>
      <c r="B79" t="s">
        <v>138</v>
      </c>
      <c r="C79" t="s">
        <v>24</v>
      </c>
      <c r="D79">
        <v>4.5647097161295898E-2</v>
      </c>
      <c r="E79">
        <v>0.163757105581712</v>
      </c>
      <c r="F79" t="s">
        <v>35</v>
      </c>
      <c r="G79">
        <v>11</v>
      </c>
      <c r="H79">
        <v>0.19707819578216901</v>
      </c>
      <c r="I79" t="s">
        <v>42</v>
      </c>
      <c r="J79" t="b">
        <v>0</v>
      </c>
      <c r="K79">
        <v>273.61517690624697</v>
      </c>
      <c r="L79">
        <v>273.90785983307597</v>
      </c>
      <c r="M79">
        <v>16.447586710446899</v>
      </c>
      <c r="N79" t="s">
        <v>26</v>
      </c>
      <c r="O79" t="s">
        <v>26</v>
      </c>
      <c r="P79" t="s">
        <v>311</v>
      </c>
      <c r="Q79">
        <f>-0.0754540663027336 - 0.469610457867071</f>
        <v>-0.54506452416980467</v>
      </c>
      <c r="R79" t="s">
        <v>27</v>
      </c>
      <c r="S79" t="s">
        <v>43</v>
      </c>
      <c r="T79" t="s">
        <v>26</v>
      </c>
      <c r="U79" t="s">
        <v>44</v>
      </c>
      <c r="V79">
        <v>2.4696493755033</v>
      </c>
      <c r="W79">
        <v>0.139047072492297</v>
      </c>
      <c r="X79" t="s">
        <v>30</v>
      </c>
      <c r="Y79" t="s">
        <v>31</v>
      </c>
    </row>
    <row r="80" spans="1:25" x14ac:dyDescent="0.2">
      <c r="A80" t="s">
        <v>306</v>
      </c>
      <c r="B80" t="s">
        <v>67</v>
      </c>
      <c r="C80" t="s">
        <v>24</v>
      </c>
      <c r="D80">
        <v>2.075517580395E-4</v>
      </c>
      <c r="E80">
        <v>0.92969315635674599</v>
      </c>
      <c r="F80" t="s">
        <v>35</v>
      </c>
      <c r="G80">
        <v>10</v>
      </c>
      <c r="H80">
        <v>-7.2329089895179996E-4</v>
      </c>
      <c r="I80" t="s">
        <v>36</v>
      </c>
      <c r="J80" t="b">
        <v>0</v>
      </c>
      <c r="K80">
        <v>255.14674477198</v>
      </c>
      <c r="L80">
        <v>255.47106909630401</v>
      </c>
      <c r="M80">
        <v>17.75907224206</v>
      </c>
      <c r="N80" t="s">
        <v>26</v>
      </c>
      <c r="O80" t="s">
        <v>26</v>
      </c>
      <c r="P80" t="s">
        <v>349</v>
      </c>
      <c r="Q80">
        <f>-0.0166846177625192 - 0.0152380359646156</f>
        <v>-3.1922653727134799E-2</v>
      </c>
      <c r="R80" t="s">
        <v>33</v>
      </c>
      <c r="S80" t="s">
        <v>37</v>
      </c>
      <c r="T80" t="s">
        <v>38</v>
      </c>
      <c r="U80" t="s">
        <v>209</v>
      </c>
      <c r="V80">
        <v>3.6039336233844601</v>
      </c>
      <c r="W80">
        <v>8.1435341140649996E-3</v>
      </c>
      <c r="X80" t="s">
        <v>30</v>
      </c>
      <c r="Y80" t="s">
        <v>31</v>
      </c>
    </row>
    <row r="81" spans="1:25" x14ac:dyDescent="0.2">
      <c r="A81" t="s">
        <v>306</v>
      </c>
      <c r="B81" t="s">
        <v>53</v>
      </c>
      <c r="C81" t="s">
        <v>24</v>
      </c>
      <c r="D81">
        <v>2.0156093884649999E-4</v>
      </c>
      <c r="E81">
        <v>0.93071277362326299</v>
      </c>
      <c r="F81" t="s">
        <v>35</v>
      </c>
      <c r="G81">
        <v>57</v>
      </c>
      <c r="H81">
        <v>0.26790361606809299</v>
      </c>
      <c r="I81" t="s">
        <v>36</v>
      </c>
      <c r="J81" t="b">
        <v>0</v>
      </c>
      <c r="K81">
        <v>255.147589174323</v>
      </c>
      <c r="L81">
        <v>255.47191349864701</v>
      </c>
      <c r="M81">
        <v>17.429927550416998</v>
      </c>
      <c r="N81" t="s">
        <v>26</v>
      </c>
      <c r="O81" t="s">
        <v>26</v>
      </c>
      <c r="P81" t="s">
        <v>308</v>
      </c>
      <c r="Q81">
        <f>-5.73133159443874 - 6.26713882657493</f>
        <v>-11.998470421013671</v>
      </c>
      <c r="R81" t="s">
        <v>33</v>
      </c>
      <c r="S81" t="s">
        <v>37</v>
      </c>
      <c r="T81" t="s">
        <v>38</v>
      </c>
      <c r="U81" t="s">
        <v>240</v>
      </c>
      <c r="V81">
        <v>3.57634831143787</v>
      </c>
      <c r="W81">
        <v>3.06083429107492</v>
      </c>
      <c r="X81" t="s">
        <v>30</v>
      </c>
      <c r="Y81" t="s">
        <v>31</v>
      </c>
    </row>
    <row r="82" spans="1:25" x14ac:dyDescent="0.2">
      <c r="A82" t="s">
        <v>306</v>
      </c>
      <c r="B82" t="s">
        <v>149</v>
      </c>
      <c r="C82" t="s">
        <v>24</v>
      </c>
      <c r="D82">
        <v>2.58706725034346E-2</v>
      </c>
      <c r="E82">
        <v>0.32145038577574098</v>
      </c>
      <c r="F82" t="s">
        <v>35</v>
      </c>
      <c r="G82">
        <v>22</v>
      </c>
      <c r="H82">
        <v>7.4213822379787997E-3</v>
      </c>
      <c r="I82" t="s">
        <v>36</v>
      </c>
      <c r="J82" t="b">
        <v>0</v>
      </c>
      <c r="K82">
        <v>251.77143124498201</v>
      </c>
      <c r="L82">
        <v>252.09575556930699</v>
      </c>
      <c r="M82">
        <v>14.4376968045569</v>
      </c>
      <c r="N82" t="s">
        <v>26</v>
      </c>
      <c r="O82" t="s">
        <v>26</v>
      </c>
      <c r="P82" t="s">
        <v>337</v>
      </c>
      <c r="Q82">
        <f>-0.00705811637631863 - 0.0219008808522763</f>
        <v>-2.8958997228594928E-2</v>
      </c>
      <c r="R82" t="s">
        <v>32</v>
      </c>
      <c r="S82" t="s">
        <v>37</v>
      </c>
      <c r="T82" t="s">
        <v>38</v>
      </c>
      <c r="U82" t="s">
        <v>301</v>
      </c>
      <c r="V82">
        <v>3.5357234852252599</v>
      </c>
      <c r="W82">
        <v>7.3874992930088998E-3</v>
      </c>
      <c r="X82" t="s">
        <v>30</v>
      </c>
      <c r="Y82" t="s">
        <v>31</v>
      </c>
    </row>
    <row r="83" spans="1:25" x14ac:dyDescent="0.2">
      <c r="A83" t="s">
        <v>306</v>
      </c>
      <c r="B83" t="s">
        <v>49</v>
      </c>
      <c r="C83" t="s">
        <v>24</v>
      </c>
      <c r="D83">
        <v>6.9101682981079996E-4</v>
      </c>
      <c r="E83">
        <v>0.87208505612202403</v>
      </c>
      <c r="F83" t="s">
        <v>35</v>
      </c>
      <c r="G83">
        <v>45</v>
      </c>
      <c r="H83">
        <v>2.5866207168571999E-3</v>
      </c>
      <c r="I83" t="s">
        <v>39</v>
      </c>
      <c r="J83" t="b">
        <v>0</v>
      </c>
      <c r="K83">
        <v>254.67575418668699</v>
      </c>
      <c r="L83">
        <v>255.000078511011</v>
      </c>
      <c r="M83">
        <v>17.010556958875998</v>
      </c>
      <c r="N83" t="s">
        <v>26</v>
      </c>
      <c r="O83" t="s">
        <v>26</v>
      </c>
      <c r="P83" t="s">
        <v>351</v>
      </c>
      <c r="Q83">
        <f>-0.0286887602096047 - 0.0338620016433193</f>
        <v>-6.2550761852924006E-2</v>
      </c>
      <c r="R83" t="s">
        <v>32</v>
      </c>
      <c r="S83" t="s">
        <v>40</v>
      </c>
      <c r="T83" t="s">
        <v>41</v>
      </c>
      <c r="U83" t="s">
        <v>258</v>
      </c>
      <c r="V83">
        <v>3.6207037910507802</v>
      </c>
      <c r="W83">
        <v>1.5956827003297001E-2</v>
      </c>
      <c r="X83" t="s">
        <v>30</v>
      </c>
      <c r="Y83" t="s">
        <v>31</v>
      </c>
    </row>
    <row r="84" spans="1:25" x14ac:dyDescent="0.2">
      <c r="A84" t="s">
        <v>306</v>
      </c>
      <c r="B84" t="s">
        <v>113</v>
      </c>
      <c r="C84" t="s">
        <v>24</v>
      </c>
      <c r="D84" s="1">
        <v>6.5802646255738002E-5</v>
      </c>
      <c r="E84">
        <v>0.95933725312083995</v>
      </c>
      <c r="F84" t="s">
        <v>35</v>
      </c>
      <c r="G84">
        <v>19</v>
      </c>
      <c r="H84">
        <v>5.4889201769189996E-4</v>
      </c>
      <c r="I84" t="s">
        <v>39</v>
      </c>
      <c r="J84" t="b">
        <v>0</v>
      </c>
      <c r="K84">
        <v>265.92822031177502</v>
      </c>
      <c r="L84">
        <v>266.235912619467</v>
      </c>
      <c r="M84">
        <v>17.735070778457999</v>
      </c>
      <c r="N84" t="s">
        <v>26</v>
      </c>
      <c r="O84" t="s">
        <v>26</v>
      </c>
      <c r="P84" t="s">
        <v>342</v>
      </c>
      <c r="Q84">
        <f>-0.0204200742886751 - 0.0215178583240589</f>
        <v>-4.1937932612734E-2</v>
      </c>
      <c r="R84" t="s">
        <v>34</v>
      </c>
      <c r="S84" t="s">
        <v>40</v>
      </c>
      <c r="T84" t="s">
        <v>41</v>
      </c>
      <c r="U84" t="s">
        <v>268</v>
      </c>
      <c r="V84">
        <v>3.6108417976775402</v>
      </c>
      <c r="W84">
        <v>1.0698452197126E-2</v>
      </c>
      <c r="X84" t="s">
        <v>30</v>
      </c>
      <c r="Y84" t="s">
        <v>31</v>
      </c>
    </row>
    <row r="85" spans="1:25" x14ac:dyDescent="0.2">
      <c r="A85" t="s">
        <v>306</v>
      </c>
      <c r="B85" t="s">
        <v>93</v>
      </c>
      <c r="C85" t="s">
        <v>24</v>
      </c>
      <c r="D85">
        <v>3.2342758498139702E-2</v>
      </c>
      <c r="E85">
        <v>0.26681374267048102</v>
      </c>
      <c r="F85" t="s">
        <v>35</v>
      </c>
      <c r="G85">
        <v>61</v>
      </c>
      <c r="H85">
        <v>0.25349336063243799</v>
      </c>
      <c r="I85" t="s">
        <v>39</v>
      </c>
      <c r="J85" t="b">
        <v>0</v>
      </c>
      <c r="K85">
        <v>253.38831066366299</v>
      </c>
      <c r="L85">
        <v>253.712634987987</v>
      </c>
      <c r="M85">
        <v>18.633845525323999</v>
      </c>
      <c r="N85" t="s">
        <v>26</v>
      </c>
      <c r="O85" t="s">
        <v>26</v>
      </c>
      <c r="P85" t="s">
        <v>365</v>
      </c>
      <c r="Q85">
        <f>-0.187369088130163 - 0.694355809395039</f>
        <v>-0.88172489752520211</v>
      </c>
      <c r="R85" t="s">
        <v>32</v>
      </c>
      <c r="S85" t="s">
        <v>40</v>
      </c>
      <c r="T85" t="s">
        <v>41</v>
      </c>
      <c r="U85" t="s">
        <v>234</v>
      </c>
      <c r="V85">
        <v>3.3396181281828299</v>
      </c>
      <c r="W85">
        <v>0.22492982079724499</v>
      </c>
      <c r="X85" t="s">
        <v>30</v>
      </c>
      <c r="Y85" t="s">
        <v>31</v>
      </c>
    </row>
    <row r="86" spans="1:25" x14ac:dyDescent="0.2">
      <c r="A86" t="s">
        <v>306</v>
      </c>
      <c r="B86" t="s">
        <v>140</v>
      </c>
      <c r="C86" t="s">
        <v>24</v>
      </c>
      <c r="D86">
        <v>4.643547687957E-4</v>
      </c>
      <c r="E86">
        <v>0.89361722239201802</v>
      </c>
      <c r="F86" t="s">
        <v>35</v>
      </c>
      <c r="G86">
        <v>59</v>
      </c>
      <c r="H86">
        <v>-2.7857165075164999E-3</v>
      </c>
      <c r="I86" t="s">
        <v>39</v>
      </c>
      <c r="J86" t="b">
        <v>0</v>
      </c>
      <c r="K86">
        <v>259.4428351601</v>
      </c>
      <c r="L86">
        <v>259.758624633784</v>
      </c>
      <c r="M86">
        <v>16.066795360994998</v>
      </c>
      <c r="N86" t="s">
        <v>26</v>
      </c>
      <c r="O86" t="s">
        <v>26</v>
      </c>
      <c r="P86" t="s">
        <v>307</v>
      </c>
      <c r="Q86">
        <f>-0.0433491654163272 - 0.0377777324012941</f>
        <v>-8.1126897817621293E-2</v>
      </c>
      <c r="R86" t="s">
        <v>34</v>
      </c>
      <c r="S86" t="s">
        <v>40</v>
      </c>
      <c r="T86" t="s">
        <v>41</v>
      </c>
      <c r="U86" t="s">
        <v>196</v>
      </c>
      <c r="V86">
        <v>3.6663785268509401</v>
      </c>
      <c r="W86">
        <v>2.06956371983728E-2</v>
      </c>
      <c r="X86" t="s">
        <v>30</v>
      </c>
      <c r="Y86" t="s">
        <v>31</v>
      </c>
    </row>
    <row r="87" spans="1:25" x14ac:dyDescent="0.2">
      <c r="A87" t="s">
        <v>306</v>
      </c>
      <c r="B87" t="s">
        <v>130</v>
      </c>
      <c r="C87" t="s">
        <v>24</v>
      </c>
      <c r="D87">
        <v>4.4531894100385003E-3</v>
      </c>
      <c r="E87">
        <v>0.67456481730485496</v>
      </c>
      <c r="F87" t="s">
        <v>35</v>
      </c>
      <c r="G87">
        <v>57</v>
      </c>
      <c r="H87">
        <v>4.0042582191955299E-2</v>
      </c>
      <c r="I87" t="s">
        <v>36</v>
      </c>
      <c r="J87" t="b">
        <v>0</v>
      </c>
      <c r="K87">
        <v>264.13639530676897</v>
      </c>
      <c r="L87">
        <v>264.44408761446198</v>
      </c>
      <c r="M87">
        <v>15.8364849075019</v>
      </c>
      <c r="N87" t="s">
        <v>26</v>
      </c>
      <c r="O87" t="s">
        <v>26</v>
      </c>
      <c r="P87" t="s">
        <v>341</v>
      </c>
      <c r="Q87">
        <f>-0.145499920485713 - 0.225585084869624</f>
        <v>-0.37108500535533701</v>
      </c>
      <c r="R87" t="s">
        <v>34</v>
      </c>
      <c r="S87" t="s">
        <v>37</v>
      </c>
      <c r="T87" t="s">
        <v>38</v>
      </c>
      <c r="U87" t="s">
        <v>249</v>
      </c>
      <c r="V87">
        <v>3.4929993526663399</v>
      </c>
      <c r="W87">
        <v>9.4664542182483796E-2</v>
      </c>
      <c r="X87" t="s">
        <v>30</v>
      </c>
      <c r="Y87" t="s">
        <v>31</v>
      </c>
    </row>
    <row r="88" spans="1:25" x14ac:dyDescent="0.2">
      <c r="A88" t="s">
        <v>306</v>
      </c>
      <c r="B88" t="s">
        <v>164</v>
      </c>
      <c r="C88" t="s">
        <v>24</v>
      </c>
      <c r="D88">
        <v>4.7754123754662099E-2</v>
      </c>
      <c r="E88">
        <v>0.164423106087974</v>
      </c>
      <c r="F88" t="s">
        <v>35</v>
      </c>
      <c r="G88">
        <v>66</v>
      </c>
      <c r="H88">
        <v>-3.37661354785872E-2</v>
      </c>
      <c r="I88" t="s">
        <v>36</v>
      </c>
      <c r="J88" t="b">
        <v>0</v>
      </c>
      <c r="K88">
        <v>262.26544375328803</v>
      </c>
      <c r="L88">
        <v>262.57313606098</v>
      </c>
      <c r="M88">
        <v>13.935592418572</v>
      </c>
      <c r="N88" t="s">
        <v>26</v>
      </c>
      <c r="O88" t="s">
        <v>26</v>
      </c>
      <c r="P88" t="s">
        <v>346</v>
      </c>
      <c r="Q88">
        <f>-0.0804940656624468 - 0.0129617947052723</f>
        <v>-9.3455860367719093E-2</v>
      </c>
      <c r="R88" t="s">
        <v>34</v>
      </c>
      <c r="S88" t="s">
        <v>37</v>
      </c>
      <c r="T88" t="s">
        <v>38</v>
      </c>
      <c r="U88" t="s">
        <v>272</v>
      </c>
      <c r="V88">
        <v>4.3938907560883997</v>
      </c>
      <c r="W88">
        <v>2.38407807060508E-2</v>
      </c>
      <c r="X88" t="s">
        <v>30</v>
      </c>
      <c r="Y88" t="s">
        <v>31</v>
      </c>
    </row>
    <row r="89" spans="1:25" x14ac:dyDescent="0.2">
      <c r="A89" t="s">
        <v>306</v>
      </c>
      <c r="B89" t="s">
        <v>77</v>
      </c>
      <c r="C89" t="s">
        <v>24</v>
      </c>
      <c r="D89">
        <v>2.9658565782766E-3</v>
      </c>
      <c r="E89">
        <v>0.73194287946513503</v>
      </c>
      <c r="F89" t="s">
        <v>35</v>
      </c>
      <c r="G89">
        <v>10</v>
      </c>
      <c r="H89">
        <v>-7.2175539110235004E-3</v>
      </c>
      <c r="I89" t="s">
        <v>39</v>
      </c>
      <c r="J89" t="b">
        <v>0</v>
      </c>
      <c r="K89">
        <v>265.80623304909898</v>
      </c>
      <c r="L89">
        <v>266.11392535679101</v>
      </c>
      <c r="M89">
        <v>18.933296622745001</v>
      </c>
      <c r="N89" t="s">
        <v>26</v>
      </c>
      <c r="O89" t="s">
        <v>26</v>
      </c>
      <c r="P89" t="s">
        <v>322</v>
      </c>
      <c r="Q89">
        <f>-0.0482281474499335 - 0.0337930396278864</f>
        <v>-8.2021187077819899E-2</v>
      </c>
      <c r="R89" t="s">
        <v>34</v>
      </c>
      <c r="S89" t="s">
        <v>40</v>
      </c>
      <c r="T89" t="s">
        <v>41</v>
      </c>
      <c r="U89" t="s">
        <v>298</v>
      </c>
      <c r="V89">
        <v>3.78743884632773</v>
      </c>
      <c r="W89">
        <v>2.09237722137296E-2</v>
      </c>
      <c r="X89" t="s">
        <v>30</v>
      </c>
      <c r="Y89" t="s">
        <v>31</v>
      </c>
    </row>
    <row r="90" spans="1:25" x14ac:dyDescent="0.2">
      <c r="A90" t="s">
        <v>306</v>
      </c>
      <c r="B90" t="s">
        <v>120</v>
      </c>
      <c r="C90" t="s">
        <v>24</v>
      </c>
      <c r="D90">
        <v>6.4230448406219995E-4</v>
      </c>
      <c r="E90">
        <v>0.87664009480701899</v>
      </c>
      <c r="F90" t="s">
        <v>35</v>
      </c>
      <c r="G90">
        <v>31</v>
      </c>
      <c r="H90">
        <v>-2.7510506642487E-3</v>
      </c>
      <c r="I90" t="s">
        <v>39</v>
      </c>
      <c r="J90" t="b">
        <v>0</v>
      </c>
      <c r="K90">
        <v>254.67770398036799</v>
      </c>
      <c r="L90">
        <v>255.002028304692</v>
      </c>
      <c r="M90">
        <v>17.066971113850901</v>
      </c>
      <c r="N90" t="s">
        <v>26</v>
      </c>
      <c r="O90" t="s">
        <v>26</v>
      </c>
      <c r="P90" t="s">
        <v>319</v>
      </c>
      <c r="Q90">
        <f>-0.037253733439889 - 0.0317516321113915</f>
        <v>-6.9005365551280506E-2</v>
      </c>
      <c r="R90" t="s">
        <v>32</v>
      </c>
      <c r="S90" t="s">
        <v>40</v>
      </c>
      <c r="T90" t="s">
        <v>41</v>
      </c>
      <c r="U90" t="s">
        <v>221</v>
      </c>
      <c r="V90">
        <v>3.82942203467121</v>
      </c>
      <c r="W90">
        <v>1.76034095794083E-2</v>
      </c>
      <c r="X90" t="s">
        <v>30</v>
      </c>
      <c r="Y90" t="s">
        <v>31</v>
      </c>
    </row>
    <row r="91" spans="1:25" x14ac:dyDescent="0.2">
      <c r="A91" t="s">
        <v>306</v>
      </c>
      <c r="B91" t="s">
        <v>45</v>
      </c>
      <c r="C91" t="s">
        <v>24</v>
      </c>
      <c r="D91">
        <v>3.2142597214788E-3</v>
      </c>
      <c r="E91">
        <v>0.72823324975936898</v>
      </c>
      <c r="F91" t="s">
        <v>35</v>
      </c>
      <c r="G91">
        <v>66</v>
      </c>
      <c r="H91">
        <v>-2.9542457952093999E-3</v>
      </c>
      <c r="I91" t="s">
        <v>36</v>
      </c>
      <c r="J91" t="b">
        <v>0</v>
      </c>
      <c r="K91">
        <v>255.02716887541399</v>
      </c>
      <c r="L91">
        <v>255.351493199738</v>
      </c>
      <c r="M91">
        <v>17.390245444360001</v>
      </c>
      <c r="N91" t="s">
        <v>26</v>
      </c>
      <c r="O91" t="s">
        <v>26</v>
      </c>
      <c r="P91" t="s">
        <v>354</v>
      </c>
      <c r="Q91">
        <f>-0.0194956100127361 - 0.0135871184223173</f>
        <v>-3.3082728435053402E-2</v>
      </c>
      <c r="R91" t="s">
        <v>33</v>
      </c>
      <c r="S91" t="s">
        <v>37</v>
      </c>
      <c r="T91" t="s">
        <v>38</v>
      </c>
      <c r="U91" t="s">
        <v>276</v>
      </c>
      <c r="V91">
        <v>3.5998150905915498</v>
      </c>
      <c r="W91">
        <v>8.4394715395543999E-3</v>
      </c>
      <c r="X91" t="s">
        <v>30</v>
      </c>
      <c r="Y91" t="s">
        <v>31</v>
      </c>
    </row>
    <row r="92" spans="1:25" x14ac:dyDescent="0.2">
      <c r="A92" t="s">
        <v>306</v>
      </c>
      <c r="B92" t="s">
        <v>51</v>
      </c>
      <c r="C92" t="s">
        <v>24</v>
      </c>
      <c r="D92">
        <v>5.0526798889480003E-4</v>
      </c>
      <c r="E92">
        <v>0.88484584706848202</v>
      </c>
      <c r="F92" t="s">
        <v>35</v>
      </c>
      <c r="G92">
        <v>49</v>
      </c>
      <c r="H92">
        <v>-2.7635328161739999E-3</v>
      </c>
      <c r="I92" t="s">
        <v>39</v>
      </c>
      <c r="J92" t="b">
        <v>0</v>
      </c>
      <c r="K92">
        <v>275.64869679636899</v>
      </c>
      <c r="L92">
        <v>275.941379723198</v>
      </c>
      <c r="M92">
        <v>17.241230841868902</v>
      </c>
      <c r="N92" t="s">
        <v>26</v>
      </c>
      <c r="O92" t="s">
        <v>26</v>
      </c>
      <c r="P92" t="s">
        <v>348</v>
      </c>
      <c r="Q92">
        <f>-0.0399363447666619 - 0.0344092791343139</f>
        <v>-7.4345623900975794E-2</v>
      </c>
      <c r="R92" t="s">
        <v>27</v>
      </c>
      <c r="S92" t="s">
        <v>40</v>
      </c>
      <c r="T92" t="s">
        <v>41</v>
      </c>
      <c r="U92" t="s">
        <v>218</v>
      </c>
      <c r="V92">
        <v>3.7639078398889199</v>
      </c>
      <c r="W92">
        <v>1.8965720382902E-2</v>
      </c>
      <c r="X92" t="s">
        <v>30</v>
      </c>
      <c r="Y92" t="s">
        <v>31</v>
      </c>
    </row>
    <row r="93" spans="1:25" x14ac:dyDescent="0.2">
      <c r="A93" t="s">
        <v>306</v>
      </c>
      <c r="B93" t="s">
        <v>75</v>
      </c>
      <c r="C93" t="s">
        <v>24</v>
      </c>
      <c r="D93">
        <v>3.6830286038861501E-2</v>
      </c>
      <c r="E93">
        <v>0.21203369195772501</v>
      </c>
      <c r="F93" t="s">
        <v>35</v>
      </c>
      <c r="G93">
        <v>45</v>
      </c>
      <c r="H93">
        <v>-3.9440823526979099E-2</v>
      </c>
      <c r="I93" t="s">
        <v>39</v>
      </c>
      <c r="J93" t="b">
        <v>0</v>
      </c>
      <c r="K93">
        <v>274.01980569126101</v>
      </c>
      <c r="L93">
        <v>274.31248861809098</v>
      </c>
      <c r="M93">
        <v>15.6238101657179</v>
      </c>
      <c r="N93" t="s">
        <v>26</v>
      </c>
      <c r="O93" t="s">
        <v>26</v>
      </c>
      <c r="P93" t="s">
        <v>353</v>
      </c>
      <c r="Q93">
        <f>-0.100440321923408 - 0.0215586748694503</f>
        <v>-0.12199899679285831</v>
      </c>
      <c r="R93" t="s">
        <v>27</v>
      </c>
      <c r="S93" t="s">
        <v>40</v>
      </c>
      <c r="T93" t="s">
        <v>41</v>
      </c>
      <c r="U93" t="s">
        <v>191</v>
      </c>
      <c r="V93">
        <v>3.7808962660057901</v>
      </c>
      <c r="W93">
        <v>3.1122193059402701E-2</v>
      </c>
      <c r="X93" t="s">
        <v>30</v>
      </c>
      <c r="Y93" t="s">
        <v>31</v>
      </c>
    </row>
    <row r="94" spans="1:25" x14ac:dyDescent="0.2">
      <c r="A94" t="s">
        <v>306</v>
      </c>
      <c r="B94" t="s">
        <v>132</v>
      </c>
      <c r="C94" t="s">
        <v>24</v>
      </c>
      <c r="D94">
        <v>2.3271137992386198E-2</v>
      </c>
      <c r="E94">
        <v>0.33481824952717998</v>
      </c>
      <c r="F94" t="s">
        <v>35</v>
      </c>
      <c r="G94">
        <v>45</v>
      </c>
      <c r="H94">
        <v>-1.6697379322706801E-2</v>
      </c>
      <c r="I94" t="s">
        <v>42</v>
      </c>
      <c r="J94" t="b">
        <v>0</v>
      </c>
      <c r="K94">
        <v>264.942044283781</v>
      </c>
      <c r="L94">
        <v>265.249736591474</v>
      </c>
      <c r="M94">
        <v>16.749359578535</v>
      </c>
      <c r="N94" t="s">
        <v>26</v>
      </c>
      <c r="O94" t="s">
        <v>26</v>
      </c>
      <c r="P94" t="s">
        <v>310</v>
      </c>
      <c r="Q94">
        <f>-0.0502211289854946 - 0.016826370340081</f>
        <v>-6.7047499325575605E-2</v>
      </c>
      <c r="R94" t="s">
        <v>34</v>
      </c>
      <c r="S94" t="s">
        <v>43</v>
      </c>
      <c r="T94" t="s">
        <v>26</v>
      </c>
      <c r="U94" t="s">
        <v>44</v>
      </c>
      <c r="V94">
        <v>3.76929562462001</v>
      </c>
      <c r="W94">
        <v>1.7103953909585599E-2</v>
      </c>
      <c r="X94" t="s">
        <v>30</v>
      </c>
      <c r="Y94" t="s">
        <v>31</v>
      </c>
    </row>
    <row r="95" spans="1:25" x14ac:dyDescent="0.2">
      <c r="A95" t="s">
        <v>306</v>
      </c>
      <c r="B95" t="s">
        <v>120</v>
      </c>
      <c r="C95" t="s">
        <v>24</v>
      </c>
      <c r="D95">
        <v>1.4994857485596E-3</v>
      </c>
      <c r="E95">
        <v>0.81247846640977595</v>
      </c>
      <c r="F95" t="s">
        <v>35</v>
      </c>
      <c r="G95">
        <v>31</v>
      </c>
      <c r="H95">
        <v>-2.9566252047294999E-3</v>
      </c>
      <c r="I95" t="s">
        <v>36</v>
      </c>
      <c r="J95" t="b">
        <v>0</v>
      </c>
      <c r="K95">
        <v>252.76009749990999</v>
      </c>
      <c r="L95">
        <v>253.084421824234</v>
      </c>
      <c r="M95">
        <v>15.149364633392899</v>
      </c>
      <c r="N95" t="s">
        <v>26</v>
      </c>
      <c r="O95" t="s">
        <v>26</v>
      </c>
      <c r="P95" t="s">
        <v>319</v>
      </c>
      <c r="Q95">
        <f>-0.0272151017400549 - 0.0213018513305958</f>
        <v>-4.8516953070650702E-2</v>
      </c>
      <c r="R95" t="s">
        <v>32</v>
      </c>
      <c r="S95" t="s">
        <v>37</v>
      </c>
      <c r="T95" t="s">
        <v>38</v>
      </c>
      <c r="U95" t="s">
        <v>300</v>
      </c>
      <c r="V95">
        <v>3.8367434332020598</v>
      </c>
      <c r="W95">
        <v>1.2376773742512901E-2</v>
      </c>
      <c r="X95" t="s">
        <v>30</v>
      </c>
      <c r="Y95" t="s">
        <v>31</v>
      </c>
    </row>
    <row r="96" spans="1:25" x14ac:dyDescent="0.2">
      <c r="A96" t="s">
        <v>306</v>
      </c>
      <c r="B96" t="s">
        <v>55</v>
      </c>
      <c r="C96" t="s">
        <v>24</v>
      </c>
      <c r="D96">
        <v>5.9667285021529999E-4</v>
      </c>
      <c r="E96">
        <v>0.88107031060975105</v>
      </c>
      <c r="F96" t="s">
        <v>35</v>
      </c>
      <c r="G96">
        <v>59</v>
      </c>
      <c r="H96">
        <v>5.1028624459457999E-3</v>
      </c>
      <c r="I96" t="s">
        <v>42</v>
      </c>
      <c r="J96" t="b">
        <v>0</v>
      </c>
      <c r="K96">
        <v>257.63413452681198</v>
      </c>
      <c r="L96">
        <v>257.95845885113698</v>
      </c>
      <c r="M96">
        <v>19.719798500904901</v>
      </c>
      <c r="N96" t="s">
        <v>26</v>
      </c>
      <c r="O96" t="s">
        <v>26</v>
      </c>
      <c r="P96" t="s">
        <v>359</v>
      </c>
      <c r="Q96">
        <f>-0.0612990200077562 - 0.0715047448996479</f>
        <v>-0.13280376490740411</v>
      </c>
      <c r="R96" t="s">
        <v>33</v>
      </c>
      <c r="S96" t="s">
        <v>43</v>
      </c>
      <c r="T96" t="s">
        <v>26</v>
      </c>
      <c r="U96" t="s">
        <v>44</v>
      </c>
      <c r="V96">
        <v>3.5655454651795799</v>
      </c>
      <c r="W96">
        <v>3.38785114559704E-2</v>
      </c>
      <c r="X96" t="s">
        <v>30</v>
      </c>
      <c r="Y96" t="s">
        <v>31</v>
      </c>
    </row>
    <row r="97" spans="1:25" x14ac:dyDescent="0.2">
      <c r="A97" t="s">
        <v>306</v>
      </c>
      <c r="B97" t="s">
        <v>151</v>
      </c>
      <c r="C97" t="s">
        <v>24</v>
      </c>
      <c r="D97" s="1">
        <v>2.2198194956929401E-5</v>
      </c>
      <c r="E97">
        <v>0.975785560082021</v>
      </c>
      <c r="F97" t="s">
        <v>35</v>
      </c>
      <c r="G97">
        <v>28</v>
      </c>
      <c r="H97">
        <v>-9.4688291231549997E-4</v>
      </c>
      <c r="I97" t="s">
        <v>39</v>
      </c>
      <c r="J97" t="b">
        <v>0</v>
      </c>
      <c r="K97">
        <v>275.66995747485998</v>
      </c>
      <c r="L97">
        <v>275.96264040168899</v>
      </c>
      <c r="M97">
        <v>17.244963648436901</v>
      </c>
      <c r="N97" t="s">
        <v>26</v>
      </c>
      <c r="O97" t="s">
        <v>26</v>
      </c>
      <c r="P97" t="s">
        <v>328</v>
      </c>
      <c r="Q97">
        <f>-0.0617273529636256 - 0.0598335871389946</f>
        <v>-0.1215609401026202</v>
      </c>
      <c r="R97" t="s">
        <v>27</v>
      </c>
      <c r="S97" t="s">
        <v>40</v>
      </c>
      <c r="T97" t="s">
        <v>41</v>
      </c>
      <c r="U97" t="s">
        <v>285</v>
      </c>
      <c r="V97">
        <v>3.5948833653850798</v>
      </c>
      <c r="W97">
        <v>3.1010443903729701E-2</v>
      </c>
      <c r="X97" t="s">
        <v>30</v>
      </c>
      <c r="Y97" t="s">
        <v>31</v>
      </c>
    </row>
    <row r="98" spans="1:25" x14ac:dyDescent="0.2">
      <c r="A98" t="s">
        <v>306</v>
      </c>
      <c r="B98" t="s">
        <v>124</v>
      </c>
      <c r="C98" t="s">
        <v>24</v>
      </c>
      <c r="D98">
        <v>5.6541597834609603E-2</v>
      </c>
      <c r="E98">
        <v>0.13954696830782501</v>
      </c>
      <c r="F98" t="s">
        <v>35</v>
      </c>
      <c r="G98">
        <v>57</v>
      </c>
      <c r="H98">
        <v>-1.6975879684998699E-2</v>
      </c>
      <c r="I98" t="s">
        <v>42</v>
      </c>
      <c r="J98" t="b">
        <v>0</v>
      </c>
      <c r="K98">
        <v>255.32988840400901</v>
      </c>
      <c r="L98">
        <v>255.65421272833299</v>
      </c>
      <c r="M98">
        <v>18.925662338047001</v>
      </c>
      <c r="N98" t="s">
        <v>26</v>
      </c>
      <c r="O98" t="s">
        <v>26</v>
      </c>
      <c r="P98" t="s">
        <v>331</v>
      </c>
      <c r="Q98">
        <f>-0.0390241183441596 - 0.00507235897416227</f>
        <v>-4.4096477318321871E-2</v>
      </c>
      <c r="R98" t="s">
        <v>33</v>
      </c>
      <c r="S98" t="s">
        <v>43</v>
      </c>
      <c r="T98" t="s">
        <v>26</v>
      </c>
      <c r="U98" t="s">
        <v>44</v>
      </c>
      <c r="V98">
        <v>4.6472870322741997</v>
      </c>
      <c r="W98">
        <v>1.1249101356714799E-2</v>
      </c>
      <c r="X98" t="s">
        <v>30</v>
      </c>
      <c r="Y98" t="s">
        <v>31</v>
      </c>
    </row>
    <row r="99" spans="1:25" x14ac:dyDescent="0.2">
      <c r="A99" t="s">
        <v>306</v>
      </c>
      <c r="B99" t="s">
        <v>118</v>
      </c>
      <c r="C99" t="s">
        <v>24</v>
      </c>
      <c r="D99">
        <v>1.34050189008712E-2</v>
      </c>
      <c r="E99">
        <v>0.47681441530170998</v>
      </c>
      <c r="F99" t="s">
        <v>35</v>
      </c>
      <c r="G99">
        <v>20</v>
      </c>
      <c r="H99">
        <v>-3.3368026842006001E-3</v>
      </c>
      <c r="I99" t="s">
        <v>42</v>
      </c>
      <c r="J99" t="b">
        <v>0</v>
      </c>
      <c r="K99">
        <v>254.163577323845</v>
      </c>
      <c r="L99">
        <v>254.48790164817001</v>
      </c>
      <c r="M99">
        <v>17.219215067566999</v>
      </c>
      <c r="N99" t="s">
        <v>26</v>
      </c>
      <c r="O99" t="s">
        <v>26</v>
      </c>
      <c r="P99" t="s">
        <v>327</v>
      </c>
      <c r="Q99">
        <f>-0.0124386707255576 - 0.00576506535715622</f>
        <v>-1.820373608271382E-2</v>
      </c>
      <c r="R99" t="s">
        <v>32</v>
      </c>
      <c r="S99" t="s">
        <v>43</v>
      </c>
      <c r="T99" t="s">
        <v>26</v>
      </c>
      <c r="U99" t="s">
        <v>44</v>
      </c>
      <c r="V99">
        <v>3.6587032247074398</v>
      </c>
      <c r="W99">
        <v>4.6438102251819997E-3</v>
      </c>
      <c r="X99" t="s">
        <v>30</v>
      </c>
      <c r="Y99" t="s">
        <v>31</v>
      </c>
    </row>
    <row r="100" spans="1:25" x14ac:dyDescent="0.2">
      <c r="A100" t="s">
        <v>306</v>
      </c>
      <c r="B100" t="s">
        <v>55</v>
      </c>
      <c r="C100" t="s">
        <v>24</v>
      </c>
      <c r="D100">
        <v>1.08609872153796E-2</v>
      </c>
      <c r="E100">
        <v>0.52219480069332003</v>
      </c>
      <c r="F100" t="s">
        <v>35</v>
      </c>
      <c r="G100">
        <v>59</v>
      </c>
      <c r="H100">
        <v>2.5058209007639901E-2</v>
      </c>
      <c r="I100" t="s">
        <v>36</v>
      </c>
      <c r="J100" t="b">
        <v>0</v>
      </c>
      <c r="K100">
        <v>254.74421432120201</v>
      </c>
      <c r="L100">
        <v>255.06853864552599</v>
      </c>
      <c r="M100">
        <v>16.829878295293899</v>
      </c>
      <c r="N100" t="s">
        <v>26</v>
      </c>
      <c r="O100" t="s">
        <v>26</v>
      </c>
      <c r="P100" t="s">
        <v>359</v>
      </c>
      <c r="Q100">
        <f>-0.0509758743789853 - 0.101092292394265</f>
        <v>-0.1520681667732503</v>
      </c>
      <c r="R100" t="s">
        <v>33</v>
      </c>
      <c r="S100" t="s">
        <v>37</v>
      </c>
      <c r="T100" t="s">
        <v>38</v>
      </c>
      <c r="U100" t="s">
        <v>293</v>
      </c>
      <c r="V100">
        <v>3.2391078663994999</v>
      </c>
      <c r="W100">
        <v>3.87928996870536E-2</v>
      </c>
      <c r="X100" t="s">
        <v>30</v>
      </c>
      <c r="Y100" t="s">
        <v>31</v>
      </c>
    </row>
    <row r="101" spans="1:25" x14ac:dyDescent="0.2">
      <c r="A101" t="s">
        <v>306</v>
      </c>
      <c r="B101" t="s">
        <v>164</v>
      </c>
      <c r="C101" t="s">
        <v>24</v>
      </c>
      <c r="D101">
        <v>4.3884077157484103E-2</v>
      </c>
      <c r="E101">
        <v>0.18303193680542901</v>
      </c>
      <c r="F101" t="s">
        <v>35</v>
      </c>
      <c r="G101">
        <v>66</v>
      </c>
      <c r="H101">
        <v>-2.5890484308459302E-2</v>
      </c>
      <c r="I101" t="s">
        <v>42</v>
      </c>
      <c r="J101" t="b">
        <v>0</v>
      </c>
      <c r="K101">
        <v>264.04618728055601</v>
      </c>
      <c r="L101">
        <v>264.35387958824901</v>
      </c>
      <c r="M101">
        <v>15.716335945840999</v>
      </c>
      <c r="N101" t="s">
        <v>26</v>
      </c>
      <c r="O101" t="s">
        <v>26</v>
      </c>
      <c r="P101" t="s">
        <v>346</v>
      </c>
      <c r="Q101">
        <f>-0.0633418828886952 - 0.0115609142717766</f>
        <v>-7.4902797160471796E-2</v>
      </c>
      <c r="R101" t="s">
        <v>34</v>
      </c>
      <c r="S101" t="s">
        <v>43</v>
      </c>
      <c r="T101" t="s">
        <v>26</v>
      </c>
      <c r="U101" t="s">
        <v>44</v>
      </c>
      <c r="V101">
        <v>4.1782866894802497</v>
      </c>
      <c r="W101">
        <v>1.9107856418487699E-2</v>
      </c>
      <c r="X101" t="s">
        <v>30</v>
      </c>
      <c r="Y101" t="s">
        <v>31</v>
      </c>
    </row>
    <row r="102" spans="1:25" x14ac:dyDescent="0.2">
      <c r="A102" t="s">
        <v>306</v>
      </c>
      <c r="B102" t="s">
        <v>90</v>
      </c>
      <c r="C102" t="s">
        <v>24</v>
      </c>
      <c r="D102">
        <v>0.211096837136558</v>
      </c>
      <c r="E102">
        <v>1.7046166926858999E-3</v>
      </c>
      <c r="F102" t="s">
        <v>35</v>
      </c>
      <c r="G102">
        <v>31</v>
      </c>
      <c r="H102">
        <v>3.0221241697444601E-2</v>
      </c>
      <c r="I102" t="s">
        <v>36</v>
      </c>
      <c r="J102" t="b">
        <v>0</v>
      </c>
      <c r="K102">
        <v>263.91660347744102</v>
      </c>
      <c r="L102">
        <v>264.20928640427098</v>
      </c>
      <c r="M102">
        <v>19.869928765454901</v>
      </c>
      <c r="N102" t="s">
        <v>26</v>
      </c>
      <c r="O102" t="s">
        <v>26</v>
      </c>
      <c r="P102" t="s">
        <v>333</v>
      </c>
      <c r="Q102" t="s">
        <v>224</v>
      </c>
      <c r="R102" t="s">
        <v>27</v>
      </c>
      <c r="S102" t="s">
        <v>37</v>
      </c>
      <c r="T102" t="s">
        <v>38</v>
      </c>
      <c r="U102" t="s">
        <v>225</v>
      </c>
      <c r="V102">
        <v>1.90963878296904</v>
      </c>
      <c r="W102">
        <v>9.0148528986455992E-3</v>
      </c>
      <c r="X102" t="s">
        <v>30</v>
      </c>
      <c r="Y102" t="s">
        <v>31</v>
      </c>
    </row>
    <row r="103" spans="1:25" x14ac:dyDescent="0.2">
      <c r="A103" t="s">
        <v>306</v>
      </c>
      <c r="B103" t="s">
        <v>101</v>
      </c>
      <c r="C103" t="s">
        <v>24</v>
      </c>
      <c r="D103">
        <v>6.3951374028506203E-2</v>
      </c>
      <c r="E103">
        <v>0.11539784821955899</v>
      </c>
      <c r="F103" t="s">
        <v>35</v>
      </c>
      <c r="G103">
        <v>39</v>
      </c>
      <c r="H103">
        <v>-1.86386993697862E-2</v>
      </c>
      <c r="I103" t="s">
        <v>36</v>
      </c>
      <c r="J103" t="b">
        <v>0</v>
      </c>
      <c r="K103">
        <v>252.92061787730299</v>
      </c>
      <c r="L103">
        <v>253.244942201627</v>
      </c>
      <c r="M103">
        <v>16.873558712906</v>
      </c>
      <c r="N103" t="s">
        <v>26</v>
      </c>
      <c r="O103" t="s">
        <v>26</v>
      </c>
      <c r="P103" t="s">
        <v>321</v>
      </c>
      <c r="Q103">
        <f>-0.0413114463574595 - 0.004034047617887</f>
        <v>-4.5345493975346499E-2</v>
      </c>
      <c r="R103" t="s">
        <v>33</v>
      </c>
      <c r="S103" t="s">
        <v>37</v>
      </c>
      <c r="T103" t="s">
        <v>38</v>
      </c>
      <c r="U103" t="s">
        <v>302</v>
      </c>
      <c r="V103">
        <v>4.5212573648516701</v>
      </c>
      <c r="W103">
        <v>1.15677280549353E-2</v>
      </c>
      <c r="X103" t="s">
        <v>30</v>
      </c>
      <c r="Y103" t="s">
        <v>31</v>
      </c>
    </row>
    <row r="104" spans="1:25" x14ac:dyDescent="0.2">
      <c r="A104" t="s">
        <v>306</v>
      </c>
      <c r="B104" t="s">
        <v>57</v>
      </c>
      <c r="C104" t="s">
        <v>24</v>
      </c>
      <c r="D104">
        <v>5.3697382312840002E-4</v>
      </c>
      <c r="E104">
        <v>0.88418698607786195</v>
      </c>
      <c r="F104" t="s">
        <v>35</v>
      </c>
      <c r="G104">
        <v>45</v>
      </c>
      <c r="H104">
        <v>-1.6817361868338E-3</v>
      </c>
      <c r="I104" t="s">
        <v>39</v>
      </c>
      <c r="J104" t="b">
        <v>0</v>
      </c>
      <c r="K104">
        <v>265.90842515595301</v>
      </c>
      <c r="L104">
        <v>266.21611746364499</v>
      </c>
      <c r="M104">
        <v>18.590882392674899</v>
      </c>
      <c r="N104" t="s">
        <v>26</v>
      </c>
      <c r="O104" t="s">
        <v>26</v>
      </c>
      <c r="P104" t="s">
        <v>364</v>
      </c>
      <c r="Q104">
        <f>-0.0241666254897616 - 0.0208031531160939</f>
        <v>-4.49697786058555E-2</v>
      </c>
      <c r="R104" t="s">
        <v>34</v>
      </c>
      <c r="S104" t="s">
        <v>40</v>
      </c>
      <c r="T104" t="s">
        <v>41</v>
      </c>
      <c r="U104" t="s">
        <v>283</v>
      </c>
      <c r="V104">
        <v>3.6346523922961298</v>
      </c>
      <c r="W104">
        <v>1.1471882297412099E-2</v>
      </c>
      <c r="X104" t="s">
        <v>30</v>
      </c>
      <c r="Y104" t="s">
        <v>31</v>
      </c>
    </row>
    <row r="105" spans="1:25" x14ac:dyDescent="0.2">
      <c r="A105" t="s">
        <v>306</v>
      </c>
      <c r="B105" t="s">
        <v>47</v>
      </c>
      <c r="C105" t="s">
        <v>24</v>
      </c>
      <c r="D105">
        <v>1.3721538758789001E-2</v>
      </c>
      <c r="E105">
        <v>0.47162139323185698</v>
      </c>
      <c r="F105" t="s">
        <v>35</v>
      </c>
      <c r="G105">
        <v>28</v>
      </c>
      <c r="H105">
        <v>-7.5960222993567E-3</v>
      </c>
      <c r="I105" t="s">
        <v>36</v>
      </c>
      <c r="J105" t="b">
        <v>0</v>
      </c>
      <c r="K105">
        <v>254.60241439308501</v>
      </c>
      <c r="L105">
        <v>254.92673871740999</v>
      </c>
      <c r="M105">
        <v>17.195309465434999</v>
      </c>
      <c r="N105" t="s">
        <v>26</v>
      </c>
      <c r="O105" t="s">
        <v>26</v>
      </c>
      <c r="P105" t="s">
        <v>324</v>
      </c>
      <c r="Q105">
        <f>-0.0280721990709082 - 0.0128801544721947</f>
        <v>-4.09523535431029E-2</v>
      </c>
      <c r="R105" t="s">
        <v>33</v>
      </c>
      <c r="S105" t="s">
        <v>37</v>
      </c>
      <c r="T105" t="s">
        <v>38</v>
      </c>
      <c r="U105" t="s">
        <v>182</v>
      </c>
      <c r="V105">
        <v>3.7117007576446999</v>
      </c>
      <c r="W105">
        <v>1.0447028965077199E-2</v>
      </c>
      <c r="X105" t="s">
        <v>30</v>
      </c>
      <c r="Y105" t="s">
        <v>31</v>
      </c>
    </row>
    <row r="106" spans="1:25" x14ac:dyDescent="0.2">
      <c r="A106" t="s">
        <v>306</v>
      </c>
      <c r="B106" t="s">
        <v>157</v>
      </c>
      <c r="C106" t="s">
        <v>24</v>
      </c>
      <c r="D106">
        <v>2.1753025050572999E-3</v>
      </c>
      <c r="E106">
        <v>0.76929254490982801</v>
      </c>
      <c r="F106" t="s">
        <v>35</v>
      </c>
      <c r="G106">
        <v>67</v>
      </c>
      <c r="H106">
        <v>-2.7402104980032999E-3</v>
      </c>
      <c r="I106" t="s">
        <v>42</v>
      </c>
      <c r="J106" t="b">
        <v>0</v>
      </c>
      <c r="K106">
        <v>265.83952189353499</v>
      </c>
      <c r="L106">
        <v>266.14721420122697</v>
      </c>
      <c r="M106">
        <v>17.723680777385901</v>
      </c>
      <c r="N106" t="s">
        <v>26</v>
      </c>
      <c r="O106" t="s">
        <v>26</v>
      </c>
      <c r="P106" t="s">
        <v>347</v>
      </c>
      <c r="Q106">
        <f>-0.0209278901459132 - 0.0154474691499064</f>
        <v>-3.6375359295819601E-2</v>
      </c>
      <c r="R106" t="s">
        <v>34</v>
      </c>
      <c r="S106" t="s">
        <v>43</v>
      </c>
      <c r="T106" t="s">
        <v>26</v>
      </c>
      <c r="U106" t="s">
        <v>44</v>
      </c>
      <c r="V106">
        <v>3.63404862203853</v>
      </c>
      <c r="W106">
        <v>9.2794283917906999E-3</v>
      </c>
      <c r="X106" t="s">
        <v>30</v>
      </c>
      <c r="Y106" t="s">
        <v>31</v>
      </c>
    </row>
    <row r="107" spans="1:25" x14ac:dyDescent="0.2">
      <c r="A107" t="s">
        <v>306</v>
      </c>
      <c r="B107" t="s">
        <v>132</v>
      </c>
      <c r="C107" t="s">
        <v>24</v>
      </c>
      <c r="D107">
        <v>7.5552348482834002E-3</v>
      </c>
      <c r="E107">
        <v>0.58413879311767603</v>
      </c>
      <c r="F107" t="s">
        <v>35</v>
      </c>
      <c r="G107">
        <v>45</v>
      </c>
      <c r="H107">
        <v>-1.1210502270690099E-2</v>
      </c>
      <c r="I107" t="s">
        <v>36</v>
      </c>
      <c r="J107" t="b">
        <v>0</v>
      </c>
      <c r="K107">
        <v>264.06562175126697</v>
      </c>
      <c r="L107">
        <v>264.37331405895901</v>
      </c>
      <c r="M107">
        <v>15.872937046020001</v>
      </c>
      <c r="N107" t="s">
        <v>26</v>
      </c>
      <c r="O107" t="s">
        <v>26</v>
      </c>
      <c r="P107" t="s">
        <v>310</v>
      </c>
      <c r="Q107">
        <f>-0.0510285841243453 - 0.0286075795829651</f>
        <v>-7.9636163707310401E-2</v>
      </c>
      <c r="R107" t="s">
        <v>34</v>
      </c>
      <c r="S107" t="s">
        <v>37</v>
      </c>
      <c r="T107" t="s">
        <v>38</v>
      </c>
      <c r="U107" t="s">
        <v>181</v>
      </c>
      <c r="V107">
        <v>3.6634743630450202</v>
      </c>
      <c r="W107">
        <v>2.0315347884517901E-2</v>
      </c>
      <c r="X107" t="s">
        <v>30</v>
      </c>
      <c r="Y107" t="s">
        <v>31</v>
      </c>
    </row>
    <row r="108" spans="1:25" x14ac:dyDescent="0.2">
      <c r="A108" t="s">
        <v>306</v>
      </c>
      <c r="B108" t="s">
        <v>69</v>
      </c>
      <c r="C108" t="s">
        <v>24</v>
      </c>
      <c r="D108">
        <v>3.0820808975175799E-2</v>
      </c>
      <c r="E108">
        <v>0.26610463080765301</v>
      </c>
      <c r="F108" t="s">
        <v>35</v>
      </c>
      <c r="G108">
        <v>46</v>
      </c>
      <c r="H108">
        <v>1.9127972185575801E-2</v>
      </c>
      <c r="I108" t="s">
        <v>42</v>
      </c>
      <c r="J108" t="b">
        <v>0</v>
      </c>
      <c r="K108">
        <v>264.61614217161599</v>
      </c>
      <c r="L108">
        <v>264.92383447930803</v>
      </c>
      <c r="M108">
        <v>16.657135025738</v>
      </c>
      <c r="N108" t="s">
        <v>26</v>
      </c>
      <c r="O108" t="s">
        <v>26</v>
      </c>
      <c r="P108" t="s">
        <v>343</v>
      </c>
      <c r="Q108">
        <f>-0.0141131005694097 - 0.0523690449405613</f>
        <v>-6.6482145509971002E-2</v>
      </c>
      <c r="R108" t="s">
        <v>34</v>
      </c>
      <c r="S108" t="s">
        <v>43</v>
      </c>
      <c r="T108" t="s">
        <v>26</v>
      </c>
      <c r="U108" t="s">
        <v>44</v>
      </c>
      <c r="V108">
        <v>3.5318451215247202</v>
      </c>
      <c r="W108">
        <v>1.6959730997441601E-2</v>
      </c>
      <c r="X108" t="s">
        <v>30</v>
      </c>
      <c r="Y108" t="s">
        <v>31</v>
      </c>
    </row>
    <row r="109" spans="1:25" x14ac:dyDescent="0.2">
      <c r="A109" t="s">
        <v>306</v>
      </c>
      <c r="B109" t="s">
        <v>124</v>
      </c>
      <c r="C109" t="s">
        <v>24</v>
      </c>
      <c r="D109">
        <v>0.13946947474399099</v>
      </c>
      <c r="E109">
        <v>1.7613662453517299E-2</v>
      </c>
      <c r="F109" t="s">
        <v>35</v>
      </c>
      <c r="G109">
        <v>57</v>
      </c>
      <c r="H109">
        <v>-3.2949910499976899E-2</v>
      </c>
      <c r="I109" t="s">
        <v>36</v>
      </c>
      <c r="J109" t="b">
        <v>0</v>
      </c>
      <c r="K109">
        <v>249.486401965515</v>
      </c>
      <c r="L109">
        <v>249.81072628983901</v>
      </c>
      <c r="M109">
        <v>13.082175899553</v>
      </c>
      <c r="N109" t="s">
        <v>26</v>
      </c>
      <c r="O109" t="s">
        <v>26</v>
      </c>
      <c r="P109" t="s">
        <v>331</v>
      </c>
      <c r="Q109">
        <f>-0.0589731926174804 - -0.00692662838247336</f>
        <v>-5.2046564235007038E-2</v>
      </c>
      <c r="R109" t="s">
        <v>33</v>
      </c>
      <c r="S109" t="s">
        <v>37</v>
      </c>
      <c r="T109" t="s">
        <v>38</v>
      </c>
      <c r="U109" t="s">
        <v>274</v>
      </c>
      <c r="V109">
        <v>5.4670447415011703</v>
      </c>
      <c r="W109">
        <v>1.3277184753828299E-2</v>
      </c>
      <c r="X109" t="s">
        <v>30</v>
      </c>
      <c r="Y109" t="s">
        <v>31</v>
      </c>
    </row>
    <row r="110" spans="1:25" x14ac:dyDescent="0.2">
      <c r="A110" t="s">
        <v>306</v>
      </c>
      <c r="B110" t="s">
        <v>84</v>
      </c>
      <c r="C110" t="s">
        <v>24</v>
      </c>
      <c r="D110">
        <v>9.1546100840653004E-3</v>
      </c>
      <c r="E110">
        <v>0.54667638808478003</v>
      </c>
      <c r="F110" t="s">
        <v>35</v>
      </c>
      <c r="G110">
        <v>25</v>
      </c>
      <c r="H110">
        <v>-7.9690962303007006E-3</v>
      </c>
      <c r="I110" t="s">
        <v>42</v>
      </c>
      <c r="J110" t="b">
        <v>0</v>
      </c>
      <c r="K110">
        <v>265.54471973035601</v>
      </c>
      <c r="L110">
        <v>265.85241203804799</v>
      </c>
      <c r="M110">
        <v>17.245881468251898</v>
      </c>
      <c r="N110" t="s">
        <v>26</v>
      </c>
      <c r="O110" t="s">
        <v>26</v>
      </c>
      <c r="P110" t="s">
        <v>355</v>
      </c>
      <c r="Q110">
        <f>-0.0336622944643076 - 0.0177241020037062</f>
        <v>-5.1386396468013802E-2</v>
      </c>
      <c r="R110" t="s">
        <v>34</v>
      </c>
      <c r="S110" t="s">
        <v>43</v>
      </c>
      <c r="T110" t="s">
        <v>26</v>
      </c>
      <c r="U110" t="s">
        <v>44</v>
      </c>
      <c r="V110">
        <v>3.9932497225827199</v>
      </c>
      <c r="W110">
        <v>1.3108774609187201E-2</v>
      </c>
      <c r="X110" t="s">
        <v>30</v>
      </c>
      <c r="Y110" t="s">
        <v>31</v>
      </c>
    </row>
    <row r="111" spans="1:25" x14ac:dyDescent="0.2">
      <c r="A111" t="s">
        <v>306</v>
      </c>
      <c r="B111" t="s">
        <v>142</v>
      </c>
      <c r="C111" t="s">
        <v>24</v>
      </c>
      <c r="D111">
        <v>0.34642983935301103</v>
      </c>
      <c r="E111" s="1">
        <v>6.4767344686966806E-5</v>
      </c>
      <c r="F111" t="s">
        <v>35</v>
      </c>
      <c r="G111">
        <v>59</v>
      </c>
      <c r="H111">
        <v>4.6889063357209701E-2</v>
      </c>
      <c r="I111" t="s">
        <v>39</v>
      </c>
      <c r="J111" t="b">
        <v>0</v>
      </c>
      <c r="K111">
        <v>237.69118880143</v>
      </c>
      <c r="L111">
        <v>238.01551312575501</v>
      </c>
      <c r="M111">
        <v>22.316407034227002</v>
      </c>
      <c r="N111" t="s">
        <v>26</v>
      </c>
      <c r="O111" t="s">
        <v>26</v>
      </c>
      <c r="P111" t="s">
        <v>367</v>
      </c>
      <c r="Q111" t="s">
        <v>245</v>
      </c>
      <c r="R111" t="s">
        <v>32</v>
      </c>
      <c r="S111" t="s">
        <v>40</v>
      </c>
      <c r="T111" t="s">
        <v>41</v>
      </c>
      <c r="U111" t="s">
        <v>246</v>
      </c>
      <c r="V111">
        <v>1.4850615995435801</v>
      </c>
      <c r="W111">
        <v>1.0447640515209E-2</v>
      </c>
      <c r="X111" t="s">
        <v>30</v>
      </c>
      <c r="Y111" t="s">
        <v>31</v>
      </c>
    </row>
    <row r="112" spans="1:25" x14ac:dyDescent="0.2">
      <c r="A112" t="s">
        <v>306</v>
      </c>
      <c r="B112" t="s">
        <v>155</v>
      </c>
      <c r="C112" t="s">
        <v>24</v>
      </c>
      <c r="D112">
        <v>6.8204956351729999E-4</v>
      </c>
      <c r="E112">
        <v>0.86636621083974297</v>
      </c>
      <c r="F112" t="s">
        <v>35</v>
      </c>
      <c r="G112">
        <v>20</v>
      </c>
      <c r="H112">
        <v>-3.9060461379204999E-3</v>
      </c>
      <c r="I112" t="s">
        <v>39</v>
      </c>
      <c r="J112" t="b">
        <v>0</v>
      </c>
      <c r="K112">
        <v>275.640913786613</v>
      </c>
      <c r="L112">
        <v>275.933596713442</v>
      </c>
      <c r="M112">
        <v>17.615368638221899</v>
      </c>
      <c r="N112" t="s">
        <v>26</v>
      </c>
      <c r="O112" t="s">
        <v>26</v>
      </c>
      <c r="P112" t="s">
        <v>336</v>
      </c>
      <c r="Q112">
        <f>-0.0491241837931801 - 0.041312091517339</f>
        <v>-9.0436275310519093E-2</v>
      </c>
      <c r="R112" t="s">
        <v>27</v>
      </c>
      <c r="S112" t="s">
        <v>40</v>
      </c>
      <c r="T112" t="s">
        <v>41</v>
      </c>
      <c r="U112" t="s">
        <v>222</v>
      </c>
      <c r="V112">
        <v>3.6510151914116902</v>
      </c>
      <c r="W112">
        <v>2.3070478395540599E-2</v>
      </c>
      <c r="X112" t="s">
        <v>30</v>
      </c>
      <c r="Y112" t="s">
        <v>31</v>
      </c>
    </row>
    <row r="113" spans="1:25" x14ac:dyDescent="0.2">
      <c r="A113" t="s">
        <v>306</v>
      </c>
      <c r="B113" t="s">
        <v>86</v>
      </c>
      <c r="C113" t="s">
        <v>24</v>
      </c>
      <c r="D113">
        <v>3.1376359465634898E-2</v>
      </c>
      <c r="E113">
        <v>0.27419958411893702</v>
      </c>
      <c r="F113" t="s">
        <v>35</v>
      </c>
      <c r="G113">
        <v>13</v>
      </c>
      <c r="H113">
        <v>-1.07062046288715E-2</v>
      </c>
      <c r="I113" t="s">
        <v>42</v>
      </c>
      <c r="J113" t="b">
        <v>0</v>
      </c>
      <c r="K113">
        <v>256.382842868046</v>
      </c>
      <c r="L113">
        <v>256.70716719236998</v>
      </c>
      <c r="M113">
        <v>20.241681502581901</v>
      </c>
      <c r="N113" t="s">
        <v>26</v>
      </c>
      <c r="O113" t="s">
        <v>26</v>
      </c>
      <c r="P113" t="s">
        <v>344</v>
      </c>
      <c r="Q113">
        <f>-0.0296198860307842 - 0.00820747677304114</f>
        <v>-3.7827362803825343E-2</v>
      </c>
      <c r="R113" t="s">
        <v>33</v>
      </c>
      <c r="S113" t="s">
        <v>43</v>
      </c>
      <c r="T113" t="s">
        <v>26</v>
      </c>
      <c r="U113" t="s">
        <v>44</v>
      </c>
      <c r="V113">
        <v>4.1618753297997397</v>
      </c>
      <c r="W113">
        <v>9.6498374499554007E-3</v>
      </c>
      <c r="X113" t="s">
        <v>30</v>
      </c>
      <c r="Y113" t="s">
        <v>31</v>
      </c>
    </row>
    <row r="114" spans="1:25" x14ac:dyDescent="0.2">
      <c r="A114" t="s">
        <v>306</v>
      </c>
      <c r="B114" t="s">
        <v>111</v>
      </c>
      <c r="C114" t="s">
        <v>24</v>
      </c>
      <c r="D114">
        <v>2.8807501166931999E-3</v>
      </c>
      <c r="E114">
        <v>0.72932458643454801</v>
      </c>
      <c r="F114" t="s">
        <v>35</v>
      </c>
      <c r="G114">
        <v>10</v>
      </c>
      <c r="H114">
        <v>-1.4958641403679401E-2</v>
      </c>
      <c r="I114" t="s">
        <v>42</v>
      </c>
      <c r="J114" t="b">
        <v>0</v>
      </c>
      <c r="K114">
        <v>275.54399827788899</v>
      </c>
      <c r="L114">
        <v>275.83668120471799</v>
      </c>
      <c r="M114">
        <v>18.146562427268002</v>
      </c>
      <c r="N114" t="s">
        <v>26</v>
      </c>
      <c r="O114" t="s">
        <v>26</v>
      </c>
      <c r="P114" t="s">
        <v>313</v>
      </c>
      <c r="Q114">
        <f>-0.0991261231664407 - 0.0692088403590819</f>
        <v>-0.1683349635255226</v>
      </c>
      <c r="R114" t="s">
        <v>27</v>
      </c>
      <c r="S114" t="s">
        <v>43</v>
      </c>
      <c r="T114" t="s">
        <v>26</v>
      </c>
      <c r="U114" t="s">
        <v>44</v>
      </c>
      <c r="V114">
        <v>3.7431237414675702</v>
      </c>
      <c r="W114">
        <v>4.2942592736102701E-2</v>
      </c>
      <c r="X114" t="s">
        <v>30</v>
      </c>
      <c r="Y114" t="s">
        <v>31</v>
      </c>
    </row>
    <row r="115" spans="1:25" x14ac:dyDescent="0.2">
      <c r="A115" t="s">
        <v>306</v>
      </c>
      <c r="B115" t="s">
        <v>111</v>
      </c>
      <c r="C115" t="s">
        <v>24</v>
      </c>
      <c r="D115">
        <v>5.7762905536482001E-3</v>
      </c>
      <c r="E115">
        <v>0.62389578226348896</v>
      </c>
      <c r="F115" t="s">
        <v>35</v>
      </c>
      <c r="G115">
        <v>10</v>
      </c>
      <c r="H115">
        <v>-2.7312374529399799E-2</v>
      </c>
      <c r="I115" t="s">
        <v>36</v>
      </c>
      <c r="J115" t="b">
        <v>0</v>
      </c>
      <c r="K115">
        <v>273.97040113350602</v>
      </c>
      <c r="L115">
        <v>274.26308406033502</v>
      </c>
      <c r="M115">
        <v>16.572965282885001</v>
      </c>
      <c r="N115" t="s">
        <v>26</v>
      </c>
      <c r="O115" t="s">
        <v>26</v>
      </c>
      <c r="P115" t="s">
        <v>313</v>
      </c>
      <c r="Q115">
        <f>-0.135682213461815 - 0.0810574644030157</f>
        <v>-0.2167396778648307</v>
      </c>
      <c r="R115" t="s">
        <v>27</v>
      </c>
      <c r="S115" t="s">
        <v>37</v>
      </c>
      <c r="T115" t="s">
        <v>38</v>
      </c>
      <c r="U115" t="s">
        <v>297</v>
      </c>
      <c r="V115">
        <v>3.8200053833707899</v>
      </c>
      <c r="W115">
        <v>5.5290734149191598E-2</v>
      </c>
      <c r="X115" t="s">
        <v>30</v>
      </c>
      <c r="Y115" t="s">
        <v>31</v>
      </c>
    </row>
    <row r="116" spans="1:25" x14ac:dyDescent="0.2">
      <c r="A116" t="s">
        <v>306</v>
      </c>
      <c r="B116" t="s">
        <v>97</v>
      </c>
      <c r="C116" t="s">
        <v>24</v>
      </c>
      <c r="D116">
        <v>9.5841445520638002E-3</v>
      </c>
      <c r="E116">
        <v>0.547854530502212</v>
      </c>
      <c r="F116" t="s">
        <v>35</v>
      </c>
      <c r="G116">
        <v>23</v>
      </c>
      <c r="H116">
        <v>-4.2926260094215997E-3</v>
      </c>
      <c r="I116" t="s">
        <v>36</v>
      </c>
      <c r="J116" t="b">
        <v>0</v>
      </c>
      <c r="K116">
        <v>252.43907081380101</v>
      </c>
      <c r="L116">
        <v>252.76339513812599</v>
      </c>
      <c r="M116">
        <v>15.164537088692899</v>
      </c>
      <c r="N116" t="s">
        <v>26</v>
      </c>
      <c r="O116" t="s">
        <v>26</v>
      </c>
      <c r="P116" t="s">
        <v>318</v>
      </c>
      <c r="Q116">
        <f>-0.0181671930654061 - 0.00958194104656278</f>
        <v>-2.774913411196888E-2</v>
      </c>
      <c r="R116" t="s">
        <v>32</v>
      </c>
      <c r="S116" t="s">
        <v>37</v>
      </c>
      <c r="T116" t="s">
        <v>38</v>
      </c>
      <c r="U116" t="s">
        <v>273</v>
      </c>
      <c r="V116">
        <v>3.60311788611489</v>
      </c>
      <c r="W116">
        <v>7.0788607428491999E-3</v>
      </c>
      <c r="X116" t="s">
        <v>30</v>
      </c>
      <c r="Y116" t="s">
        <v>31</v>
      </c>
    </row>
    <row r="117" spans="1:25" x14ac:dyDescent="0.2">
      <c r="A117" t="s">
        <v>306</v>
      </c>
      <c r="B117" t="s">
        <v>107</v>
      </c>
      <c r="C117" t="s">
        <v>24</v>
      </c>
      <c r="D117">
        <v>1.7937674808638799E-2</v>
      </c>
      <c r="E117">
        <v>0.38608420520066</v>
      </c>
      <c r="F117" t="s">
        <v>35</v>
      </c>
      <c r="G117">
        <v>17</v>
      </c>
      <c r="H117">
        <v>-0.45645393637632198</v>
      </c>
      <c r="I117" t="s">
        <v>39</v>
      </c>
      <c r="J117" t="b">
        <v>0</v>
      </c>
      <c r="K117">
        <v>274.87451198481199</v>
      </c>
      <c r="L117">
        <v>275.16719491164099</v>
      </c>
      <c r="M117">
        <v>17.176717214861899</v>
      </c>
      <c r="N117" t="s">
        <v>26</v>
      </c>
      <c r="O117" t="s">
        <v>26</v>
      </c>
      <c r="P117" t="s">
        <v>356</v>
      </c>
      <c r="Q117">
        <f>-1.47789857894468 - 0.564990706192036</f>
        <v>-2.0428892851367157</v>
      </c>
      <c r="R117" t="s">
        <v>27</v>
      </c>
      <c r="S117" t="s">
        <v>40</v>
      </c>
      <c r="T117" t="s">
        <v>41</v>
      </c>
      <c r="U117" t="s">
        <v>267</v>
      </c>
      <c r="V117">
        <v>3.7728311657320299</v>
      </c>
      <c r="W117">
        <v>0.52114522580018297</v>
      </c>
      <c r="X117" t="s">
        <v>30</v>
      </c>
      <c r="Y117" t="s">
        <v>31</v>
      </c>
    </row>
    <row r="118" spans="1:25" x14ac:dyDescent="0.2">
      <c r="A118" t="s">
        <v>306</v>
      </c>
      <c r="B118" t="s">
        <v>153</v>
      </c>
      <c r="C118" t="s">
        <v>24</v>
      </c>
      <c r="D118">
        <v>2.1960772984124299E-2</v>
      </c>
      <c r="E118">
        <v>0.36146389996745198</v>
      </c>
      <c r="F118" t="s">
        <v>35</v>
      </c>
      <c r="G118">
        <v>32</v>
      </c>
      <c r="H118">
        <v>-1.9286218990684102E-2</v>
      </c>
      <c r="I118" t="s">
        <v>36</v>
      </c>
      <c r="J118" t="b">
        <v>0</v>
      </c>
      <c r="K118">
        <v>254.26729382409999</v>
      </c>
      <c r="L118">
        <v>254.591618148425</v>
      </c>
      <c r="M118">
        <v>17.600343193621899</v>
      </c>
      <c r="N118" t="s">
        <v>26</v>
      </c>
      <c r="O118" t="s">
        <v>26</v>
      </c>
      <c r="P118" t="s">
        <v>338</v>
      </c>
      <c r="Q118">
        <f>-0.060209052091618 - 0.0216366141102498</f>
        <v>-8.1845666201867798E-2</v>
      </c>
      <c r="R118" t="s">
        <v>33</v>
      </c>
      <c r="S118" t="s">
        <v>37</v>
      </c>
      <c r="T118" t="s">
        <v>38</v>
      </c>
      <c r="U118" t="s">
        <v>199</v>
      </c>
      <c r="V118">
        <v>3.88562480640147</v>
      </c>
      <c r="W118">
        <v>2.0878996480068301E-2</v>
      </c>
      <c r="X118" t="s">
        <v>30</v>
      </c>
      <c r="Y118" t="s">
        <v>31</v>
      </c>
    </row>
    <row r="119" spans="1:25" x14ac:dyDescent="0.2">
      <c r="A119" t="s">
        <v>306</v>
      </c>
      <c r="B119" t="s">
        <v>138</v>
      </c>
      <c r="C119" t="s">
        <v>24</v>
      </c>
      <c r="D119">
        <v>4.5647097161295898E-2</v>
      </c>
      <c r="E119">
        <v>0.163757105581712</v>
      </c>
      <c r="F119" t="s">
        <v>35</v>
      </c>
      <c r="G119">
        <v>11</v>
      </c>
      <c r="H119">
        <v>0.19707819578216901</v>
      </c>
      <c r="I119" t="s">
        <v>39</v>
      </c>
      <c r="J119" t="b">
        <v>0</v>
      </c>
      <c r="K119">
        <v>273.61517690624697</v>
      </c>
      <c r="L119">
        <v>273.90785983307597</v>
      </c>
      <c r="M119">
        <v>16.447586710446899</v>
      </c>
      <c r="N119" t="s">
        <v>26</v>
      </c>
      <c r="O119" t="s">
        <v>26</v>
      </c>
      <c r="P119" t="s">
        <v>311</v>
      </c>
      <c r="Q119">
        <f>-0.0754540663027336 - 0.469610457867071</f>
        <v>-0.54506452416980467</v>
      </c>
      <c r="R119" t="s">
        <v>27</v>
      </c>
      <c r="S119" t="s">
        <v>40</v>
      </c>
      <c r="T119" t="s">
        <v>41</v>
      </c>
      <c r="U119" t="s">
        <v>275</v>
      </c>
      <c r="V119">
        <v>2.4696493755033</v>
      </c>
      <c r="W119">
        <v>0.139047072492297</v>
      </c>
      <c r="X119" t="s">
        <v>30</v>
      </c>
      <c r="Y119" t="s">
        <v>31</v>
      </c>
    </row>
    <row r="120" spans="1:25" x14ac:dyDescent="0.2">
      <c r="A120" t="s">
        <v>306</v>
      </c>
      <c r="B120" t="s">
        <v>128</v>
      </c>
      <c r="C120" t="s">
        <v>24</v>
      </c>
      <c r="D120">
        <v>6.0570673943959995E-4</v>
      </c>
      <c r="E120">
        <v>0.88017984742519095</v>
      </c>
      <c r="F120" t="s">
        <v>35</v>
      </c>
      <c r="G120">
        <v>48</v>
      </c>
      <c r="H120">
        <v>-2.8809166616598002E-3</v>
      </c>
      <c r="I120" t="s">
        <v>42</v>
      </c>
      <c r="J120" t="b">
        <v>0</v>
      </c>
      <c r="K120">
        <v>257.63377295386903</v>
      </c>
      <c r="L120">
        <v>257.95809727819397</v>
      </c>
      <c r="M120">
        <v>19.751518996500899</v>
      </c>
      <c r="N120" t="s">
        <v>26</v>
      </c>
      <c r="O120" t="s">
        <v>26</v>
      </c>
      <c r="P120" t="s">
        <v>323</v>
      </c>
      <c r="Q120">
        <f>-0.0400885629569 - 0.0343267296335803</f>
        <v>-7.4415292590480298E-2</v>
      </c>
      <c r="R120" t="s">
        <v>33</v>
      </c>
      <c r="S120" t="s">
        <v>43</v>
      </c>
      <c r="T120" t="s">
        <v>26</v>
      </c>
      <c r="U120" t="s">
        <v>44</v>
      </c>
      <c r="V120">
        <v>3.8213307973304498</v>
      </c>
      <c r="W120">
        <v>1.89834930077756E-2</v>
      </c>
      <c r="X120" t="s">
        <v>30</v>
      </c>
      <c r="Y120" t="s">
        <v>31</v>
      </c>
    </row>
    <row r="121" spans="1:25" x14ac:dyDescent="0.2">
      <c r="A121" t="s">
        <v>306</v>
      </c>
      <c r="B121" t="s">
        <v>95</v>
      </c>
      <c r="C121" t="s">
        <v>24</v>
      </c>
      <c r="D121">
        <v>8.5162503075833004E-3</v>
      </c>
      <c r="E121">
        <v>0.56106559095840502</v>
      </c>
      <c r="F121" t="s">
        <v>35</v>
      </c>
      <c r="G121">
        <v>48</v>
      </c>
      <c r="H121">
        <v>2.15189617167371E-2</v>
      </c>
      <c r="I121" t="s">
        <v>36</v>
      </c>
      <c r="J121" t="b">
        <v>0</v>
      </c>
      <c r="K121">
        <v>263.97812162500099</v>
      </c>
      <c r="L121">
        <v>264.28581393269297</v>
      </c>
      <c r="M121">
        <v>17.612521996008901</v>
      </c>
      <c r="N121" t="s">
        <v>26</v>
      </c>
      <c r="O121" t="s">
        <v>26</v>
      </c>
      <c r="P121" t="s">
        <v>362</v>
      </c>
      <c r="Q121">
        <f>-0.050436867124804 - 0.0934747905582781</f>
        <v>-0.14391165768308212</v>
      </c>
      <c r="R121" t="s">
        <v>34</v>
      </c>
      <c r="S121" t="s">
        <v>37</v>
      </c>
      <c r="T121" t="s">
        <v>38</v>
      </c>
      <c r="U121" t="s">
        <v>205</v>
      </c>
      <c r="V121">
        <v>3.2004264836362299</v>
      </c>
      <c r="W121">
        <v>3.6712157572214799E-2</v>
      </c>
      <c r="X121" t="s">
        <v>30</v>
      </c>
      <c r="Y121" t="s">
        <v>31</v>
      </c>
    </row>
    <row r="122" spans="1:25" x14ac:dyDescent="0.2">
      <c r="A122" t="s">
        <v>306</v>
      </c>
      <c r="B122" t="s">
        <v>61</v>
      </c>
      <c r="C122" t="s">
        <v>24</v>
      </c>
      <c r="D122">
        <v>2.7950357252762199E-2</v>
      </c>
      <c r="E122">
        <v>0.27805383927629002</v>
      </c>
      <c r="F122" t="s">
        <v>35</v>
      </c>
      <c r="G122">
        <v>6</v>
      </c>
      <c r="H122">
        <v>-1.0602143195132901E-2</v>
      </c>
      <c r="I122" t="s">
        <v>42</v>
      </c>
      <c r="J122" t="b">
        <v>0</v>
      </c>
      <c r="K122">
        <v>274.42360447249098</v>
      </c>
      <c r="L122">
        <v>274.71628739931998</v>
      </c>
      <c r="M122">
        <v>16.148784914488999</v>
      </c>
      <c r="N122" t="s">
        <v>26</v>
      </c>
      <c r="O122" t="s">
        <v>26</v>
      </c>
      <c r="P122" t="s">
        <v>326</v>
      </c>
      <c r="Q122">
        <f>-0.0295114510567232 - 0.00830716466645742</f>
        <v>-3.7818615723180619E-2</v>
      </c>
      <c r="R122" t="s">
        <v>27</v>
      </c>
      <c r="S122" t="s">
        <v>43</v>
      </c>
      <c r="T122" t="s">
        <v>26</v>
      </c>
      <c r="U122" t="s">
        <v>44</v>
      </c>
      <c r="V122">
        <v>4.1430691992591102</v>
      </c>
      <c r="W122">
        <v>9.6476060518316999E-3</v>
      </c>
      <c r="X122" t="s">
        <v>30</v>
      </c>
      <c r="Y122" t="s">
        <v>31</v>
      </c>
    </row>
    <row r="123" spans="1:25" x14ac:dyDescent="0.2">
      <c r="A123" t="s">
        <v>306</v>
      </c>
      <c r="B123" t="s">
        <v>61</v>
      </c>
      <c r="C123" t="s">
        <v>24</v>
      </c>
      <c r="D123">
        <v>5.3524531830468999E-2</v>
      </c>
      <c r="E123">
        <v>0.130780432613396</v>
      </c>
      <c r="F123" t="s">
        <v>35</v>
      </c>
      <c r="G123">
        <v>6</v>
      </c>
      <c r="H123">
        <v>-2.1924324759027499E-2</v>
      </c>
      <c r="I123" t="s">
        <v>36</v>
      </c>
      <c r="J123" t="b">
        <v>0</v>
      </c>
      <c r="K123">
        <v>272.00026040679302</v>
      </c>
      <c r="L123">
        <v>272.29294333362299</v>
      </c>
      <c r="M123">
        <v>13.725440848791999</v>
      </c>
      <c r="N123" t="s">
        <v>26</v>
      </c>
      <c r="O123" t="s">
        <v>26</v>
      </c>
      <c r="P123" t="s">
        <v>326</v>
      </c>
      <c r="Q123">
        <f>-0.0498070933889866 - 0.00595844387093168</f>
        <v>-5.5765537259918278E-2</v>
      </c>
      <c r="R123" t="s">
        <v>27</v>
      </c>
      <c r="S123" t="s">
        <v>37</v>
      </c>
      <c r="T123" t="s">
        <v>38</v>
      </c>
      <c r="U123" t="s">
        <v>279</v>
      </c>
      <c r="V123">
        <v>4.6345409371380102</v>
      </c>
      <c r="W123">
        <v>1.42259023622241E-2</v>
      </c>
      <c r="X123" t="s">
        <v>30</v>
      </c>
      <c r="Y123" t="s">
        <v>31</v>
      </c>
    </row>
    <row r="124" spans="1:25" x14ac:dyDescent="0.2">
      <c r="A124" t="s">
        <v>306</v>
      </c>
      <c r="B124" t="s">
        <v>101</v>
      </c>
      <c r="C124" t="s">
        <v>24</v>
      </c>
      <c r="D124">
        <v>1.25717552142944E-2</v>
      </c>
      <c r="E124">
        <v>0.49093419872350402</v>
      </c>
      <c r="F124" t="s">
        <v>35</v>
      </c>
      <c r="G124">
        <v>39</v>
      </c>
      <c r="H124">
        <v>-4.2142362299973004E-3</v>
      </c>
      <c r="I124" t="s">
        <v>42</v>
      </c>
      <c r="J124" t="b">
        <v>0</v>
      </c>
      <c r="K124">
        <v>257.151950629819</v>
      </c>
      <c r="L124">
        <v>257.476274954144</v>
      </c>
      <c r="M124">
        <v>21.104891465423002</v>
      </c>
      <c r="N124" t="s">
        <v>26</v>
      </c>
      <c r="O124" t="s">
        <v>26</v>
      </c>
      <c r="P124" t="s">
        <v>321</v>
      </c>
      <c r="Q124">
        <f>-0.0160893550629895 - 0.00766088260299484</f>
        <v>-2.3750237665984338E-2</v>
      </c>
      <c r="R124" t="s">
        <v>33</v>
      </c>
      <c r="S124" t="s">
        <v>43</v>
      </c>
      <c r="T124" t="s">
        <v>26</v>
      </c>
      <c r="U124" t="s">
        <v>44</v>
      </c>
      <c r="V124">
        <v>3.8503645544389902</v>
      </c>
      <c r="W124">
        <v>6.0587340984654004E-3</v>
      </c>
      <c r="X124" t="s">
        <v>30</v>
      </c>
      <c r="Y124" t="s">
        <v>31</v>
      </c>
    </row>
    <row r="125" spans="1:25" x14ac:dyDescent="0.2">
      <c r="A125" t="s">
        <v>306</v>
      </c>
      <c r="B125" t="s">
        <v>81</v>
      </c>
      <c r="C125" t="s">
        <v>24</v>
      </c>
      <c r="D125">
        <v>0.24154552688704301</v>
      </c>
      <c r="E125">
        <v>1.2795330530224001E-3</v>
      </c>
      <c r="F125" t="s">
        <v>35</v>
      </c>
      <c r="G125">
        <v>42</v>
      </c>
      <c r="H125">
        <v>1.1994072098937899E-2</v>
      </c>
      <c r="I125" t="s">
        <v>42</v>
      </c>
      <c r="J125" t="b">
        <v>0</v>
      </c>
      <c r="K125">
        <v>246.599108393677</v>
      </c>
      <c r="L125">
        <v>246.92343271800101</v>
      </c>
      <c r="M125">
        <v>23.030239180350002</v>
      </c>
      <c r="N125" t="s">
        <v>26</v>
      </c>
      <c r="O125" t="s">
        <v>26</v>
      </c>
      <c r="P125" t="s">
        <v>325</v>
      </c>
      <c r="Q125" t="s">
        <v>215</v>
      </c>
      <c r="R125" t="s">
        <v>33</v>
      </c>
      <c r="S125" t="s">
        <v>43</v>
      </c>
      <c r="T125" t="s">
        <v>26</v>
      </c>
      <c r="U125" t="s">
        <v>44</v>
      </c>
      <c r="V125">
        <v>2.4390627906245199</v>
      </c>
      <c r="W125">
        <v>3.4477845220690002E-3</v>
      </c>
      <c r="X125" t="s">
        <v>30</v>
      </c>
      <c r="Y125" t="s">
        <v>31</v>
      </c>
    </row>
    <row r="126" spans="1:25" x14ac:dyDescent="0.2">
      <c r="A126" t="s">
        <v>306</v>
      </c>
      <c r="B126" t="s">
        <v>81</v>
      </c>
      <c r="C126" t="s">
        <v>24</v>
      </c>
      <c r="D126">
        <v>0.26747093304981101</v>
      </c>
      <c r="E126">
        <v>6.327656856259E-4</v>
      </c>
      <c r="F126" t="s">
        <v>35</v>
      </c>
      <c r="G126">
        <v>42</v>
      </c>
      <c r="H126">
        <v>1.3467459186821301E-2</v>
      </c>
      <c r="I126" t="s">
        <v>36</v>
      </c>
      <c r="J126" t="b">
        <v>0</v>
      </c>
      <c r="K126">
        <v>242.726338261465</v>
      </c>
      <c r="L126">
        <v>243.05066258578901</v>
      </c>
      <c r="M126">
        <v>19.157469048138001</v>
      </c>
      <c r="N126" t="s">
        <v>26</v>
      </c>
      <c r="O126" t="s">
        <v>26</v>
      </c>
      <c r="P126" t="s">
        <v>325</v>
      </c>
      <c r="Q126" t="s">
        <v>216</v>
      </c>
      <c r="R126" t="s">
        <v>33</v>
      </c>
      <c r="S126" t="s">
        <v>37</v>
      </c>
      <c r="T126" t="s">
        <v>38</v>
      </c>
      <c r="U126" t="s">
        <v>217</v>
      </c>
      <c r="V126">
        <v>2.2032178744164699</v>
      </c>
      <c r="W126">
        <v>3.6154969922069999E-3</v>
      </c>
      <c r="X126" t="s">
        <v>30</v>
      </c>
      <c r="Y126" t="s">
        <v>31</v>
      </c>
    </row>
    <row r="127" spans="1:25" x14ac:dyDescent="0.2">
      <c r="A127" t="s">
        <v>306</v>
      </c>
      <c r="B127" t="s">
        <v>132</v>
      </c>
      <c r="C127" t="s">
        <v>24</v>
      </c>
      <c r="D127">
        <v>2.3271137992386198E-2</v>
      </c>
      <c r="E127">
        <v>0.33481824952717998</v>
      </c>
      <c r="F127" t="s">
        <v>35</v>
      </c>
      <c r="G127">
        <v>45</v>
      </c>
      <c r="H127">
        <v>-1.6697379322706801E-2</v>
      </c>
      <c r="I127" t="s">
        <v>39</v>
      </c>
      <c r="J127" t="b">
        <v>0</v>
      </c>
      <c r="K127">
        <v>264.942044283781</v>
      </c>
      <c r="L127">
        <v>265.249736591474</v>
      </c>
      <c r="M127">
        <v>16.749359578535</v>
      </c>
      <c r="N127" t="s">
        <v>26</v>
      </c>
      <c r="O127" t="s">
        <v>26</v>
      </c>
      <c r="P127" t="s">
        <v>310</v>
      </c>
      <c r="Q127">
        <f>-0.0502211289854946 - 0.016826370340081</f>
        <v>-6.7047499325575605E-2</v>
      </c>
      <c r="R127" t="s">
        <v>34</v>
      </c>
      <c r="S127" t="s">
        <v>40</v>
      </c>
      <c r="T127" t="s">
        <v>41</v>
      </c>
      <c r="U127" t="s">
        <v>255</v>
      </c>
      <c r="V127">
        <v>3.76929562462001</v>
      </c>
      <c r="W127">
        <v>1.7103953909585599E-2</v>
      </c>
      <c r="X127" t="s">
        <v>30</v>
      </c>
      <c r="Y127" t="s">
        <v>31</v>
      </c>
    </row>
    <row r="128" spans="1:25" x14ac:dyDescent="0.2">
      <c r="A128" t="s">
        <v>306</v>
      </c>
      <c r="B128" t="s">
        <v>126</v>
      </c>
      <c r="C128" t="s">
        <v>24</v>
      </c>
      <c r="D128">
        <v>3.57348252243695E-2</v>
      </c>
      <c r="E128">
        <v>0.219092410505487</v>
      </c>
      <c r="F128" t="s">
        <v>35</v>
      </c>
      <c r="G128">
        <v>53</v>
      </c>
      <c r="H128">
        <v>4.03268802651588E-2</v>
      </c>
      <c r="I128" t="s">
        <v>39</v>
      </c>
      <c r="J128" t="b">
        <v>0</v>
      </c>
      <c r="K128">
        <v>274.069820642541</v>
      </c>
      <c r="L128">
        <v>274.36250356937001</v>
      </c>
      <c r="M128">
        <v>16.0106910446519</v>
      </c>
      <c r="N128" t="s">
        <v>26</v>
      </c>
      <c r="O128" t="s">
        <v>26</v>
      </c>
      <c r="P128" t="s">
        <v>357</v>
      </c>
      <c r="Q128">
        <f>-0.0230277647475521 - 0.10368152527787</f>
        <v>-0.12670929002542211</v>
      </c>
      <c r="R128" t="s">
        <v>27</v>
      </c>
      <c r="S128" t="s">
        <v>40</v>
      </c>
      <c r="T128" t="s">
        <v>41</v>
      </c>
      <c r="U128" t="s">
        <v>284</v>
      </c>
      <c r="V128">
        <v>3.5179936905424301</v>
      </c>
      <c r="W128">
        <v>3.2323798475872897E-2</v>
      </c>
      <c r="X128" t="s">
        <v>30</v>
      </c>
      <c r="Y128" t="s">
        <v>31</v>
      </c>
    </row>
    <row r="129" spans="1:25" x14ac:dyDescent="0.2">
      <c r="A129" t="s">
        <v>306</v>
      </c>
      <c r="B129" t="s">
        <v>105</v>
      </c>
      <c r="C129" t="s">
        <v>24</v>
      </c>
      <c r="D129">
        <v>7.5496468477031703E-2</v>
      </c>
      <c r="E129">
        <v>8.6185911478320804E-2</v>
      </c>
      <c r="F129" t="s">
        <v>35</v>
      </c>
      <c r="G129">
        <v>47</v>
      </c>
      <c r="H129">
        <v>-8.6621045757687296E-2</v>
      </c>
      <c r="I129" t="s">
        <v>42</v>
      </c>
      <c r="J129" t="b">
        <v>0</v>
      </c>
      <c r="K129">
        <v>251.56346808497599</v>
      </c>
      <c r="L129">
        <v>251.8877924093</v>
      </c>
      <c r="M129">
        <v>14.395852024652999</v>
      </c>
      <c r="N129" t="s">
        <v>26</v>
      </c>
      <c r="O129" t="s">
        <v>26</v>
      </c>
      <c r="P129" t="s">
        <v>335</v>
      </c>
      <c r="Q129">
        <f>-0.182999213223025 - 0.00975712170765047</f>
        <v>-0.19275633493067548</v>
      </c>
      <c r="R129" t="s">
        <v>32</v>
      </c>
      <c r="S129" t="s">
        <v>43</v>
      </c>
      <c r="T129" t="s">
        <v>26</v>
      </c>
      <c r="U129" t="s">
        <v>44</v>
      </c>
      <c r="V129">
        <v>4.3738474119747197</v>
      </c>
      <c r="W129">
        <v>4.9172534421090701E-2</v>
      </c>
      <c r="X129" t="s">
        <v>30</v>
      </c>
      <c r="Y129" t="s">
        <v>31</v>
      </c>
    </row>
    <row r="130" spans="1:25" x14ac:dyDescent="0.2">
      <c r="A130" t="s">
        <v>306</v>
      </c>
      <c r="B130" t="s">
        <v>105</v>
      </c>
      <c r="C130" t="s">
        <v>24</v>
      </c>
      <c r="D130">
        <v>0.115261943800113</v>
      </c>
      <c r="E130">
        <v>3.2094916354048E-2</v>
      </c>
      <c r="F130" t="s">
        <v>35</v>
      </c>
      <c r="G130">
        <v>47</v>
      </c>
      <c r="H130">
        <v>-8.1840668631818603E-2</v>
      </c>
      <c r="I130" t="s">
        <v>36</v>
      </c>
      <c r="J130" t="b">
        <v>0</v>
      </c>
      <c r="K130">
        <v>248.18591711286601</v>
      </c>
      <c r="L130">
        <v>248.51024143718999</v>
      </c>
      <c r="M130">
        <v>11.018301052542901</v>
      </c>
      <c r="N130" t="s">
        <v>26</v>
      </c>
      <c r="O130" t="s">
        <v>26</v>
      </c>
      <c r="P130" t="s">
        <v>335</v>
      </c>
      <c r="Q130">
        <f>-0.153934453538196 - -0.00974688372544116</f>
        <v>-0.14418756981275482</v>
      </c>
      <c r="R130" t="s">
        <v>32</v>
      </c>
      <c r="S130" t="s">
        <v>37</v>
      </c>
      <c r="T130" t="s">
        <v>38</v>
      </c>
      <c r="U130" t="s">
        <v>251</v>
      </c>
      <c r="V130">
        <v>4.2758244649939003</v>
      </c>
      <c r="W130">
        <v>3.6782543319580301E-2</v>
      </c>
      <c r="X130" t="s">
        <v>30</v>
      </c>
      <c r="Y130" t="s">
        <v>31</v>
      </c>
    </row>
    <row r="131" spans="1:25" x14ac:dyDescent="0.2">
      <c r="A131" t="s">
        <v>306</v>
      </c>
      <c r="B131" t="s">
        <v>69</v>
      </c>
      <c r="C131" t="s">
        <v>24</v>
      </c>
      <c r="D131">
        <v>3.0820808975175799E-2</v>
      </c>
      <c r="E131">
        <v>0.26610463080765301</v>
      </c>
      <c r="F131" t="s">
        <v>35</v>
      </c>
      <c r="G131">
        <v>46</v>
      </c>
      <c r="H131">
        <v>1.9127972185575801E-2</v>
      </c>
      <c r="I131" t="s">
        <v>39</v>
      </c>
      <c r="J131" t="b">
        <v>0</v>
      </c>
      <c r="K131">
        <v>264.61614217161599</v>
      </c>
      <c r="L131">
        <v>264.92383447930803</v>
      </c>
      <c r="M131">
        <v>16.657135025738</v>
      </c>
      <c r="N131" t="s">
        <v>26</v>
      </c>
      <c r="O131" t="s">
        <v>26</v>
      </c>
      <c r="P131" t="s">
        <v>343</v>
      </c>
      <c r="Q131">
        <f>-0.0141131005694097 - 0.0523690449405613</f>
        <v>-6.6482145509971002E-2</v>
      </c>
      <c r="R131" t="s">
        <v>34</v>
      </c>
      <c r="S131" t="s">
        <v>40</v>
      </c>
      <c r="T131" t="s">
        <v>41</v>
      </c>
      <c r="U131" t="s">
        <v>192</v>
      </c>
      <c r="V131">
        <v>3.5318451215247202</v>
      </c>
      <c r="W131">
        <v>1.6959730997441601E-2</v>
      </c>
      <c r="X131" t="s">
        <v>30</v>
      </c>
      <c r="Y131" t="s">
        <v>31</v>
      </c>
    </row>
    <row r="132" spans="1:25" x14ac:dyDescent="0.2">
      <c r="A132" t="s">
        <v>306</v>
      </c>
      <c r="B132" t="s">
        <v>115</v>
      </c>
      <c r="C132" t="s">
        <v>24</v>
      </c>
      <c r="D132">
        <v>0.21851800531148999</v>
      </c>
      <c r="E132">
        <v>1.8005042945986999E-3</v>
      </c>
      <c r="F132" t="s">
        <v>35</v>
      </c>
      <c r="G132">
        <v>43</v>
      </c>
      <c r="H132">
        <v>3.3470187011182699E-2</v>
      </c>
      <c r="I132" t="s">
        <v>39</v>
      </c>
      <c r="J132" t="b">
        <v>0</v>
      </c>
      <c r="K132">
        <v>255.57533102374299</v>
      </c>
      <c r="L132">
        <v>255.883023331435</v>
      </c>
      <c r="M132">
        <v>13.136247594286001</v>
      </c>
      <c r="N132" t="s">
        <v>26</v>
      </c>
      <c r="O132" t="s">
        <v>26</v>
      </c>
      <c r="P132" t="s">
        <v>360</v>
      </c>
      <c r="Q132" t="s">
        <v>247</v>
      </c>
      <c r="R132" t="s">
        <v>34</v>
      </c>
      <c r="S132" t="s">
        <v>40</v>
      </c>
      <c r="T132" t="s">
        <v>41</v>
      </c>
      <c r="U132" t="s">
        <v>248</v>
      </c>
      <c r="V132">
        <v>3.30445257973216</v>
      </c>
      <c r="W132">
        <v>1.0007924438304E-2</v>
      </c>
      <c r="X132" t="s">
        <v>30</v>
      </c>
      <c r="Y132" t="s">
        <v>31</v>
      </c>
    </row>
    <row r="133" spans="1:25" x14ac:dyDescent="0.2">
      <c r="A133" t="s">
        <v>306</v>
      </c>
      <c r="B133" t="s">
        <v>136</v>
      </c>
      <c r="C133" t="s">
        <v>24</v>
      </c>
      <c r="D133">
        <v>1.0838104857692E-3</v>
      </c>
      <c r="E133">
        <v>0.840178968058373</v>
      </c>
      <c r="F133" t="s">
        <v>35</v>
      </c>
      <c r="G133">
        <v>57</v>
      </c>
      <c r="H133">
        <v>1.2249220894387999E-3</v>
      </c>
      <c r="I133" t="s">
        <v>39</v>
      </c>
      <c r="J133" t="b">
        <v>0</v>
      </c>
      <c r="K133">
        <v>254.660028485043</v>
      </c>
      <c r="L133">
        <v>254.984352809368</v>
      </c>
      <c r="M133">
        <v>17.282099108758</v>
      </c>
      <c r="N133" t="s">
        <v>26</v>
      </c>
      <c r="O133" t="s">
        <v>26</v>
      </c>
      <c r="P133" t="s">
        <v>350</v>
      </c>
      <c r="Q133">
        <f>-0.0105989736411974 - 0.0130488178200751</f>
        <v>-2.3647791461272501E-2</v>
      </c>
      <c r="R133" t="s">
        <v>32</v>
      </c>
      <c r="S133" t="s">
        <v>40</v>
      </c>
      <c r="T133" t="s">
        <v>41</v>
      </c>
      <c r="U133" t="s">
        <v>184</v>
      </c>
      <c r="V133">
        <v>3.5394965423997098</v>
      </c>
      <c r="W133">
        <v>6.0325998625694998E-3</v>
      </c>
      <c r="X133" t="s">
        <v>30</v>
      </c>
      <c r="Y133" t="s">
        <v>31</v>
      </c>
    </row>
    <row r="134" spans="1:25" x14ac:dyDescent="0.2">
      <c r="A134" t="s">
        <v>306</v>
      </c>
      <c r="B134" t="s">
        <v>88</v>
      </c>
      <c r="C134" t="s">
        <v>24</v>
      </c>
      <c r="D134">
        <v>1.9954482928362001E-3</v>
      </c>
      <c r="E134">
        <v>0.77878624311420097</v>
      </c>
      <c r="F134" t="s">
        <v>35</v>
      </c>
      <c r="G134">
        <v>22</v>
      </c>
      <c r="H134">
        <v>-1.1761798182292E-3</v>
      </c>
      <c r="I134" t="s">
        <v>36</v>
      </c>
      <c r="J134" t="b">
        <v>0</v>
      </c>
      <c r="K134">
        <v>264.23526040553003</v>
      </c>
      <c r="L134">
        <v>264.54295271322297</v>
      </c>
      <c r="M134">
        <v>16.422968091599898</v>
      </c>
      <c r="N134" t="s">
        <v>26</v>
      </c>
      <c r="O134" t="s">
        <v>26</v>
      </c>
      <c r="P134" t="s">
        <v>329</v>
      </c>
      <c r="Q134">
        <f>-0.00932783537604336 - 0.00697547573958487</f>
        <v>-1.630331111562823E-2</v>
      </c>
      <c r="R134" t="s">
        <v>34</v>
      </c>
      <c r="S134" t="s">
        <v>37</v>
      </c>
      <c r="T134" t="s">
        <v>38</v>
      </c>
      <c r="U134" t="s">
        <v>295</v>
      </c>
      <c r="V134">
        <v>3.6099766400413502</v>
      </c>
      <c r="W134">
        <v>4.1590079376601996E-3</v>
      </c>
      <c r="X134" t="s">
        <v>30</v>
      </c>
      <c r="Y134" t="s">
        <v>31</v>
      </c>
    </row>
    <row r="135" spans="1:25" x14ac:dyDescent="0.2">
      <c r="A135" t="s">
        <v>306</v>
      </c>
      <c r="B135" t="s">
        <v>155</v>
      </c>
      <c r="C135" t="s">
        <v>24</v>
      </c>
      <c r="D135">
        <v>6.8204956351729999E-4</v>
      </c>
      <c r="E135">
        <v>0.86636621083974297</v>
      </c>
      <c r="F135" t="s">
        <v>35</v>
      </c>
      <c r="G135">
        <v>20</v>
      </c>
      <c r="H135">
        <v>-3.9060461379204999E-3</v>
      </c>
      <c r="I135" t="s">
        <v>42</v>
      </c>
      <c r="J135" t="b">
        <v>0</v>
      </c>
      <c r="K135">
        <v>275.640913786613</v>
      </c>
      <c r="L135">
        <v>275.933596713442</v>
      </c>
      <c r="M135">
        <v>17.615368638221899</v>
      </c>
      <c r="N135" t="s">
        <v>26</v>
      </c>
      <c r="O135" t="s">
        <v>26</v>
      </c>
      <c r="P135" t="s">
        <v>336</v>
      </c>
      <c r="Q135">
        <f>-0.0491241837931801 - 0.041312091517339</f>
        <v>-9.0436275310519093E-2</v>
      </c>
      <c r="R135" t="s">
        <v>27</v>
      </c>
      <c r="S135" t="s">
        <v>43</v>
      </c>
      <c r="T135" t="s">
        <v>26</v>
      </c>
      <c r="U135" t="s">
        <v>44</v>
      </c>
      <c r="V135">
        <v>3.6510151914116902</v>
      </c>
      <c r="W135">
        <v>2.3070478395540599E-2</v>
      </c>
      <c r="X135" t="s">
        <v>30</v>
      </c>
      <c r="Y135" t="s">
        <v>31</v>
      </c>
    </row>
    <row r="136" spans="1:25" x14ac:dyDescent="0.2">
      <c r="A136" t="s">
        <v>306</v>
      </c>
      <c r="B136" t="s">
        <v>159</v>
      </c>
      <c r="C136" t="s">
        <v>24</v>
      </c>
      <c r="D136">
        <v>1.6212812233661299E-2</v>
      </c>
      <c r="E136">
        <v>0.43364979432657602</v>
      </c>
      <c r="F136" t="s">
        <v>35</v>
      </c>
      <c r="G136">
        <v>55</v>
      </c>
      <c r="H136">
        <v>-8.3550905022454006E-3</v>
      </c>
      <c r="I136" t="s">
        <v>36</v>
      </c>
      <c r="J136" t="b">
        <v>0</v>
      </c>
      <c r="K136">
        <v>252.171086613667</v>
      </c>
      <c r="L136">
        <v>252.49541093799201</v>
      </c>
      <c r="M136">
        <v>14.498912174321999</v>
      </c>
      <c r="N136" t="s">
        <v>26</v>
      </c>
      <c r="O136" t="s">
        <v>26</v>
      </c>
      <c r="P136" t="s">
        <v>314</v>
      </c>
      <c r="Q136">
        <f>-0.0290487279607101 - 0.0123385469562191</f>
        <v>-4.1387274916929201E-2</v>
      </c>
      <c r="R136" t="s">
        <v>32</v>
      </c>
      <c r="S136" t="s">
        <v>37</v>
      </c>
      <c r="T136" t="s">
        <v>38</v>
      </c>
      <c r="U136" t="s">
        <v>213</v>
      </c>
      <c r="V136">
        <v>4.2400110705437903</v>
      </c>
      <c r="W136">
        <v>1.0557978295135001E-2</v>
      </c>
      <c r="X136" t="s">
        <v>30</v>
      </c>
      <c r="Y136" t="s">
        <v>31</v>
      </c>
    </row>
    <row r="137" spans="1:25" x14ac:dyDescent="0.2">
      <c r="A137" t="s">
        <v>306</v>
      </c>
      <c r="B137" t="s">
        <v>79</v>
      </c>
      <c r="C137" t="s">
        <v>24</v>
      </c>
      <c r="D137" s="1">
        <v>4.0556990683173896E-6</v>
      </c>
      <c r="E137">
        <v>0.98964855488619996</v>
      </c>
      <c r="F137" t="s">
        <v>35</v>
      </c>
      <c r="G137">
        <v>62</v>
      </c>
      <c r="H137">
        <v>-8.3393383486289998E-4</v>
      </c>
      <c r="I137" t="s">
        <v>36</v>
      </c>
      <c r="J137" t="b">
        <v>0</v>
      </c>
      <c r="K137">
        <v>274.22222626949099</v>
      </c>
      <c r="L137">
        <v>274.51490919631999</v>
      </c>
      <c r="M137">
        <v>15.856516335286001</v>
      </c>
      <c r="N137" t="s">
        <v>26</v>
      </c>
      <c r="O137" t="s">
        <v>26</v>
      </c>
      <c r="P137" t="s">
        <v>316</v>
      </c>
      <c r="Q137">
        <f>-0.126069959987618 - 0.124402092317892</f>
        <v>-0.25047205230551001</v>
      </c>
      <c r="R137" t="s">
        <v>27</v>
      </c>
      <c r="S137" t="s">
        <v>37</v>
      </c>
      <c r="T137" t="s">
        <v>38</v>
      </c>
      <c r="U137" t="s">
        <v>203</v>
      </c>
      <c r="V137">
        <v>3.5548402199781899</v>
      </c>
      <c r="W137">
        <v>6.3895931710589396E-2</v>
      </c>
      <c r="X137" t="s">
        <v>30</v>
      </c>
      <c r="Y137" t="s">
        <v>31</v>
      </c>
    </row>
    <row r="138" spans="1:25" x14ac:dyDescent="0.2">
      <c r="A138" t="s">
        <v>306</v>
      </c>
      <c r="B138" t="s">
        <v>71</v>
      </c>
      <c r="C138" t="s">
        <v>24</v>
      </c>
      <c r="D138">
        <v>1.5282530678791999E-3</v>
      </c>
      <c r="E138">
        <v>0.80583789777382897</v>
      </c>
      <c r="F138" t="s">
        <v>35</v>
      </c>
      <c r="G138">
        <v>41</v>
      </c>
      <c r="H138">
        <v>-4.4188379806929003E-3</v>
      </c>
      <c r="I138" t="s">
        <v>42</v>
      </c>
      <c r="J138" t="b">
        <v>0</v>
      </c>
      <c r="K138">
        <v>265.86674838826599</v>
      </c>
      <c r="L138">
        <v>266.17444069595803</v>
      </c>
      <c r="M138">
        <v>19.791049806774001</v>
      </c>
      <c r="N138" t="s">
        <v>26</v>
      </c>
      <c r="O138" t="s">
        <v>26</v>
      </c>
      <c r="P138" t="s">
        <v>361</v>
      </c>
      <c r="Q138">
        <f>-0.0394217685033159 - 0.03058409254193</f>
        <v>-7.0005861045245893E-2</v>
      </c>
      <c r="R138" t="s">
        <v>34</v>
      </c>
      <c r="S138" t="s">
        <v>43</v>
      </c>
      <c r="T138" t="s">
        <v>26</v>
      </c>
      <c r="U138" t="s">
        <v>44</v>
      </c>
      <c r="V138">
        <v>3.6720479943808302</v>
      </c>
      <c r="W138">
        <v>1.7858638021746399E-2</v>
      </c>
      <c r="X138" t="s">
        <v>30</v>
      </c>
      <c r="Y138" t="s">
        <v>31</v>
      </c>
    </row>
    <row r="139" spans="1:25" x14ac:dyDescent="0.2">
      <c r="A139" t="s">
        <v>306</v>
      </c>
      <c r="B139" t="s">
        <v>128</v>
      </c>
      <c r="C139" t="s">
        <v>24</v>
      </c>
      <c r="D139">
        <v>1.2476274397582E-3</v>
      </c>
      <c r="E139">
        <v>0.82869306890454197</v>
      </c>
      <c r="F139" t="s">
        <v>35</v>
      </c>
      <c r="G139">
        <v>48</v>
      </c>
      <c r="H139">
        <v>-2.6477289179746002E-3</v>
      </c>
      <c r="I139" t="s">
        <v>36</v>
      </c>
      <c r="J139" t="b">
        <v>0</v>
      </c>
      <c r="K139">
        <v>255.10521560335201</v>
      </c>
      <c r="L139">
        <v>255.42953992767599</v>
      </c>
      <c r="M139">
        <v>17.222961645982899</v>
      </c>
      <c r="N139" t="s">
        <v>26</v>
      </c>
      <c r="O139" t="s">
        <v>26</v>
      </c>
      <c r="P139" t="s">
        <v>323</v>
      </c>
      <c r="Q139">
        <f>-0.0264667684304154 - 0.021171310594466</f>
        <v>-4.7638079024881402E-2</v>
      </c>
      <c r="R139" t="s">
        <v>33</v>
      </c>
      <c r="S139" t="s">
        <v>37</v>
      </c>
      <c r="T139" t="s">
        <v>38</v>
      </c>
      <c r="U139" t="s">
        <v>286</v>
      </c>
      <c r="V139">
        <v>3.8161619314823598</v>
      </c>
      <c r="W139">
        <v>1.2152571179816701E-2</v>
      </c>
      <c r="X139" t="s">
        <v>30</v>
      </c>
      <c r="Y139" t="s">
        <v>31</v>
      </c>
    </row>
    <row r="140" spans="1:25" x14ac:dyDescent="0.2">
      <c r="A140" t="s">
        <v>306</v>
      </c>
      <c r="B140" t="s">
        <v>51</v>
      </c>
      <c r="C140" t="s">
        <v>24</v>
      </c>
      <c r="D140">
        <v>5.0526798889480003E-4</v>
      </c>
      <c r="E140">
        <v>0.88484584706848202</v>
      </c>
      <c r="F140" t="s">
        <v>35</v>
      </c>
      <c r="G140">
        <v>49</v>
      </c>
      <c r="H140">
        <v>-2.7635328161739999E-3</v>
      </c>
      <c r="I140" t="s">
        <v>42</v>
      </c>
      <c r="J140" t="b">
        <v>0</v>
      </c>
      <c r="K140">
        <v>275.64869679636899</v>
      </c>
      <c r="L140">
        <v>275.941379723198</v>
      </c>
      <c r="M140">
        <v>17.241230841868902</v>
      </c>
      <c r="N140" t="s">
        <v>26</v>
      </c>
      <c r="O140" t="s">
        <v>26</v>
      </c>
      <c r="P140" t="s">
        <v>348</v>
      </c>
      <c r="Q140">
        <f>-0.0399363447666619 - 0.0344092791343139</f>
        <v>-7.4345623900975794E-2</v>
      </c>
      <c r="R140" t="s">
        <v>27</v>
      </c>
      <c r="S140" t="s">
        <v>43</v>
      </c>
      <c r="T140" t="s">
        <v>26</v>
      </c>
      <c r="U140" t="s">
        <v>44</v>
      </c>
      <c r="V140">
        <v>3.7639078398889199</v>
      </c>
      <c r="W140">
        <v>1.8965720382902E-2</v>
      </c>
      <c r="X140" t="s">
        <v>30</v>
      </c>
      <c r="Y140" t="s">
        <v>31</v>
      </c>
    </row>
    <row r="141" spans="1:25" x14ac:dyDescent="0.2">
      <c r="A141" t="s">
        <v>306</v>
      </c>
      <c r="B141" t="s">
        <v>71</v>
      </c>
      <c r="C141" t="s">
        <v>24</v>
      </c>
      <c r="D141">
        <v>1.5282530678791999E-3</v>
      </c>
      <c r="E141">
        <v>0.80583789777382897</v>
      </c>
      <c r="F141" t="s">
        <v>35</v>
      </c>
      <c r="G141">
        <v>41</v>
      </c>
      <c r="H141">
        <v>-4.4188379806929003E-3</v>
      </c>
      <c r="I141" t="s">
        <v>39</v>
      </c>
      <c r="J141" t="b">
        <v>0</v>
      </c>
      <c r="K141">
        <v>265.86674838826599</v>
      </c>
      <c r="L141">
        <v>266.17444069595803</v>
      </c>
      <c r="M141">
        <v>19.791049806774001</v>
      </c>
      <c r="N141" t="s">
        <v>26</v>
      </c>
      <c r="O141" t="s">
        <v>26</v>
      </c>
      <c r="P141" t="s">
        <v>361</v>
      </c>
      <c r="Q141">
        <f>-0.0394217685033159 - 0.03058409254193</f>
        <v>-7.0005861045245893E-2</v>
      </c>
      <c r="R141" t="s">
        <v>34</v>
      </c>
      <c r="S141" t="s">
        <v>40</v>
      </c>
      <c r="T141" t="s">
        <v>41</v>
      </c>
      <c r="U141" t="s">
        <v>282</v>
      </c>
      <c r="V141">
        <v>3.6720479943808302</v>
      </c>
      <c r="W141">
        <v>1.7858638021746399E-2</v>
      </c>
      <c r="X141" t="s">
        <v>30</v>
      </c>
      <c r="Y141" t="s">
        <v>31</v>
      </c>
    </row>
    <row r="142" spans="1:25" x14ac:dyDescent="0.2">
      <c r="A142" t="s">
        <v>306</v>
      </c>
      <c r="B142" t="s">
        <v>57</v>
      </c>
      <c r="C142" t="s">
        <v>24</v>
      </c>
      <c r="D142">
        <v>5.3697382312840002E-4</v>
      </c>
      <c r="E142">
        <v>0.88418698607786195</v>
      </c>
      <c r="F142" t="s">
        <v>35</v>
      </c>
      <c r="G142">
        <v>45</v>
      </c>
      <c r="H142">
        <v>-1.6817361868338E-3</v>
      </c>
      <c r="I142" t="s">
        <v>42</v>
      </c>
      <c r="J142" t="b">
        <v>0</v>
      </c>
      <c r="K142">
        <v>265.90842515595301</v>
      </c>
      <c r="L142">
        <v>266.21611746364499</v>
      </c>
      <c r="M142">
        <v>18.590882392674899</v>
      </c>
      <c r="N142" t="s">
        <v>26</v>
      </c>
      <c r="O142" t="s">
        <v>26</v>
      </c>
      <c r="P142" t="s">
        <v>364</v>
      </c>
      <c r="Q142">
        <f>-0.0241666254897616 - 0.0208031531160939</f>
        <v>-4.49697786058555E-2</v>
      </c>
      <c r="R142" t="s">
        <v>34</v>
      </c>
      <c r="S142" t="s">
        <v>43</v>
      </c>
      <c r="T142" t="s">
        <v>26</v>
      </c>
      <c r="U142" t="s">
        <v>44</v>
      </c>
      <c r="V142">
        <v>3.6346523922961298</v>
      </c>
      <c r="W142">
        <v>1.1471882297412099E-2</v>
      </c>
      <c r="X142" t="s">
        <v>30</v>
      </c>
      <c r="Y142" t="s">
        <v>31</v>
      </c>
    </row>
    <row r="143" spans="1:25" x14ac:dyDescent="0.2">
      <c r="A143" t="s">
        <v>306</v>
      </c>
      <c r="B143" t="s">
        <v>88</v>
      </c>
      <c r="C143" t="s">
        <v>24</v>
      </c>
      <c r="D143">
        <v>1.7270547544470001E-3</v>
      </c>
      <c r="E143">
        <v>0.79385298946467597</v>
      </c>
      <c r="F143" t="s">
        <v>35</v>
      </c>
      <c r="G143">
        <v>22</v>
      </c>
      <c r="H143">
        <v>-9.6074027803519997E-4</v>
      </c>
      <c r="I143" t="s">
        <v>39</v>
      </c>
      <c r="J143" t="b">
        <v>0</v>
      </c>
      <c r="K143">
        <v>265.85838510487201</v>
      </c>
      <c r="L143">
        <v>266.16607741256399</v>
      </c>
      <c r="M143">
        <v>18.046092790941</v>
      </c>
      <c r="N143" t="s">
        <v>26</v>
      </c>
      <c r="O143" t="s">
        <v>26</v>
      </c>
      <c r="P143" t="s">
        <v>329</v>
      </c>
      <c r="Q143">
        <f>-0.00811893769039028 - 0.00619745713431982</f>
        <v>-1.4316394824710098E-2</v>
      </c>
      <c r="R143" t="s">
        <v>34</v>
      </c>
      <c r="S143" t="s">
        <v>40</v>
      </c>
      <c r="T143" t="s">
        <v>41</v>
      </c>
      <c r="U143" t="s">
        <v>198</v>
      </c>
      <c r="V143">
        <v>3.6407365221953198</v>
      </c>
      <c r="W143">
        <v>3.6521415369157998E-3</v>
      </c>
      <c r="X143" t="s">
        <v>30</v>
      </c>
      <c r="Y143" t="s">
        <v>31</v>
      </c>
    </row>
    <row r="144" spans="1:25" x14ac:dyDescent="0.2">
      <c r="A144" t="s">
        <v>306</v>
      </c>
      <c r="B144" t="s">
        <v>145</v>
      </c>
      <c r="C144" t="s">
        <v>24</v>
      </c>
      <c r="D144" s="1">
        <v>6.6660582177708699E-5</v>
      </c>
      <c r="E144">
        <v>0.95907325311757996</v>
      </c>
      <c r="F144" t="s">
        <v>35</v>
      </c>
      <c r="G144">
        <v>32</v>
      </c>
      <c r="H144">
        <v>8.6958484334500002E-4</v>
      </c>
      <c r="I144" t="s">
        <v>42</v>
      </c>
      <c r="J144" t="b">
        <v>0</v>
      </c>
      <c r="K144">
        <v>265.92818427607898</v>
      </c>
      <c r="L144">
        <v>266.23587658377198</v>
      </c>
      <c r="M144">
        <v>17.620155285444898</v>
      </c>
      <c r="N144" t="s">
        <v>26</v>
      </c>
      <c r="O144" t="s">
        <v>26</v>
      </c>
      <c r="P144" t="s">
        <v>320</v>
      </c>
      <c r="Q144">
        <f>-0.032136119908564 - 0.0338752895952541</f>
        <v>-6.6011409503818091E-2</v>
      </c>
      <c r="R144" t="s">
        <v>34</v>
      </c>
      <c r="S144" t="s">
        <v>43</v>
      </c>
      <c r="T144" t="s">
        <v>26</v>
      </c>
      <c r="U144" t="s">
        <v>44</v>
      </c>
      <c r="V144">
        <v>3.6192008063381298</v>
      </c>
      <c r="W144">
        <v>1.6839645281586199E-2</v>
      </c>
      <c r="X144" t="s">
        <v>30</v>
      </c>
      <c r="Y144" t="s">
        <v>31</v>
      </c>
    </row>
    <row r="145" spans="1:25" x14ac:dyDescent="0.2">
      <c r="A145" t="s">
        <v>306</v>
      </c>
      <c r="B145" t="s">
        <v>157</v>
      </c>
      <c r="C145" t="s">
        <v>24</v>
      </c>
      <c r="D145">
        <v>2.1753025050572999E-3</v>
      </c>
      <c r="E145">
        <v>0.76929254490982801</v>
      </c>
      <c r="F145" t="s">
        <v>35</v>
      </c>
      <c r="G145">
        <v>67</v>
      </c>
      <c r="H145">
        <v>-2.7402104980032999E-3</v>
      </c>
      <c r="I145" t="s">
        <v>39</v>
      </c>
      <c r="J145" t="b">
        <v>0</v>
      </c>
      <c r="K145">
        <v>265.83952189353499</v>
      </c>
      <c r="L145">
        <v>266.14721420122697</v>
      </c>
      <c r="M145">
        <v>17.723680777385901</v>
      </c>
      <c r="N145" t="s">
        <v>26</v>
      </c>
      <c r="O145" t="s">
        <v>26</v>
      </c>
      <c r="P145" t="s">
        <v>347</v>
      </c>
      <c r="Q145">
        <f>-0.0209278901459132 - 0.0154474691499064</f>
        <v>-3.6375359295819601E-2</v>
      </c>
      <c r="R145" t="s">
        <v>34</v>
      </c>
      <c r="S145" t="s">
        <v>40</v>
      </c>
      <c r="T145" t="s">
        <v>41</v>
      </c>
      <c r="U145" t="s">
        <v>229</v>
      </c>
      <c r="V145">
        <v>3.63404862203853</v>
      </c>
      <c r="W145">
        <v>9.2794283917906999E-3</v>
      </c>
      <c r="X145" t="s">
        <v>30</v>
      </c>
      <c r="Y145" t="s">
        <v>31</v>
      </c>
    </row>
    <row r="146" spans="1:25" x14ac:dyDescent="0.2">
      <c r="A146" t="s">
        <v>306</v>
      </c>
      <c r="B146" t="s">
        <v>53</v>
      </c>
      <c r="C146" t="s">
        <v>24</v>
      </c>
      <c r="D146">
        <v>7.2171565003842997E-3</v>
      </c>
      <c r="E146">
        <v>0.60222637746432495</v>
      </c>
      <c r="F146" t="s">
        <v>35</v>
      </c>
      <c r="G146">
        <v>57</v>
      </c>
      <c r="H146">
        <v>1.65242985807983</v>
      </c>
      <c r="I146" t="s">
        <v>42</v>
      </c>
      <c r="J146" t="b">
        <v>0</v>
      </c>
      <c r="K146">
        <v>257.36827551746097</v>
      </c>
      <c r="L146">
        <v>257.69259984178501</v>
      </c>
      <c r="M146">
        <v>19.650613893555001</v>
      </c>
      <c r="N146" t="s">
        <v>26</v>
      </c>
      <c r="O146" t="s">
        <v>26</v>
      </c>
      <c r="P146" t="s">
        <v>308</v>
      </c>
      <c r="Q146">
        <f>-4.50970753204818 - 7.81456724820783</f>
        <v>-12.32427478025601</v>
      </c>
      <c r="R146" t="s">
        <v>33</v>
      </c>
      <c r="S146" t="s">
        <v>43</v>
      </c>
      <c r="T146" t="s">
        <v>26</v>
      </c>
      <c r="U146" t="s">
        <v>44</v>
      </c>
      <c r="V146">
        <v>3.4646712097616299</v>
      </c>
      <c r="W146">
        <v>3.1439476480244899</v>
      </c>
      <c r="X146" t="s">
        <v>30</v>
      </c>
      <c r="Y146" t="s">
        <v>31</v>
      </c>
    </row>
    <row r="147" spans="1:25" x14ac:dyDescent="0.2">
      <c r="A147" t="s">
        <v>306</v>
      </c>
      <c r="B147" t="s">
        <v>153</v>
      </c>
      <c r="C147" t="s">
        <v>24</v>
      </c>
      <c r="D147">
        <v>1.70283496054878E-2</v>
      </c>
      <c r="E147">
        <v>0.422218495558634</v>
      </c>
      <c r="F147" t="s">
        <v>35</v>
      </c>
      <c r="G147">
        <v>32</v>
      </c>
      <c r="H147">
        <v>-1.00516209381885E-2</v>
      </c>
      <c r="I147" t="s">
        <v>39</v>
      </c>
      <c r="J147" t="b">
        <v>0</v>
      </c>
      <c r="K147">
        <v>256.97100859864997</v>
      </c>
      <c r="L147">
        <v>257.29533292297498</v>
      </c>
      <c r="M147">
        <v>20.3040579681719</v>
      </c>
      <c r="N147" t="s">
        <v>26</v>
      </c>
      <c r="O147" t="s">
        <v>26</v>
      </c>
      <c r="P147" t="s">
        <v>338</v>
      </c>
      <c r="Q147">
        <f>-0.0343336286496454 - 0.0142303867732684</f>
        <v>-4.8564015422913796E-2</v>
      </c>
      <c r="R147" t="s">
        <v>33</v>
      </c>
      <c r="S147" t="s">
        <v>40</v>
      </c>
      <c r="T147" t="s">
        <v>41</v>
      </c>
      <c r="U147" t="s">
        <v>242</v>
      </c>
      <c r="V147">
        <v>3.78274193148774</v>
      </c>
      <c r="W147">
        <v>1.23887794446209E-2</v>
      </c>
      <c r="X147" t="s">
        <v>30</v>
      </c>
      <c r="Y147" t="s">
        <v>31</v>
      </c>
    </row>
    <row r="148" spans="1:25" x14ac:dyDescent="0.2">
      <c r="A148" t="s">
        <v>306</v>
      </c>
      <c r="B148" t="s">
        <v>134</v>
      </c>
      <c r="C148" t="s">
        <v>24</v>
      </c>
      <c r="D148">
        <v>6.5072583088726405E-2</v>
      </c>
      <c r="E148">
        <v>9.4690062826353394E-2</v>
      </c>
      <c r="F148" t="s">
        <v>35</v>
      </c>
      <c r="G148">
        <v>6</v>
      </c>
      <c r="H148">
        <v>4.1001926646952999E-2</v>
      </c>
      <c r="I148" t="s">
        <v>39</v>
      </c>
      <c r="J148" t="b">
        <v>0</v>
      </c>
      <c r="K148">
        <v>272.710333412419</v>
      </c>
      <c r="L148">
        <v>273.00301633924801</v>
      </c>
      <c r="M148">
        <v>16.159113505430899</v>
      </c>
      <c r="N148" t="s">
        <v>26</v>
      </c>
      <c r="O148" t="s">
        <v>26</v>
      </c>
      <c r="P148" t="s">
        <v>330</v>
      </c>
      <c r="Q148">
        <f>-0.0060010773663584 - 0.0880049306602644</f>
        <v>-9.4006008026622789E-2</v>
      </c>
      <c r="R148" t="s">
        <v>27</v>
      </c>
      <c r="S148" t="s">
        <v>40</v>
      </c>
      <c r="T148" t="s">
        <v>41</v>
      </c>
      <c r="U148" t="s">
        <v>223</v>
      </c>
      <c r="V148">
        <v>3.4120084654333001</v>
      </c>
      <c r="W148">
        <v>2.3981124496587399E-2</v>
      </c>
      <c r="X148" t="s">
        <v>30</v>
      </c>
      <c r="Y148" t="s">
        <v>31</v>
      </c>
    </row>
    <row r="149" spans="1:25" x14ac:dyDescent="0.2">
      <c r="A149" t="s">
        <v>306</v>
      </c>
      <c r="B149" t="s">
        <v>118</v>
      </c>
      <c r="C149" t="s">
        <v>24</v>
      </c>
      <c r="D149">
        <v>8.3091550201003003E-3</v>
      </c>
      <c r="E149">
        <v>0.57589034124250005</v>
      </c>
      <c r="F149" t="s">
        <v>35</v>
      </c>
      <c r="G149">
        <v>20</v>
      </c>
      <c r="H149">
        <v>-3.6200133734288001E-3</v>
      </c>
      <c r="I149" t="s">
        <v>36</v>
      </c>
      <c r="J149" t="b">
        <v>0</v>
      </c>
      <c r="K149">
        <v>252.489816153167</v>
      </c>
      <c r="L149">
        <v>252.81414047749101</v>
      </c>
      <c r="M149">
        <v>15.545453896888001</v>
      </c>
      <c r="N149" t="s">
        <v>26</v>
      </c>
      <c r="O149" t="s">
        <v>26</v>
      </c>
      <c r="P149" t="s">
        <v>327</v>
      </c>
      <c r="Q149">
        <f>-0.0161943235542013 - 0.00895429680734365</f>
        <v>-2.514862036154495E-2</v>
      </c>
      <c r="R149" t="s">
        <v>32</v>
      </c>
      <c r="S149" t="s">
        <v>37</v>
      </c>
      <c r="T149" t="s">
        <v>38</v>
      </c>
      <c r="U149" t="s">
        <v>270</v>
      </c>
      <c r="V149">
        <v>3.6001037481845799</v>
      </c>
      <c r="W149">
        <v>6.4154643779450998E-3</v>
      </c>
      <c r="X149" t="s">
        <v>30</v>
      </c>
      <c r="Y149" t="s">
        <v>31</v>
      </c>
    </row>
    <row r="150" spans="1:25" x14ac:dyDescent="0.2">
      <c r="A150" t="s">
        <v>306</v>
      </c>
      <c r="B150" t="s">
        <v>145</v>
      </c>
      <c r="C150" t="s">
        <v>24</v>
      </c>
      <c r="D150">
        <v>1.8170730609050001E-4</v>
      </c>
      <c r="E150">
        <v>0.93247841860692604</v>
      </c>
      <c r="F150" t="s">
        <v>35</v>
      </c>
      <c r="G150">
        <v>32</v>
      </c>
      <c r="H150">
        <v>1.6305590223257001E-3</v>
      </c>
      <c r="I150" t="s">
        <v>36</v>
      </c>
      <c r="J150" t="b">
        <v>0</v>
      </c>
      <c r="K150">
        <v>264.31151145736101</v>
      </c>
      <c r="L150">
        <v>264.61920376505299</v>
      </c>
      <c r="M150">
        <v>16.003482466725899</v>
      </c>
      <c r="N150" t="s">
        <v>26</v>
      </c>
      <c r="O150" t="s">
        <v>26</v>
      </c>
      <c r="P150" t="s">
        <v>320</v>
      </c>
      <c r="Q150">
        <f>-0.0358526654561983 - 0.0391137835008498</f>
        <v>-7.4966448957048099E-2</v>
      </c>
      <c r="R150" t="s">
        <v>34</v>
      </c>
      <c r="S150" t="s">
        <v>37</v>
      </c>
      <c r="T150" t="s">
        <v>38</v>
      </c>
      <c r="U150" t="s">
        <v>256</v>
      </c>
      <c r="V150">
        <v>3.57674168872756</v>
      </c>
      <c r="W150">
        <v>1.9124094121695901E-2</v>
      </c>
      <c r="X150" t="s">
        <v>30</v>
      </c>
      <c r="Y150" t="s">
        <v>31</v>
      </c>
    </row>
    <row r="151" spans="1:25" x14ac:dyDescent="0.2">
      <c r="A151" t="s">
        <v>306</v>
      </c>
      <c r="B151" t="s">
        <v>61</v>
      </c>
      <c r="C151" t="s">
        <v>24</v>
      </c>
      <c r="D151">
        <v>2.7950357252762199E-2</v>
      </c>
      <c r="E151">
        <v>0.27805383927629002</v>
      </c>
      <c r="F151" t="s">
        <v>35</v>
      </c>
      <c r="G151">
        <v>6</v>
      </c>
      <c r="H151">
        <v>-1.0602143195132901E-2</v>
      </c>
      <c r="I151" t="s">
        <v>39</v>
      </c>
      <c r="J151" t="b">
        <v>0</v>
      </c>
      <c r="K151">
        <v>274.42360447249098</v>
      </c>
      <c r="L151">
        <v>274.71628739931998</v>
      </c>
      <c r="M151">
        <v>16.148784914488999</v>
      </c>
      <c r="N151" t="s">
        <v>26</v>
      </c>
      <c r="O151" t="s">
        <v>26</v>
      </c>
      <c r="P151" t="s">
        <v>326</v>
      </c>
      <c r="Q151">
        <f>-0.0295114510567232 - 0.00830716466645742</f>
        <v>-3.7818615723180619E-2</v>
      </c>
      <c r="R151" t="s">
        <v>27</v>
      </c>
      <c r="S151" t="s">
        <v>40</v>
      </c>
      <c r="T151" t="s">
        <v>41</v>
      </c>
      <c r="U151" t="s">
        <v>243</v>
      </c>
      <c r="V151">
        <v>4.1430691992591102</v>
      </c>
      <c r="W151">
        <v>9.6476060518316999E-3</v>
      </c>
      <c r="X151" t="s">
        <v>30</v>
      </c>
      <c r="Y151" t="s">
        <v>31</v>
      </c>
    </row>
    <row r="152" spans="1:25" x14ac:dyDescent="0.2">
      <c r="A152" t="s">
        <v>306</v>
      </c>
      <c r="B152" t="s">
        <v>59</v>
      </c>
      <c r="C152" t="s">
        <v>24</v>
      </c>
      <c r="D152">
        <v>8.6773006173916992E-3</v>
      </c>
      <c r="E152">
        <v>0.54755870598385203</v>
      </c>
      <c r="F152" t="s">
        <v>35</v>
      </c>
      <c r="G152">
        <v>41</v>
      </c>
      <c r="H152">
        <v>-4.2772109874062002E-3</v>
      </c>
      <c r="I152" t="s">
        <v>39</v>
      </c>
      <c r="J152" t="b">
        <v>0</v>
      </c>
      <c r="K152">
        <v>275.28746683165798</v>
      </c>
      <c r="L152">
        <v>275.58014975848698</v>
      </c>
      <c r="M152">
        <v>17.266943604143901</v>
      </c>
      <c r="N152" t="s">
        <v>26</v>
      </c>
      <c r="O152" t="s">
        <v>26</v>
      </c>
      <c r="P152" t="s">
        <v>312</v>
      </c>
      <c r="Q152">
        <f>-0.0181035532574813 - 0.00954913128266882</f>
        <v>-2.7652684540150123E-2</v>
      </c>
      <c r="R152" t="s">
        <v>27</v>
      </c>
      <c r="S152" t="s">
        <v>40</v>
      </c>
      <c r="T152" t="s">
        <v>41</v>
      </c>
      <c r="U152" t="s">
        <v>280</v>
      </c>
      <c r="V152">
        <v>3.6039940223120901</v>
      </c>
      <c r="W152">
        <v>7.0542562602423E-3</v>
      </c>
      <c r="X152" t="s">
        <v>30</v>
      </c>
      <c r="Y152" t="s">
        <v>31</v>
      </c>
    </row>
    <row r="153" spans="1:25" x14ac:dyDescent="0.2">
      <c r="A153" t="s">
        <v>306</v>
      </c>
      <c r="B153" t="s">
        <v>84</v>
      </c>
      <c r="C153" t="s">
        <v>24</v>
      </c>
      <c r="D153">
        <v>9.1546100840653004E-3</v>
      </c>
      <c r="E153">
        <v>0.54667638808478003</v>
      </c>
      <c r="F153" t="s">
        <v>35</v>
      </c>
      <c r="G153">
        <v>25</v>
      </c>
      <c r="H153">
        <v>-7.9690962303007006E-3</v>
      </c>
      <c r="I153" t="s">
        <v>39</v>
      </c>
      <c r="J153" t="b">
        <v>0</v>
      </c>
      <c r="K153">
        <v>265.54471973035601</v>
      </c>
      <c r="L153">
        <v>265.85241203804799</v>
      </c>
      <c r="M153">
        <v>17.245881468251898</v>
      </c>
      <c r="N153" t="s">
        <v>26</v>
      </c>
      <c r="O153" t="s">
        <v>26</v>
      </c>
      <c r="P153" t="s">
        <v>355</v>
      </c>
      <c r="Q153">
        <f>-0.0336622944643076 - 0.0177241020037062</f>
        <v>-5.1386396468013802E-2</v>
      </c>
      <c r="R153" t="s">
        <v>34</v>
      </c>
      <c r="S153" t="s">
        <v>40</v>
      </c>
      <c r="T153" t="s">
        <v>41</v>
      </c>
      <c r="U153" t="s">
        <v>237</v>
      </c>
      <c r="V153">
        <v>3.9932497225827199</v>
      </c>
      <c r="W153">
        <v>1.3108774609187201E-2</v>
      </c>
      <c r="X153" t="s">
        <v>30</v>
      </c>
      <c r="Y153" t="s">
        <v>31</v>
      </c>
    </row>
    <row r="154" spans="1:25" x14ac:dyDescent="0.2">
      <c r="A154" t="s">
        <v>306</v>
      </c>
      <c r="B154" t="s">
        <v>138</v>
      </c>
      <c r="C154" t="s">
        <v>24</v>
      </c>
      <c r="D154">
        <v>8.29060436469123E-2</v>
      </c>
      <c r="E154">
        <v>5.8051182350921798E-2</v>
      </c>
      <c r="F154" t="s">
        <v>35</v>
      </c>
      <c r="G154">
        <v>11</v>
      </c>
      <c r="H154">
        <v>0.29823318673660398</v>
      </c>
      <c r="I154" t="s">
        <v>36</v>
      </c>
      <c r="J154" t="b">
        <v>0</v>
      </c>
      <c r="K154">
        <v>270.63479143465901</v>
      </c>
      <c r="L154">
        <v>270.92747436148801</v>
      </c>
      <c r="M154">
        <v>13.4672012388589</v>
      </c>
      <c r="N154" t="s">
        <v>26</v>
      </c>
      <c r="O154" t="s">
        <v>26</v>
      </c>
      <c r="P154" t="s">
        <v>311</v>
      </c>
      <c r="Q154">
        <f>-0.00175297110366646 - 0.598219344576874</f>
        <v>-0.59997231568054044</v>
      </c>
      <c r="R154" t="s">
        <v>27</v>
      </c>
      <c r="S154" t="s">
        <v>37</v>
      </c>
      <c r="T154" t="s">
        <v>38</v>
      </c>
      <c r="U154" t="s">
        <v>174</v>
      </c>
      <c r="V154">
        <v>1.89688162575791</v>
      </c>
      <c r="W154">
        <v>0.15305416216340301</v>
      </c>
      <c r="X154" t="s">
        <v>30</v>
      </c>
      <c r="Y154" t="s">
        <v>31</v>
      </c>
    </row>
    <row r="155" spans="1:25" x14ac:dyDescent="0.2">
      <c r="A155" t="s">
        <v>306</v>
      </c>
      <c r="B155" t="s">
        <v>81</v>
      </c>
      <c r="C155" t="s">
        <v>24</v>
      </c>
      <c r="D155">
        <v>0.24154552688704301</v>
      </c>
      <c r="E155">
        <v>1.2795330530224001E-3</v>
      </c>
      <c r="F155" t="s">
        <v>35</v>
      </c>
      <c r="G155">
        <v>42</v>
      </c>
      <c r="H155">
        <v>1.1994072098937899E-2</v>
      </c>
      <c r="I155" t="s">
        <v>39</v>
      </c>
      <c r="J155" t="b">
        <v>0</v>
      </c>
      <c r="K155">
        <v>246.599108393677</v>
      </c>
      <c r="L155">
        <v>246.92343271800101</v>
      </c>
      <c r="M155">
        <v>23.030239180350002</v>
      </c>
      <c r="N155" t="s">
        <v>26</v>
      </c>
      <c r="O155" t="s">
        <v>26</v>
      </c>
      <c r="P155" t="s">
        <v>325</v>
      </c>
      <c r="Q155" t="s">
        <v>215</v>
      </c>
      <c r="R155" t="s">
        <v>33</v>
      </c>
      <c r="S155" t="s">
        <v>40</v>
      </c>
      <c r="T155" t="s">
        <v>41</v>
      </c>
      <c r="U155" t="s">
        <v>241</v>
      </c>
      <c r="V155">
        <v>2.4390627906245199</v>
      </c>
      <c r="W155">
        <v>3.4477845220690002E-3</v>
      </c>
      <c r="X155" t="s">
        <v>30</v>
      </c>
      <c r="Y155" t="s">
        <v>31</v>
      </c>
    </row>
    <row r="156" spans="1:25" x14ac:dyDescent="0.2">
      <c r="A156" t="s">
        <v>306</v>
      </c>
      <c r="B156" t="s">
        <v>166</v>
      </c>
      <c r="C156" t="s">
        <v>24</v>
      </c>
      <c r="D156">
        <v>1.43672157842366E-2</v>
      </c>
      <c r="E156">
        <v>0.44959379222662199</v>
      </c>
      <c r="F156" t="s">
        <v>35</v>
      </c>
      <c r="G156">
        <v>4</v>
      </c>
      <c r="H156">
        <v>2.6343111877111601E-2</v>
      </c>
      <c r="I156" t="s">
        <v>42</v>
      </c>
      <c r="J156" t="b">
        <v>0</v>
      </c>
      <c r="K156">
        <v>265.32318432474398</v>
      </c>
      <c r="L156">
        <v>265.63087663243698</v>
      </c>
      <c r="M156">
        <v>18.703295403897901</v>
      </c>
      <c r="N156" t="s">
        <v>26</v>
      </c>
      <c r="O156" t="s">
        <v>26</v>
      </c>
      <c r="P156" t="s">
        <v>334</v>
      </c>
      <c r="Q156">
        <f>-0.0412752141375932 - 0.0939614378918164</f>
        <v>-0.1352366520294096</v>
      </c>
      <c r="R156" t="s">
        <v>34</v>
      </c>
      <c r="S156" t="s">
        <v>43</v>
      </c>
      <c r="T156" t="s">
        <v>26</v>
      </c>
      <c r="U156" t="s">
        <v>44</v>
      </c>
      <c r="V156">
        <v>3.3154572279894201</v>
      </c>
      <c r="W156">
        <v>3.4499145925869799E-2</v>
      </c>
      <c r="X156" t="s">
        <v>30</v>
      </c>
      <c r="Y156" t="s">
        <v>31</v>
      </c>
    </row>
    <row r="157" spans="1:25" x14ac:dyDescent="0.2">
      <c r="A157" t="s">
        <v>306</v>
      </c>
      <c r="B157" t="s">
        <v>90</v>
      </c>
      <c r="C157" t="s">
        <v>24</v>
      </c>
      <c r="D157">
        <v>0.18318232234948001</v>
      </c>
      <c r="E157">
        <v>3.7534539588184E-3</v>
      </c>
      <c r="F157" t="s">
        <v>35</v>
      </c>
      <c r="G157">
        <v>31</v>
      </c>
      <c r="H157">
        <v>2.72331727979493E-2</v>
      </c>
      <c r="I157" t="s">
        <v>42</v>
      </c>
      <c r="J157" t="b">
        <v>0</v>
      </c>
      <c r="K157">
        <v>266.76800193522502</v>
      </c>
      <c r="L157">
        <v>267.06068486205402</v>
      </c>
      <c r="M157">
        <v>22.721327223237999</v>
      </c>
      <c r="N157" t="s">
        <v>26</v>
      </c>
      <c r="O157" t="s">
        <v>26</v>
      </c>
      <c r="P157" t="s">
        <v>333</v>
      </c>
      <c r="Q157" t="s">
        <v>230</v>
      </c>
      <c r="R157" t="s">
        <v>27</v>
      </c>
      <c r="S157" t="s">
        <v>43</v>
      </c>
      <c r="T157" t="s">
        <v>26</v>
      </c>
      <c r="U157" t="s">
        <v>44</v>
      </c>
      <c r="V157">
        <v>2.1688596676987402</v>
      </c>
      <c r="W157">
        <v>8.8734882860786995E-3</v>
      </c>
      <c r="X157" t="s">
        <v>30</v>
      </c>
      <c r="Y157" t="s">
        <v>31</v>
      </c>
    </row>
    <row r="158" spans="1:25" x14ac:dyDescent="0.2">
      <c r="A158" t="s">
        <v>306</v>
      </c>
      <c r="B158" t="s">
        <v>55</v>
      </c>
      <c r="C158" t="s">
        <v>24</v>
      </c>
      <c r="D158">
        <v>5.9667285021529999E-4</v>
      </c>
      <c r="E158">
        <v>0.88107031060975105</v>
      </c>
      <c r="F158" t="s">
        <v>35</v>
      </c>
      <c r="G158">
        <v>59</v>
      </c>
      <c r="H158">
        <v>5.1028624459457999E-3</v>
      </c>
      <c r="I158" t="s">
        <v>39</v>
      </c>
      <c r="J158" t="b">
        <v>0</v>
      </c>
      <c r="K158">
        <v>257.63413452681198</v>
      </c>
      <c r="L158">
        <v>257.95845885113698</v>
      </c>
      <c r="M158">
        <v>19.719798500904901</v>
      </c>
      <c r="N158" t="s">
        <v>26</v>
      </c>
      <c r="O158" t="s">
        <v>26</v>
      </c>
      <c r="P158" t="s">
        <v>359</v>
      </c>
      <c r="Q158">
        <f>-0.0612990200077562 - 0.0715047448996479</f>
        <v>-0.13280376490740411</v>
      </c>
      <c r="R158" t="s">
        <v>33</v>
      </c>
      <c r="S158" t="s">
        <v>40</v>
      </c>
      <c r="T158" t="s">
        <v>41</v>
      </c>
      <c r="U158" t="s">
        <v>238</v>
      </c>
      <c r="V158">
        <v>3.5655454651795799</v>
      </c>
      <c r="W158">
        <v>3.38785114559704E-2</v>
      </c>
      <c r="X158" t="s">
        <v>30</v>
      </c>
      <c r="Y158" t="s">
        <v>31</v>
      </c>
    </row>
    <row r="159" spans="1:25" x14ac:dyDescent="0.2">
      <c r="A159" t="s">
        <v>306</v>
      </c>
      <c r="B159" t="s">
        <v>161</v>
      </c>
      <c r="C159" t="s">
        <v>24</v>
      </c>
      <c r="D159">
        <v>0.16042030069204199</v>
      </c>
      <c r="E159">
        <v>8.5784342548487005E-3</v>
      </c>
      <c r="F159" t="s">
        <v>35</v>
      </c>
      <c r="G159">
        <v>27</v>
      </c>
      <c r="H159">
        <v>0.28769673769065501</v>
      </c>
      <c r="I159" t="s">
        <v>39</v>
      </c>
      <c r="J159" t="b">
        <v>0</v>
      </c>
      <c r="K159">
        <v>258.587121559894</v>
      </c>
      <c r="L159">
        <v>258.89481386758598</v>
      </c>
      <c r="M159">
        <v>14.134621679619899</v>
      </c>
      <c r="N159" t="s">
        <v>26</v>
      </c>
      <c r="O159" t="s">
        <v>26</v>
      </c>
      <c r="P159" t="s">
        <v>315</v>
      </c>
      <c r="Q159" t="s">
        <v>177</v>
      </c>
      <c r="R159" t="s">
        <v>34</v>
      </c>
      <c r="S159" t="s">
        <v>40</v>
      </c>
      <c r="T159" t="s">
        <v>41</v>
      </c>
      <c r="U159" t="s">
        <v>178</v>
      </c>
      <c r="V159">
        <v>1.59563153802597</v>
      </c>
      <c r="W159">
        <v>0.10406537249146899</v>
      </c>
      <c r="X159" t="s">
        <v>30</v>
      </c>
      <c r="Y159" t="s">
        <v>31</v>
      </c>
    </row>
    <row r="160" spans="1:25" x14ac:dyDescent="0.2">
      <c r="A160" t="s">
        <v>306</v>
      </c>
      <c r="B160" t="s">
        <v>103</v>
      </c>
      <c r="C160" t="s">
        <v>24</v>
      </c>
      <c r="D160">
        <v>9.7191425570125993E-3</v>
      </c>
      <c r="E160">
        <v>0.52433880391215903</v>
      </c>
      <c r="F160" t="s">
        <v>35</v>
      </c>
      <c r="G160">
        <v>63</v>
      </c>
      <c r="H160">
        <v>-8.5920895568856997E-3</v>
      </c>
      <c r="I160" t="s">
        <v>36</v>
      </c>
      <c r="J160" t="b">
        <v>0</v>
      </c>
      <c r="K160">
        <v>273.88215651494897</v>
      </c>
      <c r="L160">
        <v>274.17483944177798</v>
      </c>
      <c r="M160">
        <v>15.492891898346899</v>
      </c>
      <c r="N160" t="s">
        <v>26</v>
      </c>
      <c r="O160" t="s">
        <v>26</v>
      </c>
      <c r="P160" t="s">
        <v>317</v>
      </c>
      <c r="Q160">
        <f>-0.0348219172190454 - 0.0176377381052738</f>
        <v>-5.2459655324319204E-2</v>
      </c>
      <c r="R160" t="s">
        <v>27</v>
      </c>
      <c r="S160" t="s">
        <v>37</v>
      </c>
      <c r="T160" t="s">
        <v>38</v>
      </c>
      <c r="U160" t="s">
        <v>220</v>
      </c>
      <c r="V160">
        <v>4.1465892240214099</v>
      </c>
      <c r="W160">
        <v>1.33825651337549E-2</v>
      </c>
      <c r="X160" t="s">
        <v>30</v>
      </c>
      <c r="Y160" t="s">
        <v>31</v>
      </c>
    </row>
    <row r="161" spans="1:25" x14ac:dyDescent="0.2">
      <c r="A161" t="s">
        <v>306</v>
      </c>
      <c r="B161" t="s">
        <v>45</v>
      </c>
      <c r="C161" t="s">
        <v>24</v>
      </c>
      <c r="D161">
        <v>7.1027853562046E-3</v>
      </c>
      <c r="E161">
        <v>0.60512797370885596</v>
      </c>
      <c r="F161" t="s">
        <v>35</v>
      </c>
      <c r="G161">
        <v>66</v>
      </c>
      <c r="H161">
        <v>-3.1779539462782999E-3</v>
      </c>
      <c r="I161" t="s">
        <v>39</v>
      </c>
      <c r="J161" t="b">
        <v>0</v>
      </c>
      <c r="K161">
        <v>257.37288335521799</v>
      </c>
      <c r="L161">
        <v>257.69720767954198</v>
      </c>
      <c r="M161">
        <v>19.7359599241639</v>
      </c>
      <c r="N161" t="s">
        <v>26</v>
      </c>
      <c r="O161" t="s">
        <v>26</v>
      </c>
      <c r="P161" t="s">
        <v>354</v>
      </c>
      <c r="Q161">
        <f>-0.0151247011279089 - 0.00876879323535217</f>
        <v>-2.3893494363261068E-2</v>
      </c>
      <c r="R161" t="s">
        <v>33</v>
      </c>
      <c r="S161" t="s">
        <v>40</v>
      </c>
      <c r="T161" t="s">
        <v>41</v>
      </c>
      <c r="U161" t="s">
        <v>187</v>
      </c>
      <c r="V161">
        <v>3.6467934082645899</v>
      </c>
      <c r="W161">
        <v>6.0952791743011997E-3</v>
      </c>
      <c r="X161" t="s">
        <v>30</v>
      </c>
      <c r="Y161" t="s">
        <v>31</v>
      </c>
    </row>
    <row r="162" spans="1:25" x14ac:dyDescent="0.2">
      <c r="A162" t="s">
        <v>306</v>
      </c>
      <c r="B162" t="s">
        <v>130</v>
      </c>
      <c r="C162" t="s">
        <v>24</v>
      </c>
      <c r="D162">
        <v>1.0205422533677099E-2</v>
      </c>
      <c r="E162">
        <v>0.52440459470258705</v>
      </c>
      <c r="F162" t="s">
        <v>35</v>
      </c>
      <c r="G162">
        <v>57</v>
      </c>
      <c r="H162">
        <v>5.9192117874868597E-2</v>
      </c>
      <c r="I162" t="s">
        <v>39</v>
      </c>
      <c r="J162" t="b">
        <v>0</v>
      </c>
      <c r="K162">
        <v>265.50015420835098</v>
      </c>
      <c r="L162">
        <v>265.80784651604398</v>
      </c>
      <c r="M162">
        <v>17.200243809083901</v>
      </c>
      <c r="N162" t="s">
        <v>26</v>
      </c>
      <c r="O162" t="s">
        <v>26</v>
      </c>
      <c r="P162" t="s">
        <v>341</v>
      </c>
      <c r="Q162">
        <f>-0.121461637817525 - 0.239845873567262</f>
        <v>-0.36130751138478701</v>
      </c>
      <c r="R162" t="s">
        <v>34</v>
      </c>
      <c r="S162" t="s">
        <v>40</v>
      </c>
      <c r="T162" t="s">
        <v>41</v>
      </c>
      <c r="U162" t="s">
        <v>195</v>
      </c>
      <c r="V162">
        <v>3.4908841626449001</v>
      </c>
      <c r="W162">
        <v>9.2170283516527299E-2</v>
      </c>
      <c r="X162" t="s">
        <v>30</v>
      </c>
      <c r="Y162" t="s">
        <v>31</v>
      </c>
    </row>
    <row r="163" spans="1:25" x14ac:dyDescent="0.2">
      <c r="A163" t="s">
        <v>306</v>
      </c>
      <c r="B163" t="s">
        <v>51</v>
      </c>
      <c r="C163" t="s">
        <v>24</v>
      </c>
      <c r="D163">
        <v>9.1423958078800001E-4</v>
      </c>
      <c r="E163">
        <v>0.84552130065920095</v>
      </c>
      <c r="F163" t="s">
        <v>35</v>
      </c>
      <c r="G163">
        <v>49</v>
      </c>
      <c r="H163">
        <v>-2.7080270423071998E-3</v>
      </c>
      <c r="I163" t="s">
        <v>36</v>
      </c>
      <c r="J163" t="b">
        <v>0</v>
      </c>
      <c r="K163">
        <v>274.18224496574999</v>
      </c>
      <c r="L163">
        <v>274.47492789257899</v>
      </c>
      <c r="M163">
        <v>15.774779011249899</v>
      </c>
      <c r="N163" t="s">
        <v>26</v>
      </c>
      <c r="O163" t="s">
        <v>26</v>
      </c>
      <c r="P163" t="s">
        <v>348</v>
      </c>
      <c r="Q163">
        <f>-0.0297822373342158 - 0.0243661832496012</f>
        <v>-5.4148420583816997E-2</v>
      </c>
      <c r="R163" t="s">
        <v>27</v>
      </c>
      <c r="S163" t="s">
        <v>37</v>
      </c>
      <c r="T163" t="s">
        <v>38</v>
      </c>
      <c r="U163" t="s">
        <v>204</v>
      </c>
      <c r="V163">
        <v>3.7542189448483398</v>
      </c>
      <c r="W163">
        <v>1.38133725979125E-2</v>
      </c>
      <c r="X163" t="s">
        <v>30</v>
      </c>
      <c r="Y163" t="s">
        <v>31</v>
      </c>
    </row>
    <row r="164" spans="1:25" x14ac:dyDescent="0.2">
      <c r="A164" t="s">
        <v>306</v>
      </c>
      <c r="B164" t="s">
        <v>73</v>
      </c>
      <c r="C164" t="s">
        <v>24</v>
      </c>
      <c r="D164">
        <v>8.5579597961698006E-3</v>
      </c>
      <c r="E164">
        <v>0.55033760072765703</v>
      </c>
      <c r="F164" t="s">
        <v>35</v>
      </c>
      <c r="G164">
        <v>36</v>
      </c>
      <c r="H164">
        <v>-5.0712406929301996E-3</v>
      </c>
      <c r="I164" t="s">
        <v>42</v>
      </c>
      <c r="J164" t="b">
        <v>0</v>
      </c>
      <c r="K164">
        <v>275.29276347228802</v>
      </c>
      <c r="L164">
        <v>275.58544639911798</v>
      </c>
      <c r="M164">
        <v>16.908803393613901</v>
      </c>
      <c r="N164" t="s">
        <v>26</v>
      </c>
      <c r="O164" t="s">
        <v>26</v>
      </c>
      <c r="P164" t="s">
        <v>363</v>
      </c>
      <c r="Q164">
        <f>-0.0215792305765664 - 0.0114367491907058</f>
        <v>-3.3015979767272198E-2</v>
      </c>
      <c r="R164" t="s">
        <v>27</v>
      </c>
      <c r="S164" t="s">
        <v>43</v>
      </c>
      <c r="T164" t="s">
        <v>26</v>
      </c>
      <c r="U164" t="s">
        <v>44</v>
      </c>
      <c r="V164">
        <v>3.87837193437363</v>
      </c>
      <c r="W164">
        <v>8.4224438181816005E-3</v>
      </c>
      <c r="X164" t="s">
        <v>30</v>
      </c>
      <c r="Y164" t="s">
        <v>31</v>
      </c>
    </row>
    <row r="165" spans="1:25" x14ac:dyDescent="0.2">
      <c r="A165" t="s">
        <v>306</v>
      </c>
      <c r="B165" t="s">
        <v>134</v>
      </c>
      <c r="C165" t="s">
        <v>24</v>
      </c>
      <c r="D165">
        <v>6.5072583088726405E-2</v>
      </c>
      <c r="E165">
        <v>9.4690062826353394E-2</v>
      </c>
      <c r="F165" t="s">
        <v>35</v>
      </c>
      <c r="G165">
        <v>6</v>
      </c>
      <c r="H165">
        <v>4.1001926646952999E-2</v>
      </c>
      <c r="I165" t="s">
        <v>42</v>
      </c>
      <c r="J165" t="b">
        <v>0</v>
      </c>
      <c r="K165">
        <v>272.710333412419</v>
      </c>
      <c r="L165">
        <v>273.00301633924801</v>
      </c>
      <c r="M165">
        <v>16.159113505430899</v>
      </c>
      <c r="N165" t="s">
        <v>26</v>
      </c>
      <c r="O165" t="s">
        <v>26</v>
      </c>
      <c r="P165" t="s">
        <v>330</v>
      </c>
      <c r="Q165">
        <f>-0.0060010773663584 - 0.0880049306602644</f>
        <v>-9.4006008026622789E-2</v>
      </c>
      <c r="R165" t="s">
        <v>27</v>
      </c>
      <c r="S165" t="s">
        <v>43</v>
      </c>
      <c r="T165" t="s">
        <v>26</v>
      </c>
      <c r="U165" t="s">
        <v>44</v>
      </c>
      <c r="V165">
        <v>3.4120084654333001</v>
      </c>
      <c r="W165">
        <v>2.3981124496587399E-2</v>
      </c>
      <c r="X165" t="s">
        <v>30</v>
      </c>
      <c r="Y165" t="s">
        <v>31</v>
      </c>
    </row>
    <row r="166" spans="1:25" x14ac:dyDescent="0.2">
      <c r="A166" t="s">
        <v>306</v>
      </c>
      <c r="B166" t="s">
        <v>77</v>
      </c>
      <c r="C166" t="s">
        <v>24</v>
      </c>
      <c r="D166">
        <v>2.9658565782766E-3</v>
      </c>
      <c r="E166">
        <v>0.73194287946513503</v>
      </c>
      <c r="F166" t="s">
        <v>35</v>
      </c>
      <c r="G166">
        <v>10</v>
      </c>
      <c r="H166">
        <v>-7.2175539110235004E-3</v>
      </c>
      <c r="I166" t="s">
        <v>42</v>
      </c>
      <c r="J166" t="b">
        <v>0</v>
      </c>
      <c r="K166">
        <v>265.80623304909898</v>
      </c>
      <c r="L166">
        <v>266.11392535679101</v>
      </c>
      <c r="M166">
        <v>18.933296622745001</v>
      </c>
      <c r="N166" t="s">
        <v>26</v>
      </c>
      <c r="O166" t="s">
        <v>26</v>
      </c>
      <c r="P166" t="s">
        <v>322</v>
      </c>
      <c r="Q166">
        <f>-0.0482281474499335 - 0.0337930396278864</f>
        <v>-8.2021187077819899E-2</v>
      </c>
      <c r="R166" t="s">
        <v>34</v>
      </c>
      <c r="S166" t="s">
        <v>43</v>
      </c>
      <c r="T166" t="s">
        <v>26</v>
      </c>
      <c r="U166" t="s">
        <v>44</v>
      </c>
      <c r="V166">
        <v>3.78743884632773</v>
      </c>
      <c r="W166">
        <v>2.09237722137296E-2</v>
      </c>
      <c r="X166" t="s">
        <v>30</v>
      </c>
      <c r="Y166" t="s">
        <v>31</v>
      </c>
    </row>
    <row r="167" spans="1:25" x14ac:dyDescent="0.2">
      <c r="A167" t="s">
        <v>306</v>
      </c>
      <c r="B167" t="s">
        <v>86</v>
      </c>
      <c r="C167" t="s">
        <v>24</v>
      </c>
      <c r="D167">
        <v>9.4730492825342794E-2</v>
      </c>
      <c r="E167">
        <v>5.3352578188628402E-2</v>
      </c>
      <c r="F167" t="s">
        <v>35</v>
      </c>
      <c r="G167">
        <v>13</v>
      </c>
      <c r="H167">
        <v>-2.62417582769882E-2</v>
      </c>
      <c r="I167" t="s">
        <v>36</v>
      </c>
      <c r="J167" t="b">
        <v>0</v>
      </c>
      <c r="K167">
        <v>251.49234144814801</v>
      </c>
      <c r="L167">
        <v>251.81666577247299</v>
      </c>
      <c r="M167">
        <v>15.3511800826849</v>
      </c>
      <c r="N167" t="s">
        <v>26</v>
      </c>
      <c r="O167" t="s">
        <v>26</v>
      </c>
      <c r="P167" t="s">
        <v>344</v>
      </c>
      <c r="Q167">
        <f>-0.052034722243164 - -0.000448794310812371</f>
        <v>-5.158592793235163E-2</v>
      </c>
      <c r="R167" t="s">
        <v>33</v>
      </c>
      <c r="S167" t="s">
        <v>37</v>
      </c>
      <c r="T167" t="s">
        <v>38</v>
      </c>
      <c r="U167" t="s">
        <v>235</v>
      </c>
      <c r="V167">
        <v>4.8611345331440203</v>
      </c>
      <c r="W167">
        <v>1.3159675492946899E-2</v>
      </c>
      <c r="X167" t="s">
        <v>30</v>
      </c>
      <c r="Y167" t="s">
        <v>31</v>
      </c>
    </row>
    <row r="168" spans="1:25" x14ac:dyDescent="0.2">
      <c r="A168" t="s">
        <v>306</v>
      </c>
      <c r="B168" t="s">
        <v>155</v>
      </c>
      <c r="C168" t="s">
        <v>24</v>
      </c>
      <c r="D168" s="1">
        <v>8.3153825533415395E-6</v>
      </c>
      <c r="E168">
        <v>0.98517833795501297</v>
      </c>
      <c r="F168" t="s">
        <v>35</v>
      </c>
      <c r="G168">
        <v>20</v>
      </c>
      <c r="H168">
        <v>-4.8467506211739999E-4</v>
      </c>
      <c r="I168" t="s">
        <v>36</v>
      </c>
      <c r="J168" t="b">
        <v>0</v>
      </c>
      <c r="K168">
        <v>274.22204396490599</v>
      </c>
      <c r="L168">
        <v>274.51472689173499</v>
      </c>
      <c r="M168">
        <v>16.1964988165149</v>
      </c>
      <c r="N168" t="s">
        <v>26</v>
      </c>
      <c r="O168" t="s">
        <v>26</v>
      </c>
      <c r="P168" t="s">
        <v>336</v>
      </c>
      <c r="Q168">
        <f>-0.0513169068897752 - 0.0503475567655403</f>
        <v>-0.10166446365531551</v>
      </c>
      <c r="R168" t="s">
        <v>27</v>
      </c>
      <c r="S168" t="s">
        <v>37</v>
      </c>
      <c r="T168" t="s">
        <v>38</v>
      </c>
      <c r="U168" t="s">
        <v>296</v>
      </c>
      <c r="V168">
        <v>3.5572768353784898</v>
      </c>
      <c r="W168">
        <v>2.5934812156968301E-2</v>
      </c>
      <c r="X168" t="s">
        <v>30</v>
      </c>
      <c r="Y168" t="s">
        <v>31</v>
      </c>
    </row>
    <row r="169" spans="1:25" x14ac:dyDescent="0.2">
      <c r="A169" t="s">
        <v>306</v>
      </c>
      <c r="B169" t="s">
        <v>140</v>
      </c>
      <c r="C169" t="s">
        <v>24</v>
      </c>
      <c r="D169">
        <v>4.643547687957E-4</v>
      </c>
      <c r="E169">
        <v>0.89361722239201802</v>
      </c>
      <c r="F169" t="s">
        <v>35</v>
      </c>
      <c r="G169">
        <v>59</v>
      </c>
      <c r="H169">
        <v>-2.7857165075164999E-3</v>
      </c>
      <c r="I169" t="s">
        <v>42</v>
      </c>
      <c r="J169" t="b">
        <v>0</v>
      </c>
      <c r="K169">
        <v>259.4428351601</v>
      </c>
      <c r="L169">
        <v>259.758624633784</v>
      </c>
      <c r="M169">
        <v>16.066795360994998</v>
      </c>
      <c r="N169" t="s">
        <v>26</v>
      </c>
      <c r="O169" t="s">
        <v>26</v>
      </c>
      <c r="P169" t="s">
        <v>307</v>
      </c>
      <c r="Q169">
        <f>-0.0433491654163272 - 0.0377777324012941</f>
        <v>-8.1126897817621293E-2</v>
      </c>
      <c r="R169" t="s">
        <v>34</v>
      </c>
      <c r="S169" t="s">
        <v>43</v>
      </c>
      <c r="T169" t="s">
        <v>26</v>
      </c>
      <c r="U169" t="s">
        <v>44</v>
      </c>
      <c r="V169">
        <v>3.6663785268509401</v>
      </c>
      <c r="W169">
        <v>2.06956371983728E-2</v>
      </c>
      <c r="X169" t="s">
        <v>30</v>
      </c>
      <c r="Y169" t="s">
        <v>31</v>
      </c>
    </row>
    <row r="170" spans="1:25" x14ac:dyDescent="0.2">
      <c r="A170" t="s">
        <v>306</v>
      </c>
      <c r="B170" t="s">
        <v>75</v>
      </c>
      <c r="C170" t="s">
        <v>24</v>
      </c>
      <c r="D170">
        <v>3.6830286038861501E-2</v>
      </c>
      <c r="E170">
        <v>0.21203369195772501</v>
      </c>
      <c r="F170" t="s">
        <v>35</v>
      </c>
      <c r="G170">
        <v>45</v>
      </c>
      <c r="H170">
        <v>-3.9440823526979099E-2</v>
      </c>
      <c r="I170" t="s">
        <v>42</v>
      </c>
      <c r="J170" t="b">
        <v>0</v>
      </c>
      <c r="K170">
        <v>274.01980569126101</v>
      </c>
      <c r="L170">
        <v>274.31248861809098</v>
      </c>
      <c r="M170">
        <v>15.6238101657179</v>
      </c>
      <c r="N170" t="s">
        <v>26</v>
      </c>
      <c r="O170" t="s">
        <v>26</v>
      </c>
      <c r="P170" t="s">
        <v>353</v>
      </c>
      <c r="Q170">
        <f>-0.100440321923408 - 0.0215586748694503</f>
        <v>-0.12199899679285831</v>
      </c>
      <c r="R170" t="s">
        <v>27</v>
      </c>
      <c r="S170" t="s">
        <v>43</v>
      </c>
      <c r="T170" t="s">
        <v>26</v>
      </c>
      <c r="U170" t="s">
        <v>44</v>
      </c>
      <c r="V170">
        <v>3.7808962660057901</v>
      </c>
      <c r="W170">
        <v>3.1122193059402701E-2</v>
      </c>
      <c r="X170" t="s">
        <v>30</v>
      </c>
      <c r="Y170" t="s">
        <v>31</v>
      </c>
    </row>
    <row r="171" spans="1:25" x14ac:dyDescent="0.2">
      <c r="A171" t="s">
        <v>306</v>
      </c>
      <c r="B171" t="s">
        <v>73</v>
      </c>
      <c r="C171" t="s">
        <v>24</v>
      </c>
      <c r="D171">
        <v>1.6082409870038401E-2</v>
      </c>
      <c r="E171">
        <v>0.41204066200371198</v>
      </c>
      <c r="F171" t="s">
        <v>35</v>
      </c>
      <c r="G171">
        <v>36</v>
      </c>
      <c r="H171">
        <v>-9.9988304245694996E-3</v>
      </c>
      <c r="I171" t="s">
        <v>36</v>
      </c>
      <c r="J171" t="b">
        <v>0</v>
      </c>
      <c r="K171">
        <v>273.53536744719599</v>
      </c>
      <c r="L171">
        <v>273.828050374025</v>
      </c>
      <c r="M171">
        <v>15.151407368520999</v>
      </c>
      <c r="N171" t="s">
        <v>26</v>
      </c>
      <c r="O171" t="s">
        <v>26</v>
      </c>
      <c r="P171" t="s">
        <v>363</v>
      </c>
      <c r="Q171">
        <f>-0.0336517322111786 - 0.0136540713620395</f>
        <v>-4.7305803573218098E-2</v>
      </c>
      <c r="R171" t="s">
        <v>27</v>
      </c>
      <c r="S171" t="s">
        <v>37</v>
      </c>
      <c r="T171" t="s">
        <v>38</v>
      </c>
      <c r="U171" t="s">
        <v>201</v>
      </c>
      <c r="V171">
        <v>4.0880954889902297</v>
      </c>
      <c r="W171">
        <v>1.2067807033984201E-2</v>
      </c>
      <c r="X171" t="s">
        <v>30</v>
      </c>
      <c r="Y171" t="s">
        <v>31</v>
      </c>
    </row>
    <row r="172" spans="1:25" x14ac:dyDescent="0.2">
      <c r="A172" t="s">
        <v>306</v>
      </c>
      <c r="B172" t="s">
        <v>113</v>
      </c>
      <c r="C172" t="s">
        <v>24</v>
      </c>
      <c r="D172" s="1">
        <v>6.5802646255738002E-5</v>
      </c>
      <c r="E172">
        <v>0.95933725312083995</v>
      </c>
      <c r="F172" t="s">
        <v>35</v>
      </c>
      <c r="G172">
        <v>19</v>
      </c>
      <c r="H172">
        <v>5.4889201769189996E-4</v>
      </c>
      <c r="I172" t="s">
        <v>42</v>
      </c>
      <c r="J172" t="b">
        <v>0</v>
      </c>
      <c r="K172">
        <v>265.92822031177502</v>
      </c>
      <c r="L172">
        <v>266.235912619467</v>
      </c>
      <c r="M172">
        <v>17.735070778457999</v>
      </c>
      <c r="N172" t="s">
        <v>26</v>
      </c>
      <c r="O172" t="s">
        <v>26</v>
      </c>
      <c r="P172" t="s">
        <v>342</v>
      </c>
      <c r="Q172">
        <f>-0.0204200742886751 - 0.0215178583240589</f>
        <v>-4.1937932612734E-2</v>
      </c>
      <c r="R172" t="s">
        <v>34</v>
      </c>
      <c r="S172" t="s">
        <v>43</v>
      </c>
      <c r="T172" t="s">
        <v>26</v>
      </c>
      <c r="U172" t="s">
        <v>44</v>
      </c>
      <c r="V172">
        <v>3.6108417976775402</v>
      </c>
      <c r="W172">
        <v>1.0698452197126E-2</v>
      </c>
      <c r="X172" t="s">
        <v>30</v>
      </c>
      <c r="Y172" t="s">
        <v>31</v>
      </c>
    </row>
    <row r="173" spans="1:25" x14ac:dyDescent="0.2">
      <c r="A173" t="s">
        <v>306</v>
      </c>
      <c r="B173" t="s">
        <v>136</v>
      </c>
      <c r="C173" t="s">
        <v>24</v>
      </c>
      <c r="D173">
        <v>1.0838104857692E-3</v>
      </c>
      <c r="E173">
        <v>0.840178968058373</v>
      </c>
      <c r="F173" t="s">
        <v>35</v>
      </c>
      <c r="G173">
        <v>57</v>
      </c>
      <c r="H173">
        <v>1.2249220894387999E-3</v>
      </c>
      <c r="I173" t="s">
        <v>42</v>
      </c>
      <c r="J173" t="b">
        <v>0</v>
      </c>
      <c r="K173">
        <v>254.660028485043</v>
      </c>
      <c r="L173">
        <v>254.984352809368</v>
      </c>
      <c r="M173">
        <v>17.282099108758</v>
      </c>
      <c r="N173" t="s">
        <v>26</v>
      </c>
      <c r="O173" t="s">
        <v>26</v>
      </c>
      <c r="P173" t="s">
        <v>350</v>
      </c>
      <c r="Q173">
        <f>-0.0105989736411974 - 0.0130488178200751</f>
        <v>-2.3647791461272501E-2</v>
      </c>
      <c r="R173" t="s">
        <v>32</v>
      </c>
      <c r="S173" t="s">
        <v>43</v>
      </c>
      <c r="T173" t="s">
        <v>26</v>
      </c>
      <c r="U173" t="s">
        <v>44</v>
      </c>
      <c r="V173">
        <v>3.5394965423997098</v>
      </c>
      <c r="W173">
        <v>6.0325998625694998E-3</v>
      </c>
      <c r="X173" t="s">
        <v>30</v>
      </c>
      <c r="Y173" t="s">
        <v>31</v>
      </c>
    </row>
    <row r="174" spans="1:25" x14ac:dyDescent="0.2">
      <c r="A174" t="s">
        <v>306</v>
      </c>
      <c r="B174" t="s">
        <v>134</v>
      </c>
      <c r="C174" t="s">
        <v>24</v>
      </c>
      <c r="D174">
        <v>6.8673486461130903E-2</v>
      </c>
      <c r="E174">
        <v>8.5720576360745995E-2</v>
      </c>
      <c r="F174" t="s">
        <v>35</v>
      </c>
      <c r="G174">
        <v>6</v>
      </c>
      <c r="H174">
        <v>4.38665805245314E-2</v>
      </c>
      <c r="I174" t="s">
        <v>36</v>
      </c>
      <c r="J174" t="b">
        <v>0</v>
      </c>
      <c r="K174">
        <v>271.09427798832002</v>
      </c>
      <c r="L174">
        <v>271.38696091514902</v>
      </c>
      <c r="M174">
        <v>14.5430580813319</v>
      </c>
      <c r="N174" t="s">
        <v>26</v>
      </c>
      <c r="O174" t="s">
        <v>26</v>
      </c>
      <c r="P174" t="s">
        <v>330</v>
      </c>
      <c r="Q174">
        <f>-0.00498983976766786 - 0.0927230008167307</f>
        <v>-9.7712840584398553E-2</v>
      </c>
      <c r="R174" t="s">
        <v>27</v>
      </c>
      <c r="S174" t="s">
        <v>37</v>
      </c>
      <c r="T174" t="s">
        <v>38</v>
      </c>
      <c r="U174" t="s">
        <v>260</v>
      </c>
      <c r="V174">
        <v>3.3892160604227799</v>
      </c>
      <c r="W174">
        <v>2.49267450470404E-2</v>
      </c>
      <c r="X174" t="s">
        <v>30</v>
      </c>
      <c r="Y174" t="s">
        <v>31</v>
      </c>
    </row>
    <row r="175" spans="1:25" x14ac:dyDescent="0.2">
      <c r="A175" t="s">
        <v>306</v>
      </c>
      <c r="B175" t="s">
        <v>122</v>
      </c>
      <c r="C175" t="s">
        <v>24</v>
      </c>
      <c r="D175">
        <v>9.7156440351520005E-4</v>
      </c>
      <c r="E175">
        <v>0.84857963837602501</v>
      </c>
      <c r="F175" t="s">
        <v>35</v>
      </c>
      <c r="G175">
        <v>39</v>
      </c>
      <c r="H175">
        <v>-7.3245347163560003E-3</v>
      </c>
      <c r="I175" t="s">
        <v>42</v>
      </c>
      <c r="J175" t="b">
        <v>0</v>
      </c>
      <c r="K175">
        <v>254.66452294724101</v>
      </c>
      <c r="L175">
        <v>254.98884727156499</v>
      </c>
      <c r="M175">
        <v>17.279276550920901</v>
      </c>
      <c r="N175" t="s">
        <v>26</v>
      </c>
      <c r="O175" t="s">
        <v>26</v>
      </c>
      <c r="P175" t="s">
        <v>332</v>
      </c>
      <c r="Q175">
        <f>-0.0820033539260253 - 0.0673542844933132</f>
        <v>-0.1493576384193385</v>
      </c>
      <c r="R175" t="s">
        <v>32</v>
      </c>
      <c r="S175" t="s">
        <v>43</v>
      </c>
      <c r="T175" t="s">
        <v>26</v>
      </c>
      <c r="U175" t="s">
        <v>44</v>
      </c>
      <c r="V175">
        <v>3.66943558179999</v>
      </c>
      <c r="W175">
        <v>3.8101438372280201E-2</v>
      </c>
      <c r="X175" t="s">
        <v>30</v>
      </c>
      <c r="Y175" t="s">
        <v>31</v>
      </c>
    </row>
    <row r="176" spans="1:25" x14ac:dyDescent="0.2">
      <c r="A176" t="s">
        <v>306</v>
      </c>
      <c r="B176" t="s">
        <v>93</v>
      </c>
      <c r="C176" t="s">
        <v>24</v>
      </c>
      <c r="D176">
        <v>3.2342758498139702E-2</v>
      </c>
      <c r="E176">
        <v>0.26681374267048102</v>
      </c>
      <c r="F176" t="s">
        <v>35</v>
      </c>
      <c r="G176">
        <v>61</v>
      </c>
      <c r="H176">
        <v>0.25349336063243799</v>
      </c>
      <c r="I176" t="s">
        <v>42</v>
      </c>
      <c r="J176" t="b">
        <v>0</v>
      </c>
      <c r="K176">
        <v>253.38831066366299</v>
      </c>
      <c r="L176">
        <v>253.712634987987</v>
      </c>
      <c r="M176">
        <v>18.633845525323999</v>
      </c>
      <c r="N176" t="s">
        <v>26</v>
      </c>
      <c r="O176" t="s">
        <v>26</v>
      </c>
      <c r="P176" t="s">
        <v>365</v>
      </c>
      <c r="Q176">
        <f>-0.187369088130163 - 0.694355809395039</f>
        <v>-0.88172489752520211</v>
      </c>
      <c r="R176" t="s">
        <v>32</v>
      </c>
      <c r="S176" t="s">
        <v>43</v>
      </c>
      <c r="T176" t="s">
        <v>26</v>
      </c>
      <c r="U176" t="s">
        <v>44</v>
      </c>
      <c r="V176">
        <v>3.3396181281828299</v>
      </c>
      <c r="W176">
        <v>0.22492982079724499</v>
      </c>
      <c r="X176" t="s">
        <v>30</v>
      </c>
      <c r="Y176" t="s">
        <v>31</v>
      </c>
    </row>
    <row r="177" spans="1:25" x14ac:dyDescent="0.2">
      <c r="A177" t="s">
        <v>306</v>
      </c>
      <c r="B177" t="s">
        <v>67</v>
      </c>
      <c r="C177" t="s">
        <v>24</v>
      </c>
      <c r="D177" s="1">
        <v>2.3810693565087798E-5</v>
      </c>
      <c r="E177">
        <v>0.97616039969912605</v>
      </c>
      <c r="F177" t="s">
        <v>35</v>
      </c>
      <c r="G177">
        <v>10</v>
      </c>
      <c r="H177">
        <v>-1.194616145648E-4</v>
      </c>
      <c r="I177" t="s">
        <v>39</v>
      </c>
      <c r="J177" t="b">
        <v>0</v>
      </c>
      <c r="K177">
        <v>257.65705612494298</v>
      </c>
      <c r="L177">
        <v>257.98138044926702</v>
      </c>
      <c r="M177">
        <v>20.269383595023001</v>
      </c>
      <c r="N177" t="s">
        <v>26</v>
      </c>
      <c r="O177" t="s">
        <v>26</v>
      </c>
      <c r="P177" t="s">
        <v>349</v>
      </c>
      <c r="Q177">
        <f>-0.0079034371038672 - 0.00766451387473746</f>
        <v>-1.556795097860466E-2</v>
      </c>
      <c r="R177" t="s">
        <v>33</v>
      </c>
      <c r="S177" t="s">
        <v>40</v>
      </c>
      <c r="T177" t="s">
        <v>41</v>
      </c>
      <c r="U177" t="s">
        <v>176</v>
      </c>
      <c r="V177">
        <v>3.6412896471989198</v>
      </c>
      <c r="W177">
        <v>3.9714160659705001E-3</v>
      </c>
      <c r="X177" t="s">
        <v>30</v>
      </c>
      <c r="Y177" t="s">
        <v>31</v>
      </c>
    </row>
    <row r="178" spans="1:25" x14ac:dyDescent="0.2">
      <c r="A178" t="s">
        <v>306</v>
      </c>
      <c r="B178" t="s">
        <v>147</v>
      </c>
      <c r="C178" t="s">
        <v>24</v>
      </c>
      <c r="D178">
        <v>3.7793561103365001E-3</v>
      </c>
      <c r="E178">
        <v>0.70629332584153903</v>
      </c>
      <c r="F178" t="s">
        <v>35</v>
      </c>
      <c r="G178">
        <v>55</v>
      </c>
      <c r="H178">
        <v>-9.2924701134213007E-3</v>
      </c>
      <c r="I178" t="s">
        <v>42</v>
      </c>
      <c r="J178" t="b">
        <v>0</v>
      </c>
      <c r="K178">
        <v>254.551943777487</v>
      </c>
      <c r="L178">
        <v>254.87626810181101</v>
      </c>
      <c r="M178">
        <v>16.999329986226002</v>
      </c>
      <c r="N178" t="s">
        <v>26</v>
      </c>
      <c r="O178" t="s">
        <v>26</v>
      </c>
      <c r="P178" t="s">
        <v>309</v>
      </c>
      <c r="Q178">
        <f>-0.0572618723823804 - 0.0386769321555378</f>
        <v>-9.5938804537918199E-2</v>
      </c>
      <c r="R178" t="s">
        <v>32</v>
      </c>
      <c r="S178" t="s">
        <v>43</v>
      </c>
      <c r="T178" t="s">
        <v>26</v>
      </c>
      <c r="U178" t="s">
        <v>44</v>
      </c>
      <c r="V178">
        <v>3.8644248811598301</v>
      </c>
      <c r="W178">
        <v>2.44741848311016E-2</v>
      </c>
      <c r="X178" t="s">
        <v>30</v>
      </c>
      <c r="Y178" t="s">
        <v>31</v>
      </c>
    </row>
    <row r="179" spans="1:25" x14ac:dyDescent="0.2">
      <c r="A179" t="s">
        <v>306</v>
      </c>
      <c r="B179" t="s">
        <v>84</v>
      </c>
      <c r="C179" t="s">
        <v>24</v>
      </c>
      <c r="D179">
        <v>1.48358879004215E-2</v>
      </c>
      <c r="E179">
        <v>0.44223948361495602</v>
      </c>
      <c r="F179" t="s">
        <v>35</v>
      </c>
      <c r="G179">
        <v>25</v>
      </c>
      <c r="H179">
        <v>-9.2495548039683E-3</v>
      </c>
      <c r="I179" t="s">
        <v>36</v>
      </c>
      <c r="J179" t="b">
        <v>0</v>
      </c>
      <c r="K179">
        <v>263.69807309735802</v>
      </c>
      <c r="L179">
        <v>264.00576540505</v>
      </c>
      <c r="M179">
        <v>15.3992348352539</v>
      </c>
      <c r="N179" t="s">
        <v>26</v>
      </c>
      <c r="O179" t="s">
        <v>26</v>
      </c>
      <c r="P179" t="s">
        <v>355</v>
      </c>
      <c r="Q179">
        <f>-0.0326080265663957 - 0.0141089169584591</f>
        <v>-4.6716943524854795E-2</v>
      </c>
      <c r="R179" t="s">
        <v>34</v>
      </c>
      <c r="S179" t="s">
        <v>37</v>
      </c>
      <c r="T179" t="s">
        <v>38</v>
      </c>
      <c r="U179" t="s">
        <v>214</v>
      </c>
      <c r="V179">
        <v>3.9847096963709898</v>
      </c>
      <c r="W179">
        <v>1.19175876338915E-2</v>
      </c>
      <c r="X179" t="s">
        <v>30</v>
      </c>
      <c r="Y179" t="s">
        <v>31</v>
      </c>
    </row>
    <row r="180" spans="1:25" x14ac:dyDescent="0.2">
      <c r="A180" t="s">
        <v>306</v>
      </c>
      <c r="B180" t="s">
        <v>97</v>
      </c>
      <c r="C180" t="s">
        <v>24</v>
      </c>
      <c r="D180">
        <v>1.31796021369513E-2</v>
      </c>
      <c r="E180">
        <v>0.48056872112879201</v>
      </c>
      <c r="F180" t="s">
        <v>35</v>
      </c>
      <c r="G180">
        <v>23</v>
      </c>
      <c r="H180">
        <v>-4.4474658277332E-3</v>
      </c>
      <c r="I180" t="s">
        <v>42</v>
      </c>
      <c r="J180" t="b">
        <v>0</v>
      </c>
      <c r="K180">
        <v>254.17271546140299</v>
      </c>
      <c r="L180">
        <v>254.49703978572799</v>
      </c>
      <c r="M180">
        <v>16.898181736294902</v>
      </c>
      <c r="N180" t="s">
        <v>26</v>
      </c>
      <c r="O180" t="s">
        <v>26</v>
      </c>
      <c r="P180" t="s">
        <v>318</v>
      </c>
      <c r="Q180">
        <f>-0.0166836160971345 - 0.00778868444166799</f>
        <v>-2.4472300538802491E-2</v>
      </c>
      <c r="R180" t="s">
        <v>32</v>
      </c>
      <c r="S180" t="s">
        <v>43</v>
      </c>
      <c r="T180" t="s">
        <v>26</v>
      </c>
      <c r="U180" t="s">
        <v>44</v>
      </c>
      <c r="V180">
        <v>3.6691025949143601</v>
      </c>
      <c r="W180">
        <v>6.2429338109190003E-3</v>
      </c>
      <c r="X180" t="s">
        <v>30</v>
      </c>
      <c r="Y180" t="s">
        <v>31</v>
      </c>
    </row>
    <row r="181" spans="1:25" x14ac:dyDescent="0.2">
      <c r="A181" t="s">
        <v>306</v>
      </c>
      <c r="B181" t="s">
        <v>159</v>
      </c>
      <c r="C181" t="s">
        <v>24</v>
      </c>
      <c r="D181">
        <v>1.22784226307198E-2</v>
      </c>
      <c r="E181">
        <v>0.49606785461698299</v>
      </c>
      <c r="F181" t="s">
        <v>35</v>
      </c>
      <c r="G181">
        <v>55</v>
      </c>
      <c r="H181">
        <v>-4.6490794488569997E-3</v>
      </c>
      <c r="I181" t="s">
        <v>42</v>
      </c>
      <c r="J181" t="b">
        <v>0</v>
      </c>
      <c r="K181">
        <v>254.20922740513899</v>
      </c>
      <c r="L181">
        <v>254.53355172946399</v>
      </c>
      <c r="M181">
        <v>16.537052965794</v>
      </c>
      <c r="N181" t="s">
        <v>26</v>
      </c>
      <c r="O181" t="s">
        <v>26</v>
      </c>
      <c r="P181" t="s">
        <v>314</v>
      </c>
      <c r="Q181">
        <f>-0.0179070552709052 - 0.00860889637319109</f>
        <v>-2.651595164409629E-2</v>
      </c>
      <c r="R181" t="s">
        <v>32</v>
      </c>
      <c r="S181" t="s">
        <v>43</v>
      </c>
      <c r="T181" t="s">
        <v>26</v>
      </c>
      <c r="U181" t="s">
        <v>44</v>
      </c>
      <c r="V181">
        <v>4.0279502450862399</v>
      </c>
      <c r="W181">
        <v>6.7642733785958998E-3</v>
      </c>
      <c r="X181" t="s">
        <v>30</v>
      </c>
      <c r="Y181" t="s">
        <v>31</v>
      </c>
    </row>
    <row r="182" spans="1:25" x14ac:dyDescent="0.2">
      <c r="A182" t="s">
        <v>306</v>
      </c>
      <c r="B182" t="s">
        <v>101</v>
      </c>
      <c r="C182" t="s">
        <v>24</v>
      </c>
      <c r="D182">
        <v>1.25717552142944E-2</v>
      </c>
      <c r="E182">
        <v>0.49093419872350402</v>
      </c>
      <c r="F182" t="s">
        <v>35</v>
      </c>
      <c r="G182">
        <v>39</v>
      </c>
      <c r="H182">
        <v>-4.2142362299973004E-3</v>
      </c>
      <c r="I182" t="s">
        <v>39</v>
      </c>
      <c r="J182" t="b">
        <v>0</v>
      </c>
      <c r="K182">
        <v>257.151950629819</v>
      </c>
      <c r="L182">
        <v>257.476274954144</v>
      </c>
      <c r="M182">
        <v>21.104891465423002</v>
      </c>
      <c r="N182" t="s">
        <v>26</v>
      </c>
      <c r="O182" t="s">
        <v>26</v>
      </c>
      <c r="P182" t="s">
        <v>321</v>
      </c>
      <c r="Q182">
        <f>-0.0160893550629895 - 0.00766088260299484</f>
        <v>-2.3750237665984338E-2</v>
      </c>
      <c r="R182" t="s">
        <v>33</v>
      </c>
      <c r="S182" t="s">
        <v>40</v>
      </c>
      <c r="T182" t="s">
        <v>41</v>
      </c>
      <c r="U182" t="s">
        <v>261</v>
      </c>
      <c r="V182">
        <v>3.8503645544389902</v>
      </c>
      <c r="W182">
        <v>6.0587340984654004E-3</v>
      </c>
      <c r="X182" t="s">
        <v>30</v>
      </c>
      <c r="Y182" t="s">
        <v>31</v>
      </c>
    </row>
    <row r="183" spans="1:25" x14ac:dyDescent="0.2">
      <c r="A183" t="s">
        <v>306</v>
      </c>
      <c r="B183" t="s">
        <v>147</v>
      </c>
      <c r="C183" t="s">
        <v>24</v>
      </c>
      <c r="D183">
        <v>3.7793561103365001E-3</v>
      </c>
      <c r="E183">
        <v>0.70629332584153903</v>
      </c>
      <c r="F183" t="s">
        <v>35</v>
      </c>
      <c r="G183">
        <v>55</v>
      </c>
      <c r="H183">
        <v>-9.2924701134213007E-3</v>
      </c>
      <c r="I183" t="s">
        <v>39</v>
      </c>
      <c r="J183" t="b">
        <v>0</v>
      </c>
      <c r="K183">
        <v>254.551943777487</v>
      </c>
      <c r="L183">
        <v>254.87626810181101</v>
      </c>
      <c r="M183">
        <v>16.999329986226002</v>
      </c>
      <c r="N183" t="s">
        <v>26</v>
      </c>
      <c r="O183" t="s">
        <v>26</v>
      </c>
      <c r="P183" t="s">
        <v>309</v>
      </c>
      <c r="Q183">
        <f>-0.0572618723823804 - 0.0386769321555378</f>
        <v>-9.5938804537918199E-2</v>
      </c>
      <c r="R183" t="s">
        <v>32</v>
      </c>
      <c r="S183" t="s">
        <v>40</v>
      </c>
      <c r="T183" t="s">
        <v>41</v>
      </c>
      <c r="U183" t="s">
        <v>210</v>
      </c>
      <c r="V183">
        <v>3.8644248811598301</v>
      </c>
      <c r="W183">
        <v>2.44741848311016E-2</v>
      </c>
      <c r="X183" t="s">
        <v>30</v>
      </c>
      <c r="Y183" t="s">
        <v>31</v>
      </c>
    </row>
    <row r="184" spans="1:25" x14ac:dyDescent="0.2">
      <c r="A184" t="s">
        <v>306</v>
      </c>
      <c r="B184" t="s">
        <v>168</v>
      </c>
      <c r="C184" t="s">
        <v>24</v>
      </c>
      <c r="D184">
        <v>2.5706247023489202E-2</v>
      </c>
      <c r="E184">
        <v>0.29850360256904501</v>
      </c>
      <c r="F184" t="s">
        <v>35</v>
      </c>
      <c r="G184">
        <v>57</v>
      </c>
      <c r="H184">
        <v>-0.60825441061446694</v>
      </c>
      <c r="I184" t="s">
        <v>42</v>
      </c>
      <c r="J184" t="b">
        <v>0</v>
      </c>
      <c r="K184">
        <v>274.525067445633</v>
      </c>
      <c r="L184">
        <v>274.817750372462</v>
      </c>
      <c r="M184">
        <v>16.991507203687998</v>
      </c>
      <c r="N184" t="s">
        <v>26</v>
      </c>
      <c r="O184" t="s">
        <v>26</v>
      </c>
      <c r="P184" t="s">
        <v>366</v>
      </c>
      <c r="Q184">
        <f>-1.74076510984287 - 0.524256288613938</f>
        <v>-2.2650213984568079</v>
      </c>
      <c r="R184" t="s">
        <v>27</v>
      </c>
      <c r="S184" t="s">
        <v>43</v>
      </c>
      <c r="T184" t="s">
        <v>26</v>
      </c>
      <c r="U184" t="s">
        <v>44</v>
      </c>
      <c r="V184">
        <v>3.7085306785860701</v>
      </c>
      <c r="W184">
        <v>0.57781158123898202</v>
      </c>
      <c r="X184" t="s">
        <v>30</v>
      </c>
      <c r="Y184" t="s">
        <v>31</v>
      </c>
    </row>
    <row r="185" spans="1:25" x14ac:dyDescent="0.2">
      <c r="A185" t="s">
        <v>306</v>
      </c>
      <c r="B185" t="s">
        <v>47</v>
      </c>
      <c r="C185" t="s">
        <v>24</v>
      </c>
      <c r="D185">
        <v>1.24519318750573E-2</v>
      </c>
      <c r="E185">
        <v>0.49302061798774399</v>
      </c>
      <c r="F185" t="s">
        <v>35</v>
      </c>
      <c r="G185">
        <v>28</v>
      </c>
      <c r="H185">
        <v>-7.5130076211041997E-3</v>
      </c>
      <c r="I185" t="s">
        <v>39</v>
      </c>
      <c r="J185" t="b">
        <v>0</v>
      </c>
      <c r="K185">
        <v>257.15680429165201</v>
      </c>
      <c r="L185">
        <v>257.48112861597701</v>
      </c>
      <c r="M185">
        <v>19.749699364002002</v>
      </c>
      <c r="N185" t="s">
        <v>26</v>
      </c>
      <c r="O185" t="s">
        <v>26</v>
      </c>
      <c r="P185" t="s">
        <v>324</v>
      </c>
      <c r="Q185">
        <f>-0.0287865031488836 - 0.0137604879066752</f>
        <v>-4.25469910555588E-2</v>
      </c>
      <c r="R185" t="s">
        <v>33</v>
      </c>
      <c r="S185" t="s">
        <v>40</v>
      </c>
      <c r="T185" t="s">
        <v>41</v>
      </c>
      <c r="U185" t="s">
        <v>175</v>
      </c>
      <c r="V185">
        <v>3.7340603363001899</v>
      </c>
      <c r="W185">
        <v>1.0853824248867E-2</v>
      </c>
      <c r="X185" t="s">
        <v>30</v>
      </c>
      <c r="Y185" t="s">
        <v>31</v>
      </c>
    </row>
    <row r="186" spans="1:25" x14ac:dyDescent="0.2">
      <c r="A186" t="s">
        <v>306</v>
      </c>
      <c r="B186" t="s">
        <v>45</v>
      </c>
      <c r="C186" t="s">
        <v>24</v>
      </c>
      <c r="D186">
        <v>7.1027853562046E-3</v>
      </c>
      <c r="E186">
        <v>0.60512797370885596</v>
      </c>
      <c r="F186" t="s">
        <v>35</v>
      </c>
      <c r="G186">
        <v>66</v>
      </c>
      <c r="H186">
        <v>-3.1779539462782999E-3</v>
      </c>
      <c r="I186" t="s">
        <v>42</v>
      </c>
      <c r="J186" t="b">
        <v>0</v>
      </c>
      <c r="K186">
        <v>257.37288335521799</v>
      </c>
      <c r="L186">
        <v>257.69720767954198</v>
      </c>
      <c r="M186">
        <v>19.7359599241639</v>
      </c>
      <c r="N186" t="s">
        <v>26</v>
      </c>
      <c r="O186" t="s">
        <v>26</v>
      </c>
      <c r="P186" t="s">
        <v>354</v>
      </c>
      <c r="Q186">
        <f>-0.0151247011279089 - 0.00876879323535217</f>
        <v>-2.3893494363261068E-2</v>
      </c>
      <c r="R186" t="s">
        <v>33</v>
      </c>
      <c r="S186" t="s">
        <v>43</v>
      </c>
      <c r="T186" t="s">
        <v>26</v>
      </c>
      <c r="U186" t="s">
        <v>44</v>
      </c>
      <c r="V186">
        <v>3.6467934082645899</v>
      </c>
      <c r="W186">
        <v>6.0952791743011997E-3</v>
      </c>
      <c r="X186" t="s">
        <v>30</v>
      </c>
      <c r="Y186" t="s">
        <v>31</v>
      </c>
    </row>
    <row r="187" spans="1:25" x14ac:dyDescent="0.2">
      <c r="A187" t="s">
        <v>306</v>
      </c>
      <c r="B187" t="s">
        <v>136</v>
      </c>
      <c r="C187" t="s">
        <v>24</v>
      </c>
      <c r="D187">
        <v>3.7836434357828002E-3</v>
      </c>
      <c r="E187">
        <v>0.70613422141237703</v>
      </c>
      <c r="F187" t="s">
        <v>35</v>
      </c>
      <c r="G187">
        <v>57</v>
      </c>
      <c r="H187">
        <v>3.3256168276656999E-3</v>
      </c>
      <c r="I187" t="s">
        <v>36</v>
      </c>
      <c r="J187" t="b">
        <v>0</v>
      </c>
      <c r="K187">
        <v>252.66975949207699</v>
      </c>
      <c r="L187">
        <v>252.994083816401</v>
      </c>
      <c r="M187">
        <v>15.291830115791001</v>
      </c>
      <c r="N187" t="s">
        <v>26</v>
      </c>
      <c r="O187" t="s">
        <v>26</v>
      </c>
      <c r="P187" t="s">
        <v>350</v>
      </c>
      <c r="Q187">
        <f>-0.013832049388799 - 0.0204832830441306</f>
        <v>-3.4315332432929599E-2</v>
      </c>
      <c r="R187" t="s">
        <v>32</v>
      </c>
      <c r="S187" t="s">
        <v>37</v>
      </c>
      <c r="T187" t="s">
        <v>38</v>
      </c>
      <c r="U187" t="s">
        <v>292</v>
      </c>
      <c r="V187">
        <v>3.3174699345299299</v>
      </c>
      <c r="W187">
        <v>8.7539113349309992E-3</v>
      </c>
      <c r="X187" t="s">
        <v>30</v>
      </c>
      <c r="Y187" t="s">
        <v>31</v>
      </c>
    </row>
    <row r="188" spans="1:25" x14ac:dyDescent="0.2">
      <c r="A188" t="s">
        <v>306</v>
      </c>
      <c r="B188" t="s">
        <v>142</v>
      </c>
      <c r="C188" t="s">
        <v>24</v>
      </c>
      <c r="D188">
        <v>0.34642983935301103</v>
      </c>
      <c r="E188" s="1">
        <v>6.4767344686966806E-5</v>
      </c>
      <c r="F188" t="s">
        <v>35</v>
      </c>
      <c r="G188">
        <v>59</v>
      </c>
      <c r="H188">
        <v>4.6889063357209701E-2</v>
      </c>
      <c r="I188" t="s">
        <v>42</v>
      </c>
      <c r="J188" t="b">
        <v>0</v>
      </c>
      <c r="K188">
        <v>237.69118880143</v>
      </c>
      <c r="L188">
        <v>238.01551312575501</v>
      </c>
      <c r="M188">
        <v>22.316407034227002</v>
      </c>
      <c r="N188" t="s">
        <v>26</v>
      </c>
      <c r="O188" t="s">
        <v>26</v>
      </c>
      <c r="P188" t="s">
        <v>367</v>
      </c>
      <c r="Q188" t="s">
        <v>245</v>
      </c>
      <c r="R188" t="s">
        <v>32</v>
      </c>
      <c r="S188" t="s">
        <v>43</v>
      </c>
      <c r="T188" t="s">
        <v>26</v>
      </c>
      <c r="U188" t="s">
        <v>44</v>
      </c>
      <c r="V188">
        <v>1.4850615995435801</v>
      </c>
      <c r="W188">
        <v>1.0447640515209E-2</v>
      </c>
      <c r="X188" t="s">
        <v>30</v>
      </c>
      <c r="Y188" t="s">
        <v>31</v>
      </c>
    </row>
    <row r="189" spans="1:25" x14ac:dyDescent="0.2">
      <c r="A189" t="s">
        <v>306</v>
      </c>
      <c r="B189" t="s">
        <v>166</v>
      </c>
      <c r="C189" t="s">
        <v>24</v>
      </c>
      <c r="D189">
        <v>1.43672157842366E-2</v>
      </c>
      <c r="E189">
        <v>0.44959379222662199</v>
      </c>
      <c r="F189" t="s">
        <v>35</v>
      </c>
      <c r="G189">
        <v>4</v>
      </c>
      <c r="H189">
        <v>2.6343111877111601E-2</v>
      </c>
      <c r="I189" t="s">
        <v>39</v>
      </c>
      <c r="J189" t="b">
        <v>0</v>
      </c>
      <c r="K189">
        <v>265.32318432474398</v>
      </c>
      <c r="L189">
        <v>265.63087663243698</v>
      </c>
      <c r="M189">
        <v>18.703295403897901</v>
      </c>
      <c r="N189" t="s">
        <v>26</v>
      </c>
      <c r="O189" t="s">
        <v>26</v>
      </c>
      <c r="P189" t="s">
        <v>334</v>
      </c>
      <c r="Q189">
        <f>-0.0412752141375932 - 0.0939614378918164</f>
        <v>-0.1352366520294096</v>
      </c>
      <c r="R189" t="s">
        <v>34</v>
      </c>
      <c r="S189" t="s">
        <v>40</v>
      </c>
      <c r="T189" t="s">
        <v>41</v>
      </c>
      <c r="U189" t="s">
        <v>186</v>
      </c>
      <c r="V189">
        <v>3.3154572279894201</v>
      </c>
      <c r="W189">
        <v>3.4499145925869799E-2</v>
      </c>
      <c r="X189" t="s">
        <v>30</v>
      </c>
      <c r="Y189" t="s">
        <v>31</v>
      </c>
    </row>
    <row r="190" spans="1:25" x14ac:dyDescent="0.2">
      <c r="A190" t="s">
        <v>306</v>
      </c>
      <c r="B190" t="s">
        <v>77</v>
      </c>
      <c r="C190" t="s">
        <v>24</v>
      </c>
      <c r="D190">
        <v>3.2640658517862002E-3</v>
      </c>
      <c r="E190">
        <v>0.71931262180405797</v>
      </c>
      <c r="F190" t="s">
        <v>35</v>
      </c>
      <c r="G190">
        <v>10</v>
      </c>
      <c r="H190">
        <v>-8.9178774990596992E-3</v>
      </c>
      <c r="I190" t="s">
        <v>36</v>
      </c>
      <c r="J190" t="b">
        <v>0</v>
      </c>
      <c r="K190">
        <v>264.18193518887</v>
      </c>
      <c r="L190">
        <v>264.48962749656198</v>
      </c>
      <c r="M190">
        <v>17.308998762515898</v>
      </c>
      <c r="N190" t="s">
        <v>26</v>
      </c>
      <c r="O190" t="s">
        <v>26</v>
      </c>
      <c r="P190" t="s">
        <v>322</v>
      </c>
      <c r="Q190">
        <f>-0.0572124337415494 - 0.03937667874343</f>
        <v>-9.6589112484979395E-2</v>
      </c>
      <c r="R190" t="s">
        <v>34</v>
      </c>
      <c r="S190" t="s">
        <v>37</v>
      </c>
      <c r="T190" t="s">
        <v>38</v>
      </c>
      <c r="U190" t="s">
        <v>228</v>
      </c>
      <c r="V190">
        <v>3.79277072675798</v>
      </c>
      <c r="W190">
        <v>2.4640079715555999E-2</v>
      </c>
      <c r="X190" t="s">
        <v>30</v>
      </c>
      <c r="Y190" t="s">
        <v>31</v>
      </c>
    </row>
    <row r="191" spans="1:25" x14ac:dyDescent="0.2">
      <c r="A191" t="s">
        <v>306</v>
      </c>
      <c r="B191" t="s">
        <v>161</v>
      </c>
      <c r="C191" t="s">
        <v>24</v>
      </c>
      <c r="D191">
        <v>0.16042030069204199</v>
      </c>
      <c r="E191">
        <v>8.5784342548487005E-3</v>
      </c>
      <c r="F191" t="s">
        <v>35</v>
      </c>
      <c r="G191">
        <v>27</v>
      </c>
      <c r="H191">
        <v>0.28769673769065501</v>
      </c>
      <c r="I191" t="s">
        <v>42</v>
      </c>
      <c r="J191" t="b">
        <v>0</v>
      </c>
      <c r="K191">
        <v>258.587121559894</v>
      </c>
      <c r="L191">
        <v>258.89481386758598</v>
      </c>
      <c r="M191">
        <v>14.134621679619899</v>
      </c>
      <c r="N191" t="s">
        <v>26</v>
      </c>
      <c r="O191" t="s">
        <v>26</v>
      </c>
      <c r="P191" t="s">
        <v>315</v>
      </c>
      <c r="Q191" t="s">
        <v>177</v>
      </c>
      <c r="R191" t="s">
        <v>34</v>
      </c>
      <c r="S191" t="s">
        <v>43</v>
      </c>
      <c r="T191" t="s">
        <v>26</v>
      </c>
      <c r="U191" t="s">
        <v>44</v>
      </c>
      <c r="V191">
        <v>1.59563153802597</v>
      </c>
      <c r="W191">
        <v>0.10406537249146899</v>
      </c>
      <c r="X191" t="s">
        <v>30</v>
      </c>
      <c r="Y191" t="s">
        <v>31</v>
      </c>
    </row>
    <row r="192" spans="1:25" x14ac:dyDescent="0.2">
      <c r="A192" t="s">
        <v>306</v>
      </c>
      <c r="B192" t="s">
        <v>67</v>
      </c>
      <c r="C192" t="s">
        <v>24</v>
      </c>
      <c r="D192" s="1">
        <v>2.3810693565087798E-5</v>
      </c>
      <c r="E192">
        <v>0.97616039969912605</v>
      </c>
      <c r="F192" t="s">
        <v>35</v>
      </c>
      <c r="G192">
        <v>10</v>
      </c>
      <c r="H192">
        <v>-1.194616145648E-4</v>
      </c>
      <c r="I192" t="s">
        <v>42</v>
      </c>
      <c r="J192" t="b">
        <v>0</v>
      </c>
      <c r="K192">
        <v>257.65705612494298</v>
      </c>
      <c r="L192">
        <v>257.98138044926702</v>
      </c>
      <c r="M192">
        <v>20.269383595023001</v>
      </c>
      <c r="N192" t="s">
        <v>26</v>
      </c>
      <c r="O192" t="s">
        <v>26</v>
      </c>
      <c r="P192" t="s">
        <v>349</v>
      </c>
      <c r="Q192">
        <f>-0.0079034371038672 - 0.00766451387473746</f>
        <v>-1.556795097860466E-2</v>
      </c>
      <c r="R192" t="s">
        <v>33</v>
      </c>
      <c r="S192" t="s">
        <v>43</v>
      </c>
      <c r="T192" t="s">
        <v>26</v>
      </c>
      <c r="U192" t="s">
        <v>44</v>
      </c>
      <c r="V192">
        <v>3.6412896471989198</v>
      </c>
      <c r="W192">
        <v>3.9714160659705001E-3</v>
      </c>
      <c r="X192" t="s">
        <v>30</v>
      </c>
      <c r="Y192" t="s">
        <v>31</v>
      </c>
    </row>
    <row r="193" spans="1:25" x14ac:dyDescent="0.2">
      <c r="A193" t="s">
        <v>306</v>
      </c>
      <c r="B193" t="s">
        <v>90</v>
      </c>
      <c r="C193" t="s">
        <v>24</v>
      </c>
      <c r="D193">
        <v>0.18318232234948001</v>
      </c>
      <c r="E193">
        <v>3.7534539588184E-3</v>
      </c>
      <c r="F193" t="s">
        <v>35</v>
      </c>
      <c r="G193">
        <v>31</v>
      </c>
      <c r="H193">
        <v>2.72331727979493E-2</v>
      </c>
      <c r="I193" t="s">
        <v>39</v>
      </c>
      <c r="J193" t="b">
        <v>0</v>
      </c>
      <c r="K193">
        <v>266.76800193522502</v>
      </c>
      <c r="L193">
        <v>267.06068486205402</v>
      </c>
      <c r="M193">
        <v>22.721327223237999</v>
      </c>
      <c r="N193" t="s">
        <v>26</v>
      </c>
      <c r="O193" t="s">
        <v>26</v>
      </c>
      <c r="P193" t="s">
        <v>333</v>
      </c>
      <c r="Q193" t="s">
        <v>230</v>
      </c>
      <c r="R193" t="s">
        <v>27</v>
      </c>
      <c r="S193" t="s">
        <v>40</v>
      </c>
      <c r="T193" t="s">
        <v>41</v>
      </c>
      <c r="U193" t="s">
        <v>231</v>
      </c>
      <c r="V193">
        <v>2.1688596676987402</v>
      </c>
      <c r="W193">
        <v>8.8734882860786995E-3</v>
      </c>
      <c r="X193" t="s">
        <v>30</v>
      </c>
      <c r="Y193" t="s">
        <v>31</v>
      </c>
    </row>
    <row r="194" spans="1:25" x14ac:dyDescent="0.2">
      <c r="A194" t="s">
        <v>306</v>
      </c>
      <c r="B194" t="s">
        <v>130</v>
      </c>
      <c r="C194" t="s">
        <v>24</v>
      </c>
      <c r="D194">
        <v>1.0205422533677099E-2</v>
      </c>
      <c r="E194">
        <v>0.52440459470258705</v>
      </c>
      <c r="F194" t="s">
        <v>35</v>
      </c>
      <c r="G194">
        <v>57</v>
      </c>
      <c r="H194">
        <v>5.9192117874868597E-2</v>
      </c>
      <c r="I194" t="s">
        <v>42</v>
      </c>
      <c r="J194" t="b">
        <v>0</v>
      </c>
      <c r="K194">
        <v>265.50015420835098</v>
      </c>
      <c r="L194">
        <v>265.80784651604398</v>
      </c>
      <c r="M194">
        <v>17.200243809083901</v>
      </c>
      <c r="N194" t="s">
        <v>26</v>
      </c>
      <c r="O194" t="s">
        <v>26</v>
      </c>
      <c r="P194" t="s">
        <v>341</v>
      </c>
      <c r="Q194">
        <f>-0.121461637817525 - 0.239845873567262</f>
        <v>-0.36130751138478701</v>
      </c>
      <c r="R194" t="s">
        <v>34</v>
      </c>
      <c r="S194" t="s">
        <v>43</v>
      </c>
      <c r="T194" t="s">
        <v>26</v>
      </c>
      <c r="U194" t="s">
        <v>44</v>
      </c>
      <c r="V194">
        <v>3.4908841626449001</v>
      </c>
      <c r="W194">
        <v>9.2170283516527299E-2</v>
      </c>
      <c r="X194" t="s">
        <v>30</v>
      </c>
      <c r="Y194" t="s">
        <v>31</v>
      </c>
    </row>
    <row r="195" spans="1:25" x14ac:dyDescent="0.2">
      <c r="A195" t="s">
        <v>306</v>
      </c>
      <c r="B195" t="s">
        <v>103</v>
      </c>
      <c r="C195" t="s">
        <v>24</v>
      </c>
      <c r="D195">
        <v>2.834753561454E-4</v>
      </c>
      <c r="E195">
        <v>0.91361917954942495</v>
      </c>
      <c r="F195" t="s">
        <v>35</v>
      </c>
      <c r="G195">
        <v>63</v>
      </c>
      <c r="H195">
        <v>1.266991104426E-3</v>
      </c>
      <c r="I195" t="s">
        <v>39</v>
      </c>
      <c r="J195" t="b">
        <v>0</v>
      </c>
      <c r="K195">
        <v>275.65845952239198</v>
      </c>
      <c r="L195">
        <v>275.951142449222</v>
      </c>
      <c r="M195">
        <v>17.269194905790901</v>
      </c>
      <c r="N195" t="s">
        <v>26</v>
      </c>
      <c r="O195" t="s">
        <v>26</v>
      </c>
      <c r="P195" t="s">
        <v>317</v>
      </c>
      <c r="Q195">
        <f>-0.0214884769269667 - 0.0240224591358188</f>
        <v>-4.5510936062785501E-2</v>
      </c>
      <c r="R195" t="s">
        <v>27</v>
      </c>
      <c r="S195" t="s">
        <v>40</v>
      </c>
      <c r="T195" t="s">
        <v>41</v>
      </c>
      <c r="U195" t="s">
        <v>303</v>
      </c>
      <c r="V195">
        <v>3.5035653219124798</v>
      </c>
      <c r="W195">
        <v>1.1609932669077901E-2</v>
      </c>
      <c r="X195" t="s">
        <v>30</v>
      </c>
      <c r="Y195" t="s">
        <v>31</v>
      </c>
    </row>
    <row r="196" spans="1:25" x14ac:dyDescent="0.2">
      <c r="A196" t="s">
        <v>306</v>
      </c>
      <c r="B196" t="s">
        <v>107</v>
      </c>
      <c r="C196" t="s">
        <v>24</v>
      </c>
      <c r="D196">
        <v>2.0799750177126701E-2</v>
      </c>
      <c r="E196">
        <v>0.35029868913023199</v>
      </c>
      <c r="F196" t="s">
        <v>35</v>
      </c>
      <c r="G196">
        <v>17</v>
      </c>
      <c r="H196">
        <v>-0.47682898820373798</v>
      </c>
      <c r="I196" t="s">
        <v>36</v>
      </c>
      <c r="J196" t="b">
        <v>0</v>
      </c>
      <c r="K196">
        <v>273.30003839323899</v>
      </c>
      <c r="L196">
        <v>273.59272132006902</v>
      </c>
      <c r="M196">
        <v>15.602243623290001</v>
      </c>
      <c r="N196" t="s">
        <v>26</v>
      </c>
      <c r="O196" t="s">
        <v>26</v>
      </c>
      <c r="P196" t="s">
        <v>356</v>
      </c>
      <c r="Q196">
        <f>-1.46629475788648 - 0.512636781479003</f>
        <v>-1.9789315393654832</v>
      </c>
      <c r="R196" t="s">
        <v>27</v>
      </c>
      <c r="S196" t="s">
        <v>37</v>
      </c>
      <c r="T196" t="s">
        <v>38</v>
      </c>
      <c r="U196" t="s">
        <v>183</v>
      </c>
      <c r="V196">
        <v>3.6710114639227802</v>
      </c>
      <c r="W196">
        <v>0.50482947432792902</v>
      </c>
      <c r="X196" t="s">
        <v>30</v>
      </c>
      <c r="Y196" t="s">
        <v>31</v>
      </c>
    </row>
    <row r="197" spans="1:25" x14ac:dyDescent="0.2">
      <c r="A197" t="s">
        <v>306</v>
      </c>
      <c r="B197" t="s">
        <v>75</v>
      </c>
      <c r="C197" t="s">
        <v>24</v>
      </c>
      <c r="D197">
        <v>2.1050709406476902E-2</v>
      </c>
      <c r="E197">
        <v>0.34737764157870898</v>
      </c>
      <c r="F197" t="s">
        <v>35</v>
      </c>
      <c r="G197">
        <v>45</v>
      </c>
      <c r="H197">
        <v>-3.3593516974430603E-2</v>
      </c>
      <c r="I197" t="s">
        <v>36</v>
      </c>
      <c r="J197" t="b">
        <v>0</v>
      </c>
      <c r="K197">
        <v>273.44122930459901</v>
      </c>
      <c r="L197">
        <v>273.73391223142801</v>
      </c>
      <c r="M197">
        <v>15.045233779055</v>
      </c>
      <c r="N197" t="s">
        <v>26</v>
      </c>
      <c r="O197" t="s">
        <v>26</v>
      </c>
      <c r="P197" t="s">
        <v>353</v>
      </c>
      <c r="Q197">
        <f>-0.102877624897258 - 0.035690590948397</f>
        <v>-0.13856821584565501</v>
      </c>
      <c r="R197" t="s">
        <v>27</v>
      </c>
      <c r="S197" t="s">
        <v>37</v>
      </c>
      <c r="T197" t="s">
        <v>38</v>
      </c>
      <c r="U197" t="s">
        <v>262</v>
      </c>
      <c r="V197">
        <v>3.68971425280643</v>
      </c>
      <c r="W197">
        <v>3.5349034654503897E-2</v>
      </c>
      <c r="X197" t="s">
        <v>30</v>
      </c>
      <c r="Y197" t="s">
        <v>31</v>
      </c>
    </row>
    <row r="198" spans="1:25" x14ac:dyDescent="0.2">
      <c r="A198" t="s">
        <v>306</v>
      </c>
      <c r="B198" t="s">
        <v>149</v>
      </c>
      <c r="C198" t="s">
        <v>24</v>
      </c>
      <c r="D198">
        <v>2.63698129521448E-2</v>
      </c>
      <c r="E198">
        <v>0.316764573844737</v>
      </c>
      <c r="F198" t="s">
        <v>35</v>
      </c>
      <c r="G198">
        <v>22</v>
      </c>
      <c r="H198">
        <v>7.4496255350771003E-3</v>
      </c>
      <c r="I198" t="s">
        <v>39</v>
      </c>
      <c r="J198" t="b">
        <v>0</v>
      </c>
      <c r="K198">
        <v>253.63445512660999</v>
      </c>
      <c r="L198">
        <v>253.958779450934</v>
      </c>
      <c r="M198">
        <v>16.300720686184</v>
      </c>
      <c r="N198" t="s">
        <v>26</v>
      </c>
      <c r="O198" t="s">
        <v>26</v>
      </c>
      <c r="P198" t="s">
        <v>337</v>
      </c>
      <c r="Q198">
        <f>-0.00694307226268176 - 0.0218423233328361</f>
        <v>-2.8785395595517859E-2</v>
      </c>
      <c r="R198" t="s">
        <v>32</v>
      </c>
      <c r="S198" t="s">
        <v>40</v>
      </c>
      <c r="T198" t="s">
        <v>41</v>
      </c>
      <c r="U198" t="s">
        <v>219</v>
      </c>
      <c r="V198">
        <v>3.5598146683154801</v>
      </c>
      <c r="W198">
        <v>7.3432131621218996E-3</v>
      </c>
      <c r="X198" t="s">
        <v>30</v>
      </c>
      <c r="Y198" t="s">
        <v>31</v>
      </c>
    </row>
    <row r="199" spans="1:25" x14ac:dyDescent="0.2">
      <c r="A199" t="s">
        <v>306</v>
      </c>
      <c r="B199" t="s">
        <v>63</v>
      </c>
      <c r="C199" t="s">
        <v>24</v>
      </c>
      <c r="D199">
        <v>3.24434771392174E-2</v>
      </c>
      <c r="E199">
        <v>0.26605793751894602</v>
      </c>
      <c r="F199" t="s">
        <v>35</v>
      </c>
      <c r="G199">
        <v>34</v>
      </c>
      <c r="H199">
        <v>-1.81990205251105E-2</v>
      </c>
      <c r="I199" t="s">
        <v>39</v>
      </c>
      <c r="J199" t="b">
        <v>0</v>
      </c>
      <c r="K199">
        <v>256.33875119509901</v>
      </c>
      <c r="L199">
        <v>256.66307551942299</v>
      </c>
      <c r="M199">
        <v>18.943720131725001</v>
      </c>
      <c r="N199" t="s">
        <v>26</v>
      </c>
      <c r="O199" t="s">
        <v>26</v>
      </c>
      <c r="P199" t="s">
        <v>340</v>
      </c>
      <c r="Q199">
        <f>-0.0497989973103712 - 0.0134009562601503</f>
        <v>-6.3199953570521494E-2</v>
      </c>
      <c r="R199" t="s">
        <v>33</v>
      </c>
      <c r="S199" t="s">
        <v>40</v>
      </c>
      <c r="T199" t="s">
        <v>41</v>
      </c>
      <c r="U199" t="s">
        <v>287</v>
      </c>
      <c r="V199">
        <v>3.7302859848147598</v>
      </c>
      <c r="W199">
        <v>1.6122437135337099E-2</v>
      </c>
      <c r="X199" t="s">
        <v>30</v>
      </c>
      <c r="Y199" t="s">
        <v>31</v>
      </c>
    </row>
    <row r="200" spans="1:25" x14ac:dyDescent="0.2">
      <c r="A200" t="s">
        <v>306</v>
      </c>
      <c r="B200" t="s">
        <v>118</v>
      </c>
      <c r="C200" t="s">
        <v>24</v>
      </c>
      <c r="D200">
        <v>1.34050189008712E-2</v>
      </c>
      <c r="E200">
        <v>0.47681441530170998</v>
      </c>
      <c r="F200" t="s">
        <v>35</v>
      </c>
      <c r="G200">
        <v>20</v>
      </c>
      <c r="H200">
        <v>-3.3368026842006001E-3</v>
      </c>
      <c r="I200" t="s">
        <v>39</v>
      </c>
      <c r="J200" t="b">
        <v>0</v>
      </c>
      <c r="K200">
        <v>254.163577323845</v>
      </c>
      <c r="L200">
        <v>254.48790164817001</v>
      </c>
      <c r="M200">
        <v>17.219215067566999</v>
      </c>
      <c r="N200" t="s">
        <v>26</v>
      </c>
      <c r="O200" t="s">
        <v>26</v>
      </c>
      <c r="P200" t="s">
        <v>327</v>
      </c>
      <c r="Q200">
        <f>-0.0124386707255576 - 0.00576506535715622</f>
        <v>-1.820373608271382E-2</v>
      </c>
      <c r="R200" t="s">
        <v>32</v>
      </c>
      <c r="S200" t="s">
        <v>40</v>
      </c>
      <c r="T200" t="s">
        <v>41</v>
      </c>
      <c r="U200" t="s">
        <v>185</v>
      </c>
      <c r="V200">
        <v>3.6587032247074398</v>
      </c>
      <c r="W200">
        <v>4.6438102251819997E-3</v>
      </c>
      <c r="X200" t="s">
        <v>30</v>
      </c>
      <c r="Y200" t="s">
        <v>31</v>
      </c>
    </row>
    <row r="201" spans="1:25" x14ac:dyDescent="0.2">
      <c r="A201" t="s">
        <v>306</v>
      </c>
      <c r="B201" t="s">
        <v>113</v>
      </c>
      <c r="C201" t="s">
        <v>24</v>
      </c>
      <c r="D201">
        <v>1.9039506438464999E-3</v>
      </c>
      <c r="E201">
        <v>0.78379326736083399</v>
      </c>
      <c r="F201" t="s">
        <v>35</v>
      </c>
      <c r="G201">
        <v>19</v>
      </c>
      <c r="H201">
        <v>3.3492704452986002E-3</v>
      </c>
      <c r="I201" t="s">
        <v>36</v>
      </c>
      <c r="J201" t="b">
        <v>0</v>
      </c>
      <c r="K201">
        <v>264.24129939163799</v>
      </c>
      <c r="L201">
        <v>264.548991699331</v>
      </c>
      <c r="M201">
        <v>16.048149858321999</v>
      </c>
      <c r="N201" t="s">
        <v>26</v>
      </c>
      <c r="O201" t="s">
        <v>26</v>
      </c>
      <c r="P201" t="s">
        <v>342</v>
      </c>
      <c r="Q201">
        <f>-0.0204155544223924 - 0.0271140953129898</f>
        <v>-4.75296497353822E-2</v>
      </c>
      <c r="R201" t="s">
        <v>34</v>
      </c>
      <c r="S201" t="s">
        <v>37</v>
      </c>
      <c r="T201" t="s">
        <v>38</v>
      </c>
      <c r="U201" t="s">
        <v>173</v>
      </c>
      <c r="V201">
        <v>3.4745023133864898</v>
      </c>
      <c r="W201">
        <v>1.2124910646781201E-2</v>
      </c>
      <c r="X201" t="s">
        <v>30</v>
      </c>
      <c r="Y201" t="s">
        <v>31</v>
      </c>
    </row>
    <row r="202" spans="1:25" x14ac:dyDescent="0.2">
      <c r="A202" t="s">
        <v>306</v>
      </c>
      <c r="B202" t="s">
        <v>103</v>
      </c>
      <c r="C202" t="s">
        <v>24</v>
      </c>
      <c r="D202">
        <v>2.834753561454E-4</v>
      </c>
      <c r="E202">
        <v>0.91361917954942495</v>
      </c>
      <c r="F202" t="s">
        <v>35</v>
      </c>
      <c r="G202">
        <v>63</v>
      </c>
      <c r="H202">
        <v>1.266991104426E-3</v>
      </c>
      <c r="I202" t="s">
        <v>42</v>
      </c>
      <c r="J202" t="b">
        <v>0</v>
      </c>
      <c r="K202">
        <v>275.65845952239198</v>
      </c>
      <c r="L202">
        <v>275.951142449222</v>
      </c>
      <c r="M202">
        <v>17.269194905790901</v>
      </c>
      <c r="N202" t="s">
        <v>26</v>
      </c>
      <c r="O202" t="s">
        <v>26</v>
      </c>
      <c r="P202" t="s">
        <v>317</v>
      </c>
      <c r="Q202">
        <f>-0.0214884769269667 - 0.0240224591358188</f>
        <v>-4.5510936062785501E-2</v>
      </c>
      <c r="R202" t="s">
        <v>27</v>
      </c>
      <c r="S202" t="s">
        <v>43</v>
      </c>
      <c r="T202" t="s">
        <v>26</v>
      </c>
      <c r="U202" t="s">
        <v>44</v>
      </c>
      <c r="V202">
        <v>3.5035653219124798</v>
      </c>
      <c r="W202">
        <v>1.1609932669077901E-2</v>
      </c>
      <c r="X202" t="s">
        <v>30</v>
      </c>
      <c r="Y202" t="s">
        <v>31</v>
      </c>
    </row>
    <row r="203" spans="1:25" x14ac:dyDescent="0.2">
      <c r="A203" t="s">
        <v>306</v>
      </c>
      <c r="B203" t="s">
        <v>142</v>
      </c>
      <c r="C203" t="s">
        <v>24</v>
      </c>
      <c r="D203">
        <v>0.39287496295501401</v>
      </c>
      <c r="E203" s="1">
        <v>1.50968084571268E-5</v>
      </c>
      <c r="F203" t="s">
        <v>35</v>
      </c>
      <c r="G203">
        <v>59</v>
      </c>
      <c r="H203">
        <v>5.2016006303413999E-2</v>
      </c>
      <c r="I203" t="s">
        <v>36</v>
      </c>
      <c r="J203" t="b">
        <v>0</v>
      </c>
      <c r="K203">
        <v>233.19506295602099</v>
      </c>
      <c r="L203">
        <v>233.519387280346</v>
      </c>
      <c r="M203">
        <v>17.820281188818001</v>
      </c>
      <c r="N203" t="s">
        <v>26</v>
      </c>
      <c r="O203" t="s">
        <v>26</v>
      </c>
      <c r="P203" t="s">
        <v>367</v>
      </c>
      <c r="Q203" t="s">
        <v>193</v>
      </c>
      <c r="R203" t="s">
        <v>32</v>
      </c>
      <c r="S203" t="s">
        <v>37</v>
      </c>
      <c r="T203" t="s">
        <v>38</v>
      </c>
      <c r="U203" t="s">
        <v>194</v>
      </c>
      <c r="V203">
        <v>1.0388067467166</v>
      </c>
      <c r="W203">
        <v>1.04895558932326E-2</v>
      </c>
      <c r="X203" t="s">
        <v>30</v>
      </c>
      <c r="Y203" t="s">
        <v>31</v>
      </c>
    </row>
    <row r="204" spans="1:25" x14ac:dyDescent="0.2">
      <c r="A204" t="s">
        <v>306</v>
      </c>
      <c r="B204" t="s">
        <v>95</v>
      </c>
      <c r="C204" t="s">
        <v>24</v>
      </c>
      <c r="D204">
        <v>1.93224277216E-3</v>
      </c>
      <c r="E204">
        <v>0.78223149792985902</v>
      </c>
      <c r="F204" t="s">
        <v>35</v>
      </c>
      <c r="G204">
        <v>48</v>
      </c>
      <c r="H204">
        <v>1.01885037466505E-2</v>
      </c>
      <c r="I204" t="s">
        <v>42</v>
      </c>
      <c r="J204" t="b">
        <v>0</v>
      </c>
      <c r="K204">
        <v>265.849751411471</v>
      </c>
      <c r="L204">
        <v>266.15744371916298</v>
      </c>
      <c r="M204">
        <v>19.4841517824789</v>
      </c>
      <c r="N204" t="s">
        <v>26</v>
      </c>
      <c r="O204" t="s">
        <v>26</v>
      </c>
      <c r="P204" t="s">
        <v>362</v>
      </c>
      <c r="Q204">
        <f>-0.0615720286969712 - 0.0819490361902721</f>
        <v>-0.14352106488724331</v>
      </c>
      <c r="R204" t="s">
        <v>34</v>
      </c>
      <c r="S204" t="s">
        <v>43</v>
      </c>
      <c r="T204" t="s">
        <v>26</v>
      </c>
      <c r="U204" t="s">
        <v>44</v>
      </c>
      <c r="V204">
        <v>3.4692939782719101</v>
      </c>
      <c r="W204">
        <v>3.66125165528682E-2</v>
      </c>
      <c r="X204" t="s">
        <v>30</v>
      </c>
      <c r="Y204" t="s">
        <v>31</v>
      </c>
    </row>
    <row r="205" spans="1:25" x14ac:dyDescent="0.2">
      <c r="A205" t="s">
        <v>306</v>
      </c>
      <c r="B205" t="s">
        <v>170</v>
      </c>
      <c r="C205" t="s">
        <v>24</v>
      </c>
      <c r="D205">
        <v>6.506041913812E-4</v>
      </c>
      <c r="E205">
        <v>0.87585180492187398</v>
      </c>
      <c r="F205" t="s">
        <v>35</v>
      </c>
      <c r="G205">
        <v>51</v>
      </c>
      <c r="H205">
        <v>1.0937923326115001E-3</v>
      </c>
      <c r="I205" t="s">
        <v>42</v>
      </c>
      <c r="J205" t="b">
        <v>0</v>
      </c>
      <c r="K205">
        <v>254.67737177732101</v>
      </c>
      <c r="L205">
        <v>255.001696101645</v>
      </c>
      <c r="M205">
        <v>17.059748812104001</v>
      </c>
      <c r="N205" t="s">
        <v>26</v>
      </c>
      <c r="O205" t="s">
        <v>26</v>
      </c>
      <c r="P205" t="s">
        <v>345</v>
      </c>
      <c r="Q205">
        <f>-0.0125363187871969 - 0.01472390345242</f>
        <v>-2.7260222239616903E-2</v>
      </c>
      <c r="R205" t="s">
        <v>32</v>
      </c>
      <c r="S205" t="s">
        <v>43</v>
      </c>
      <c r="T205" t="s">
        <v>26</v>
      </c>
      <c r="U205" t="s">
        <v>44</v>
      </c>
      <c r="V205">
        <v>3.5138558092010199</v>
      </c>
      <c r="W205">
        <v>6.9541383264328004E-3</v>
      </c>
      <c r="X205" t="s">
        <v>30</v>
      </c>
      <c r="Y205" t="s">
        <v>31</v>
      </c>
    </row>
    <row r="206" spans="1:25" x14ac:dyDescent="0.2">
      <c r="A206" t="s">
        <v>306</v>
      </c>
      <c r="B206" t="s">
        <v>149</v>
      </c>
      <c r="C206" t="s">
        <v>24</v>
      </c>
      <c r="D206">
        <v>2.63698129521448E-2</v>
      </c>
      <c r="E206">
        <v>0.316764573844737</v>
      </c>
      <c r="F206" t="s">
        <v>35</v>
      </c>
      <c r="G206">
        <v>22</v>
      </c>
      <c r="H206">
        <v>7.4496255350771003E-3</v>
      </c>
      <c r="I206" t="s">
        <v>42</v>
      </c>
      <c r="J206" t="b">
        <v>0</v>
      </c>
      <c r="K206">
        <v>253.63445512660999</v>
      </c>
      <c r="L206">
        <v>253.958779450934</v>
      </c>
      <c r="M206">
        <v>16.300720686184</v>
      </c>
      <c r="N206" t="s">
        <v>26</v>
      </c>
      <c r="O206" t="s">
        <v>26</v>
      </c>
      <c r="P206" t="s">
        <v>337</v>
      </c>
      <c r="Q206">
        <f>-0.00694307226268176 - 0.0218423233328361</f>
        <v>-2.8785395595517859E-2</v>
      </c>
      <c r="R206" t="s">
        <v>32</v>
      </c>
      <c r="S206" t="s">
        <v>43</v>
      </c>
      <c r="T206" t="s">
        <v>26</v>
      </c>
      <c r="U206" t="s">
        <v>44</v>
      </c>
      <c r="V206">
        <v>3.5598146683154801</v>
      </c>
      <c r="W206">
        <v>7.3432131621218996E-3</v>
      </c>
      <c r="X206" t="s">
        <v>30</v>
      </c>
      <c r="Y206" t="s">
        <v>31</v>
      </c>
    </row>
    <row r="207" spans="1:25" x14ac:dyDescent="0.2">
      <c r="A207" t="s">
        <v>306</v>
      </c>
      <c r="B207" t="s">
        <v>57</v>
      </c>
      <c r="C207" t="s">
        <v>24</v>
      </c>
      <c r="D207">
        <v>1.0081887212259001E-3</v>
      </c>
      <c r="E207">
        <v>0.84178046552644603</v>
      </c>
      <c r="F207" t="s">
        <v>35</v>
      </c>
      <c r="G207">
        <v>45</v>
      </c>
      <c r="H207">
        <v>-4.0523341855337996E-3</v>
      </c>
      <c r="I207" t="s">
        <v>36</v>
      </c>
      <c r="J207" t="b">
        <v>0</v>
      </c>
      <c r="K207">
        <v>264.27691016393499</v>
      </c>
      <c r="L207">
        <v>264.58460247162702</v>
      </c>
      <c r="M207">
        <v>16.959367400657001</v>
      </c>
      <c r="N207" t="s">
        <v>26</v>
      </c>
      <c r="O207" t="s">
        <v>26</v>
      </c>
      <c r="P207" t="s">
        <v>364</v>
      </c>
      <c r="Q207">
        <f>-0.0435836596149585 - 0.0354789912438907</f>
        <v>-7.9062650858849198E-2</v>
      </c>
      <c r="R207" t="s">
        <v>34</v>
      </c>
      <c r="S207" t="s">
        <v>37</v>
      </c>
      <c r="T207" t="s">
        <v>38</v>
      </c>
      <c r="U207" t="s">
        <v>208</v>
      </c>
      <c r="V207">
        <v>3.61137951240037</v>
      </c>
      <c r="W207">
        <v>2.0169043586441102E-2</v>
      </c>
      <c r="X207" t="s">
        <v>30</v>
      </c>
      <c r="Y207" t="s">
        <v>31</v>
      </c>
    </row>
    <row r="208" spans="1:25" x14ac:dyDescent="0.2">
      <c r="A208" t="s">
        <v>306</v>
      </c>
      <c r="B208" t="s">
        <v>122</v>
      </c>
      <c r="C208" t="s">
        <v>24</v>
      </c>
      <c r="D208">
        <v>6.8830031688409999E-4</v>
      </c>
      <c r="E208">
        <v>0.87233465738873095</v>
      </c>
      <c r="F208" t="s">
        <v>35</v>
      </c>
      <c r="G208">
        <v>39</v>
      </c>
      <c r="H208">
        <v>-8.4930975095728004E-3</v>
      </c>
      <c r="I208" t="s">
        <v>36</v>
      </c>
      <c r="J208" t="b">
        <v>0</v>
      </c>
      <c r="K208">
        <v>252.79234233714499</v>
      </c>
      <c r="L208">
        <v>253.116666661469</v>
      </c>
      <c r="M208">
        <v>15.407095940825</v>
      </c>
      <c r="N208" t="s">
        <v>26</v>
      </c>
      <c r="O208" t="s">
        <v>26</v>
      </c>
      <c r="P208" t="s">
        <v>332</v>
      </c>
      <c r="Q208">
        <f>-0.111387531992028 - 0.0944013369728825</f>
        <v>-0.2057888689649105</v>
      </c>
      <c r="R208" t="s">
        <v>32</v>
      </c>
      <c r="S208" t="s">
        <v>37</v>
      </c>
      <c r="T208" t="s">
        <v>38</v>
      </c>
      <c r="U208" t="s">
        <v>250</v>
      </c>
      <c r="V208">
        <v>3.61527403270903</v>
      </c>
      <c r="W208">
        <v>5.2497160450232297E-2</v>
      </c>
      <c r="X208" t="s">
        <v>30</v>
      </c>
      <c r="Y208" t="s">
        <v>31</v>
      </c>
    </row>
    <row r="209" spans="1:25" x14ac:dyDescent="0.2">
      <c r="A209" t="s">
        <v>306</v>
      </c>
      <c r="B209" t="s">
        <v>170</v>
      </c>
      <c r="C209" t="s">
        <v>24</v>
      </c>
      <c r="D209" s="1">
        <v>2.07622901749845E-5</v>
      </c>
      <c r="E209">
        <v>0.97773829016868596</v>
      </c>
      <c r="F209" t="s">
        <v>35</v>
      </c>
      <c r="G209">
        <v>51</v>
      </c>
      <c r="H209">
        <v>2.4550301137549999E-4</v>
      </c>
      <c r="I209" t="s">
        <v>36</v>
      </c>
      <c r="J209" t="b">
        <v>0</v>
      </c>
      <c r="K209">
        <v>252.81904606379399</v>
      </c>
      <c r="L209">
        <v>253.143370388118</v>
      </c>
      <c r="M209">
        <v>15.201423098576999</v>
      </c>
      <c r="N209" t="s">
        <v>26</v>
      </c>
      <c r="O209" t="s">
        <v>26</v>
      </c>
      <c r="P209" t="s">
        <v>345</v>
      </c>
      <c r="Q209">
        <f>-0.0168853488636735 - 0.0173763548864245</f>
        <v>-3.4261703750098002E-2</v>
      </c>
      <c r="R209" t="s">
        <v>32</v>
      </c>
      <c r="S209" t="s">
        <v>37</v>
      </c>
      <c r="T209" t="s">
        <v>38</v>
      </c>
      <c r="U209" t="s">
        <v>271</v>
      </c>
      <c r="V209">
        <v>3.5572364244829702</v>
      </c>
      <c r="W209">
        <v>8.7402305484943002E-3</v>
      </c>
      <c r="X209" t="s">
        <v>30</v>
      </c>
      <c r="Y209" t="s">
        <v>31</v>
      </c>
    </row>
    <row r="210" spans="1:25" x14ac:dyDescent="0.2">
      <c r="A210" t="s">
        <v>306</v>
      </c>
      <c r="B210" t="s">
        <v>109</v>
      </c>
      <c r="C210" t="s">
        <v>24</v>
      </c>
      <c r="D210">
        <v>1.0315629132113999E-3</v>
      </c>
      <c r="E210">
        <v>0.83603606533271202</v>
      </c>
      <c r="F210" t="s">
        <v>35</v>
      </c>
      <c r="G210">
        <v>12</v>
      </c>
      <c r="H210">
        <v>-1.4651259241081E-3</v>
      </c>
      <c r="I210" t="s">
        <v>39</v>
      </c>
      <c r="J210" t="b">
        <v>0</v>
      </c>
      <c r="K210">
        <v>275.62552201130097</v>
      </c>
      <c r="L210">
        <v>275.91820493812997</v>
      </c>
      <c r="M210">
        <v>17.685111368390899</v>
      </c>
      <c r="N210" t="s">
        <v>26</v>
      </c>
      <c r="O210" t="s">
        <v>26</v>
      </c>
      <c r="P210" t="s">
        <v>352</v>
      </c>
      <c r="Q210">
        <f>-0.0152541777024878 - 0.0123239258542714</f>
        <v>-2.7578103556759201E-2</v>
      </c>
      <c r="R210" t="s">
        <v>27</v>
      </c>
      <c r="S210" t="s">
        <v>40</v>
      </c>
      <c r="T210" t="s">
        <v>41</v>
      </c>
      <c r="U210" t="s">
        <v>233</v>
      </c>
      <c r="V210">
        <v>3.6019662779075801</v>
      </c>
      <c r="W210">
        <v>7.0352304991732001E-3</v>
      </c>
      <c r="X210" t="s">
        <v>30</v>
      </c>
      <c r="Y210" t="s">
        <v>31</v>
      </c>
    </row>
    <row r="211" spans="1:25" x14ac:dyDescent="0.2">
      <c r="A211" t="s">
        <v>306</v>
      </c>
      <c r="B211" t="s">
        <v>88</v>
      </c>
      <c r="C211" t="s">
        <v>24</v>
      </c>
      <c r="D211">
        <v>1.7270547544470001E-3</v>
      </c>
      <c r="E211">
        <v>0.79385298946467597</v>
      </c>
      <c r="F211" t="s">
        <v>35</v>
      </c>
      <c r="G211">
        <v>22</v>
      </c>
      <c r="H211">
        <v>-9.6074027803519997E-4</v>
      </c>
      <c r="I211" t="s">
        <v>42</v>
      </c>
      <c r="J211" t="b">
        <v>0</v>
      </c>
      <c r="K211">
        <v>265.85838510487201</v>
      </c>
      <c r="L211">
        <v>266.16607741256399</v>
      </c>
      <c r="M211">
        <v>18.046092790941</v>
      </c>
      <c r="N211" t="s">
        <v>26</v>
      </c>
      <c r="O211" t="s">
        <v>26</v>
      </c>
      <c r="P211" t="s">
        <v>329</v>
      </c>
      <c r="Q211">
        <f>-0.00811893769039028 - 0.00619745713431982</f>
        <v>-1.4316394824710098E-2</v>
      </c>
      <c r="R211" t="s">
        <v>34</v>
      </c>
      <c r="S211" t="s">
        <v>43</v>
      </c>
      <c r="T211" t="s">
        <v>26</v>
      </c>
      <c r="U211" t="s">
        <v>44</v>
      </c>
      <c r="V211">
        <v>3.6407365221953198</v>
      </c>
      <c r="W211">
        <v>3.6521415369157998E-3</v>
      </c>
      <c r="X211" t="s">
        <v>30</v>
      </c>
      <c r="Y211" t="s">
        <v>31</v>
      </c>
    </row>
    <row r="212" spans="1:25" x14ac:dyDescent="0.2">
      <c r="A212" t="s">
        <v>306</v>
      </c>
      <c r="B212" t="s">
        <v>140</v>
      </c>
      <c r="C212" t="s">
        <v>24</v>
      </c>
      <c r="D212">
        <v>6.7566060122210001E-4</v>
      </c>
      <c r="E212">
        <v>0.87184187150246095</v>
      </c>
      <c r="F212" t="s">
        <v>35</v>
      </c>
      <c r="G212">
        <v>59</v>
      </c>
      <c r="H212">
        <v>-2.4939069541171999E-3</v>
      </c>
      <c r="I212" t="s">
        <v>36</v>
      </c>
      <c r="J212" t="b">
        <v>0</v>
      </c>
      <c r="K212">
        <v>258.46229582785202</v>
      </c>
      <c r="L212">
        <v>258.77808530153601</v>
      </c>
      <c r="M212">
        <v>15.086256028747</v>
      </c>
      <c r="N212" t="s">
        <v>26</v>
      </c>
      <c r="O212" t="s">
        <v>26</v>
      </c>
      <c r="P212" t="s">
        <v>307</v>
      </c>
      <c r="Q212">
        <f>-0.0325957404373888 - 0.0276079265291544</f>
        <v>-6.0203666966543196E-2</v>
      </c>
      <c r="R212" t="s">
        <v>34</v>
      </c>
      <c r="S212" t="s">
        <v>37</v>
      </c>
      <c r="T212" t="s">
        <v>38</v>
      </c>
      <c r="U212" t="s">
        <v>266</v>
      </c>
      <c r="V212">
        <v>3.6549792085827799</v>
      </c>
      <c r="W212">
        <v>1.53580783077916E-2</v>
      </c>
      <c r="X212" t="s">
        <v>30</v>
      </c>
      <c r="Y212" t="s">
        <v>31</v>
      </c>
    </row>
    <row r="213" spans="1:25" x14ac:dyDescent="0.2">
      <c r="A213" t="s">
        <v>306</v>
      </c>
      <c r="B213" t="s">
        <v>47</v>
      </c>
      <c r="C213" t="s">
        <v>24</v>
      </c>
      <c r="D213">
        <v>1.24519318750573E-2</v>
      </c>
      <c r="E213">
        <v>0.49302061798774399</v>
      </c>
      <c r="F213" t="s">
        <v>35</v>
      </c>
      <c r="G213">
        <v>28</v>
      </c>
      <c r="H213">
        <v>-7.5130076211041997E-3</v>
      </c>
      <c r="I213" t="s">
        <v>42</v>
      </c>
      <c r="J213" t="b">
        <v>0</v>
      </c>
      <c r="K213">
        <v>257.15680429165201</v>
      </c>
      <c r="L213">
        <v>257.48112861597701</v>
      </c>
      <c r="M213">
        <v>19.749699364002002</v>
      </c>
      <c r="N213" t="s">
        <v>26</v>
      </c>
      <c r="O213" t="s">
        <v>26</v>
      </c>
      <c r="P213" t="s">
        <v>324</v>
      </c>
      <c r="Q213">
        <f>-0.0287865031488836 - 0.0137604879066752</f>
        <v>-4.25469910555588E-2</v>
      </c>
      <c r="R213" t="s">
        <v>33</v>
      </c>
      <c r="S213" t="s">
        <v>43</v>
      </c>
      <c r="T213" t="s">
        <v>26</v>
      </c>
      <c r="U213" t="s">
        <v>44</v>
      </c>
      <c r="V213">
        <v>3.7340603363001899</v>
      </c>
      <c r="W213">
        <v>1.0853824248867E-2</v>
      </c>
      <c r="X213" t="s">
        <v>30</v>
      </c>
      <c r="Y213" t="s">
        <v>31</v>
      </c>
    </row>
    <row r="214" spans="1:25" x14ac:dyDescent="0.2">
      <c r="A214" t="s">
        <v>306</v>
      </c>
      <c r="B214" t="s">
        <v>168</v>
      </c>
      <c r="C214" t="s">
        <v>24</v>
      </c>
      <c r="D214">
        <v>2.5706247023489202E-2</v>
      </c>
      <c r="E214">
        <v>0.29850360256904501</v>
      </c>
      <c r="F214" t="s">
        <v>35</v>
      </c>
      <c r="G214">
        <v>57</v>
      </c>
      <c r="H214">
        <v>-0.60825441061446694</v>
      </c>
      <c r="I214" t="s">
        <v>39</v>
      </c>
      <c r="J214" t="b">
        <v>0</v>
      </c>
      <c r="K214">
        <v>274.525067445633</v>
      </c>
      <c r="L214">
        <v>274.817750372462</v>
      </c>
      <c r="M214">
        <v>16.991507203687998</v>
      </c>
      <c r="N214" t="s">
        <v>26</v>
      </c>
      <c r="O214" t="s">
        <v>26</v>
      </c>
      <c r="P214" t="s">
        <v>366</v>
      </c>
      <c r="Q214">
        <f>-1.74076510984287 - 0.524256288613938</f>
        <v>-2.2650213984568079</v>
      </c>
      <c r="R214" t="s">
        <v>27</v>
      </c>
      <c r="S214" t="s">
        <v>40</v>
      </c>
      <c r="T214" t="s">
        <v>41</v>
      </c>
      <c r="U214" t="s">
        <v>277</v>
      </c>
      <c r="V214">
        <v>3.7085306785860701</v>
      </c>
      <c r="W214">
        <v>0.57781158123898202</v>
      </c>
      <c r="X214" t="s">
        <v>30</v>
      </c>
      <c r="Y214" t="s">
        <v>31</v>
      </c>
    </row>
    <row r="215" spans="1:25" x14ac:dyDescent="0.2">
      <c r="A215" t="s">
        <v>306</v>
      </c>
      <c r="B215" t="s">
        <v>153</v>
      </c>
      <c r="C215" t="s">
        <v>24</v>
      </c>
      <c r="D215">
        <v>1.70283496054878E-2</v>
      </c>
      <c r="E215">
        <v>0.422218495558634</v>
      </c>
      <c r="F215" t="s">
        <v>35</v>
      </c>
      <c r="G215">
        <v>32</v>
      </c>
      <c r="H215">
        <v>-1.00516209381885E-2</v>
      </c>
      <c r="I215" t="s">
        <v>42</v>
      </c>
      <c r="J215" t="b">
        <v>0</v>
      </c>
      <c r="K215">
        <v>256.97100859864997</v>
      </c>
      <c r="L215">
        <v>257.29533292297498</v>
      </c>
      <c r="M215">
        <v>20.3040579681719</v>
      </c>
      <c r="N215" t="s">
        <v>26</v>
      </c>
      <c r="O215" t="s">
        <v>26</v>
      </c>
      <c r="P215" t="s">
        <v>338</v>
      </c>
      <c r="Q215">
        <f>-0.0343336286496454 - 0.0142303867732684</f>
        <v>-4.8564015422913796E-2</v>
      </c>
      <c r="R215" t="s">
        <v>33</v>
      </c>
      <c r="S215" t="s">
        <v>43</v>
      </c>
      <c r="T215" t="s">
        <v>26</v>
      </c>
      <c r="U215" t="s">
        <v>44</v>
      </c>
      <c r="V215">
        <v>3.78274193148774</v>
      </c>
      <c r="W215">
        <v>1.23887794446209E-2</v>
      </c>
      <c r="X215" t="s">
        <v>30</v>
      </c>
      <c r="Y215" t="s">
        <v>31</v>
      </c>
    </row>
    <row r="216" spans="1:25" x14ac:dyDescent="0.2">
      <c r="A216" t="s">
        <v>306</v>
      </c>
      <c r="B216" t="s">
        <v>86</v>
      </c>
      <c r="C216" t="s">
        <v>24</v>
      </c>
      <c r="D216">
        <v>3.1376359465634898E-2</v>
      </c>
      <c r="E216">
        <v>0.27419958411893702</v>
      </c>
      <c r="F216" t="s">
        <v>35</v>
      </c>
      <c r="G216">
        <v>13</v>
      </c>
      <c r="H216">
        <v>-1.07062046288715E-2</v>
      </c>
      <c r="I216" t="s">
        <v>39</v>
      </c>
      <c r="J216" t="b">
        <v>0</v>
      </c>
      <c r="K216">
        <v>256.382842868046</v>
      </c>
      <c r="L216">
        <v>256.70716719236998</v>
      </c>
      <c r="M216">
        <v>20.241681502581901</v>
      </c>
      <c r="N216" t="s">
        <v>26</v>
      </c>
      <c r="O216" t="s">
        <v>26</v>
      </c>
      <c r="P216" t="s">
        <v>344</v>
      </c>
      <c r="Q216">
        <f>-0.0296198860307842 - 0.00820747677304114</f>
        <v>-3.7827362803825343E-2</v>
      </c>
      <c r="R216" t="s">
        <v>33</v>
      </c>
      <c r="S216" t="s">
        <v>40</v>
      </c>
      <c r="T216" t="s">
        <v>41</v>
      </c>
      <c r="U216" t="s">
        <v>269</v>
      </c>
      <c r="V216">
        <v>4.1618753297997397</v>
      </c>
      <c r="W216">
        <v>9.6498374499554007E-3</v>
      </c>
      <c r="X216" t="s">
        <v>30</v>
      </c>
      <c r="Y216" t="s">
        <v>31</v>
      </c>
    </row>
    <row r="217" spans="1:25" x14ac:dyDescent="0.2">
      <c r="A217" t="s">
        <v>306</v>
      </c>
      <c r="B217" t="s">
        <v>161</v>
      </c>
      <c r="C217" t="s">
        <v>24</v>
      </c>
      <c r="D217">
        <v>0.16961068666766199</v>
      </c>
      <c r="E217">
        <v>6.7304874483506997E-3</v>
      </c>
      <c r="F217" t="s">
        <v>35</v>
      </c>
      <c r="G217">
        <v>27</v>
      </c>
      <c r="H217">
        <v>0.29839526986915599</v>
      </c>
      <c r="I217" t="s">
        <v>36</v>
      </c>
      <c r="J217" t="b">
        <v>0</v>
      </c>
      <c r="K217">
        <v>256.51308622259199</v>
      </c>
      <c r="L217">
        <v>256.82077853028397</v>
      </c>
      <c r="M217">
        <v>12.060586342317899</v>
      </c>
      <c r="N217" t="s">
        <v>26</v>
      </c>
      <c r="O217" t="s">
        <v>26</v>
      </c>
      <c r="P217" t="s">
        <v>315</v>
      </c>
      <c r="Q217" t="s">
        <v>252</v>
      </c>
      <c r="R217" t="s">
        <v>34</v>
      </c>
      <c r="S217" t="s">
        <v>37</v>
      </c>
      <c r="T217" t="s">
        <v>38</v>
      </c>
      <c r="U217" t="s">
        <v>253</v>
      </c>
      <c r="V217">
        <v>1.4736124175363801</v>
      </c>
      <c r="W217">
        <v>0.104394161006036</v>
      </c>
      <c r="X217" t="s">
        <v>30</v>
      </c>
      <c r="Y217" t="s">
        <v>31</v>
      </c>
    </row>
    <row r="218" spans="1:25" x14ac:dyDescent="0.2">
      <c r="A218" t="s">
        <v>306</v>
      </c>
      <c r="B218" t="s">
        <v>159</v>
      </c>
      <c r="C218" t="s">
        <v>24</v>
      </c>
      <c r="D218">
        <v>1.22784226307198E-2</v>
      </c>
      <c r="E218">
        <v>0.49606785461698299</v>
      </c>
      <c r="F218" t="s">
        <v>35</v>
      </c>
      <c r="G218">
        <v>55</v>
      </c>
      <c r="H218">
        <v>-4.6490794488569997E-3</v>
      </c>
      <c r="I218" t="s">
        <v>39</v>
      </c>
      <c r="J218" t="b">
        <v>0</v>
      </c>
      <c r="K218">
        <v>254.20922740513899</v>
      </c>
      <c r="L218">
        <v>254.53355172946399</v>
      </c>
      <c r="M218">
        <v>16.537052965794</v>
      </c>
      <c r="N218" t="s">
        <v>26</v>
      </c>
      <c r="O218" t="s">
        <v>26</v>
      </c>
      <c r="P218" t="s">
        <v>314</v>
      </c>
      <c r="Q218">
        <f>-0.0179070552709052 - 0.00860889637319109</f>
        <v>-2.651595164409629E-2</v>
      </c>
      <c r="R218" t="s">
        <v>32</v>
      </c>
      <c r="S218" t="s">
        <v>40</v>
      </c>
      <c r="T218" t="s">
        <v>41</v>
      </c>
      <c r="U218" t="s">
        <v>288</v>
      </c>
      <c r="V218">
        <v>4.0279502450862399</v>
      </c>
      <c r="W218">
        <v>6.7642733785958998E-3</v>
      </c>
      <c r="X218" t="s">
        <v>30</v>
      </c>
      <c r="Y218" t="s">
        <v>31</v>
      </c>
    </row>
    <row r="219" spans="1:25" x14ac:dyDescent="0.2">
      <c r="A219" t="s">
        <v>306</v>
      </c>
      <c r="B219" t="s">
        <v>65</v>
      </c>
      <c r="C219" t="s">
        <v>24</v>
      </c>
      <c r="D219">
        <v>4.1270567050199998E-4</v>
      </c>
      <c r="E219">
        <v>0.89586269262951002</v>
      </c>
      <c r="F219" t="s">
        <v>35</v>
      </c>
      <c r="G219">
        <v>8</v>
      </c>
      <c r="H219">
        <v>-2.0970973168352E-3</v>
      </c>
      <c r="I219" t="s">
        <v>39</v>
      </c>
      <c r="J219" t="b">
        <v>0</v>
      </c>
      <c r="K219">
        <v>275.65277140857398</v>
      </c>
      <c r="L219">
        <v>275.94545433540401</v>
      </c>
      <c r="M219">
        <v>17.4515920295669</v>
      </c>
      <c r="N219" t="s">
        <v>26</v>
      </c>
      <c r="O219" t="s">
        <v>26</v>
      </c>
      <c r="P219" t="s">
        <v>339</v>
      </c>
      <c r="Q219">
        <f>-0.033310431082541 - 0.0291162364488705</f>
        <v>-6.2426667531411503E-2</v>
      </c>
      <c r="R219" t="s">
        <v>27</v>
      </c>
      <c r="S219" t="s">
        <v>40</v>
      </c>
      <c r="T219" t="s">
        <v>41</v>
      </c>
      <c r="U219" t="s">
        <v>264</v>
      </c>
      <c r="V219">
        <v>3.6060886674250798</v>
      </c>
      <c r="W219">
        <v>1.59251702886254E-2</v>
      </c>
      <c r="X219" t="s">
        <v>30</v>
      </c>
      <c r="Y219" t="s">
        <v>31</v>
      </c>
    </row>
    <row r="220" spans="1:25" x14ac:dyDescent="0.2">
      <c r="A220" t="s">
        <v>306</v>
      </c>
      <c r="B220" t="s">
        <v>145</v>
      </c>
      <c r="C220" t="s">
        <v>24</v>
      </c>
      <c r="D220" s="1">
        <v>6.6660582177708699E-5</v>
      </c>
      <c r="E220">
        <v>0.95907325311757996</v>
      </c>
      <c r="F220" t="s">
        <v>35</v>
      </c>
      <c r="G220">
        <v>32</v>
      </c>
      <c r="H220">
        <v>8.6958484334500002E-4</v>
      </c>
      <c r="I220" t="s">
        <v>39</v>
      </c>
      <c r="J220" t="b">
        <v>0</v>
      </c>
      <c r="K220">
        <v>265.92818427607898</v>
      </c>
      <c r="L220">
        <v>266.23587658377198</v>
      </c>
      <c r="M220">
        <v>17.620155285444898</v>
      </c>
      <c r="N220" t="s">
        <v>26</v>
      </c>
      <c r="O220" t="s">
        <v>26</v>
      </c>
      <c r="P220" t="s">
        <v>320</v>
      </c>
      <c r="Q220">
        <f>-0.032136119908564 - 0.0338752895952541</f>
        <v>-6.6011409503818091E-2</v>
      </c>
      <c r="R220" t="s">
        <v>34</v>
      </c>
      <c r="S220" t="s">
        <v>40</v>
      </c>
      <c r="T220" t="s">
        <v>41</v>
      </c>
      <c r="U220" t="s">
        <v>239</v>
      </c>
      <c r="V220">
        <v>3.6192008063381298</v>
      </c>
      <c r="W220">
        <v>1.6839645281586199E-2</v>
      </c>
      <c r="X220" t="s">
        <v>30</v>
      </c>
      <c r="Y220" t="s">
        <v>31</v>
      </c>
    </row>
    <row r="221" spans="1:25" x14ac:dyDescent="0.2">
      <c r="A221" t="s">
        <v>306</v>
      </c>
      <c r="B221" t="s">
        <v>111</v>
      </c>
      <c r="C221" t="s">
        <v>24</v>
      </c>
      <c r="D221">
        <v>2.8807501166931999E-3</v>
      </c>
      <c r="E221">
        <v>0.72932458643454801</v>
      </c>
      <c r="F221" t="s">
        <v>35</v>
      </c>
      <c r="G221">
        <v>10</v>
      </c>
      <c r="H221">
        <v>-1.4958641403679401E-2</v>
      </c>
      <c r="I221" t="s">
        <v>39</v>
      </c>
      <c r="J221" t="b">
        <v>0</v>
      </c>
      <c r="K221">
        <v>275.54399827788899</v>
      </c>
      <c r="L221">
        <v>275.83668120471799</v>
      </c>
      <c r="M221">
        <v>18.146562427268002</v>
      </c>
      <c r="N221" t="s">
        <v>26</v>
      </c>
      <c r="O221" t="s">
        <v>26</v>
      </c>
      <c r="P221" t="s">
        <v>313</v>
      </c>
      <c r="Q221">
        <f>-0.0991261231664407 - 0.0692088403590819</f>
        <v>-0.1683349635255226</v>
      </c>
      <c r="R221" t="s">
        <v>27</v>
      </c>
      <c r="S221" t="s">
        <v>40</v>
      </c>
      <c r="T221" t="s">
        <v>41</v>
      </c>
      <c r="U221" t="s">
        <v>281</v>
      </c>
      <c r="V221">
        <v>3.7431237414675702</v>
      </c>
      <c r="W221">
        <v>4.2942592736102701E-2</v>
      </c>
      <c r="X221" t="s">
        <v>30</v>
      </c>
      <c r="Y221" t="s">
        <v>31</v>
      </c>
    </row>
    <row r="222" spans="1:25" x14ac:dyDescent="0.2">
      <c r="A222" t="s">
        <v>306</v>
      </c>
      <c r="B222" t="s">
        <v>164</v>
      </c>
      <c r="C222" t="s">
        <v>24</v>
      </c>
      <c r="D222">
        <v>4.3884077157484103E-2</v>
      </c>
      <c r="E222">
        <v>0.18303193680542901</v>
      </c>
      <c r="F222" t="s">
        <v>35</v>
      </c>
      <c r="G222">
        <v>66</v>
      </c>
      <c r="H222">
        <v>-2.5890484308459302E-2</v>
      </c>
      <c r="I222" t="s">
        <v>39</v>
      </c>
      <c r="J222" t="b">
        <v>0</v>
      </c>
      <c r="K222">
        <v>264.04618728055601</v>
      </c>
      <c r="L222">
        <v>264.35387958824901</v>
      </c>
      <c r="M222">
        <v>15.716335945840999</v>
      </c>
      <c r="N222" t="s">
        <v>26</v>
      </c>
      <c r="O222" t="s">
        <v>26</v>
      </c>
      <c r="P222" t="s">
        <v>346</v>
      </c>
      <c r="Q222">
        <f>-0.0633418828886952 - 0.0115609142717766</f>
        <v>-7.4902797160471796E-2</v>
      </c>
      <c r="R222" t="s">
        <v>34</v>
      </c>
      <c r="S222" t="s">
        <v>40</v>
      </c>
      <c r="T222" t="s">
        <v>41</v>
      </c>
      <c r="U222" t="s">
        <v>202</v>
      </c>
      <c r="V222">
        <v>4.1782866894802497</v>
      </c>
      <c r="W222">
        <v>1.9107856418487699E-2</v>
      </c>
      <c r="X222" t="s">
        <v>30</v>
      </c>
      <c r="Y222" t="s">
        <v>31</v>
      </c>
    </row>
    <row r="223" spans="1:25" x14ac:dyDescent="0.2">
      <c r="A223" t="s">
        <v>306</v>
      </c>
      <c r="B223" t="s">
        <v>99</v>
      </c>
      <c r="C223" t="s">
        <v>24</v>
      </c>
      <c r="D223">
        <v>3.02490180642149E-2</v>
      </c>
      <c r="E223">
        <v>0.28313292957981301</v>
      </c>
      <c r="F223" t="s">
        <v>35</v>
      </c>
      <c r="G223">
        <v>32</v>
      </c>
      <c r="H223">
        <v>4.4448119579827097E-2</v>
      </c>
      <c r="I223" t="s">
        <v>39</v>
      </c>
      <c r="J223" t="b">
        <v>0</v>
      </c>
      <c r="K223">
        <v>256.42937016015799</v>
      </c>
      <c r="L223">
        <v>256.75369448448203</v>
      </c>
      <c r="M223">
        <v>18.713344276442999</v>
      </c>
      <c r="N223" t="s">
        <v>26</v>
      </c>
      <c r="O223" t="s">
        <v>26</v>
      </c>
      <c r="P223" t="s">
        <v>358</v>
      </c>
      <c r="Q223">
        <f>-0.0355706997066284 - 0.124466938866283</f>
        <v>-0.16003763857291139</v>
      </c>
      <c r="R223" t="s">
        <v>33</v>
      </c>
      <c r="S223" t="s">
        <v>40</v>
      </c>
      <c r="T223" t="s">
        <v>41</v>
      </c>
      <c r="U223" t="s">
        <v>263</v>
      </c>
      <c r="V223">
        <v>3.4277407459460298</v>
      </c>
      <c r="W223">
        <v>4.0825928207375198E-2</v>
      </c>
      <c r="X223" t="s">
        <v>30</v>
      </c>
      <c r="Y223" t="s">
        <v>31</v>
      </c>
    </row>
    <row r="224" spans="1:25" x14ac:dyDescent="0.2">
      <c r="A224" t="s">
        <v>306</v>
      </c>
      <c r="B224" t="s">
        <v>157</v>
      </c>
      <c r="C224" t="s">
        <v>24</v>
      </c>
      <c r="D224">
        <v>6.1797946373370004E-4</v>
      </c>
      <c r="E224">
        <v>0.87582173321257695</v>
      </c>
      <c r="F224" t="s">
        <v>35</v>
      </c>
      <c r="G224">
        <v>67</v>
      </c>
      <c r="H224">
        <v>-1.6925326026849001E-3</v>
      </c>
      <c r="I224" t="s">
        <v>36</v>
      </c>
      <c r="J224" t="b">
        <v>0</v>
      </c>
      <c r="K224">
        <v>264.29340041216898</v>
      </c>
      <c r="L224">
        <v>264.60109271986101</v>
      </c>
      <c r="M224">
        <v>16.17755929602</v>
      </c>
      <c r="N224" t="s">
        <v>26</v>
      </c>
      <c r="O224" t="s">
        <v>26</v>
      </c>
      <c r="P224" t="s">
        <v>347</v>
      </c>
      <c r="Q224">
        <f>-0.0227857031052386 - 0.0194006378998687</f>
        <v>-4.2186341005107299E-2</v>
      </c>
      <c r="R224" t="s">
        <v>34</v>
      </c>
      <c r="S224" t="s">
        <v>37</v>
      </c>
      <c r="T224" t="s">
        <v>38</v>
      </c>
      <c r="U224" t="s">
        <v>291</v>
      </c>
      <c r="V224">
        <v>3.5960012321772701</v>
      </c>
      <c r="W224">
        <v>1.07618216849764E-2</v>
      </c>
      <c r="X224" t="s">
        <v>30</v>
      </c>
      <c r="Y224" t="s">
        <v>31</v>
      </c>
    </row>
    <row r="225" spans="1:25" x14ac:dyDescent="0.2">
      <c r="A225" t="s">
        <v>306</v>
      </c>
      <c r="B225" t="s">
        <v>79</v>
      </c>
      <c r="C225" t="s">
        <v>24</v>
      </c>
      <c r="D225" s="1">
        <v>3.2580081780227301E-5</v>
      </c>
      <c r="E225">
        <v>0.97066665245165695</v>
      </c>
      <c r="F225" t="s">
        <v>35</v>
      </c>
      <c r="G225">
        <v>62</v>
      </c>
      <c r="H225">
        <v>-1.8886170210639999E-3</v>
      </c>
      <c r="I225" t="s">
        <v>39</v>
      </c>
      <c r="J225" t="b">
        <v>0</v>
      </c>
      <c r="K225">
        <v>275.66950065932798</v>
      </c>
      <c r="L225">
        <v>275.96218358615698</v>
      </c>
      <c r="M225">
        <v>17.303790725123001</v>
      </c>
      <c r="N225" t="s">
        <v>26</v>
      </c>
      <c r="O225" t="s">
        <v>26</v>
      </c>
      <c r="P225" t="s">
        <v>316</v>
      </c>
      <c r="Q225">
        <f>-0.101955913301964 - 0.098178679259836</f>
        <v>-0.2001345925618</v>
      </c>
      <c r="R225" t="s">
        <v>27</v>
      </c>
      <c r="S225" t="s">
        <v>40</v>
      </c>
      <c r="T225" t="s">
        <v>41</v>
      </c>
      <c r="U225" t="s">
        <v>259</v>
      </c>
      <c r="V225">
        <v>3.6040599911491999</v>
      </c>
      <c r="W225">
        <v>5.1054743000459299E-2</v>
      </c>
      <c r="X225" t="s">
        <v>30</v>
      </c>
      <c r="Y225" t="s">
        <v>31</v>
      </c>
    </row>
    <row r="226" spans="1:25" x14ac:dyDescent="0.2">
      <c r="A226" t="s">
        <v>306</v>
      </c>
      <c r="B226" t="s">
        <v>95</v>
      </c>
      <c r="C226" t="s">
        <v>24</v>
      </c>
      <c r="D226">
        <v>1.93224277216E-3</v>
      </c>
      <c r="E226">
        <v>0.78223149792985902</v>
      </c>
      <c r="F226" t="s">
        <v>35</v>
      </c>
      <c r="G226">
        <v>48</v>
      </c>
      <c r="H226">
        <v>1.01885037466505E-2</v>
      </c>
      <c r="I226" t="s">
        <v>39</v>
      </c>
      <c r="J226" t="b">
        <v>0</v>
      </c>
      <c r="K226">
        <v>265.849751411471</v>
      </c>
      <c r="L226">
        <v>266.15744371916298</v>
      </c>
      <c r="M226">
        <v>19.4841517824789</v>
      </c>
      <c r="N226" t="s">
        <v>26</v>
      </c>
      <c r="O226" t="s">
        <v>26</v>
      </c>
      <c r="P226" t="s">
        <v>362</v>
      </c>
      <c r="Q226">
        <f>-0.0615720286969712 - 0.0819490361902721</f>
        <v>-0.14352106488724331</v>
      </c>
      <c r="R226" t="s">
        <v>34</v>
      </c>
      <c r="S226" t="s">
        <v>40</v>
      </c>
      <c r="T226" t="s">
        <v>41</v>
      </c>
      <c r="U226" t="s">
        <v>290</v>
      </c>
      <c r="V226">
        <v>3.4692939782719101</v>
      </c>
      <c r="W226">
        <v>3.66125165528682E-2</v>
      </c>
      <c r="X226" t="s">
        <v>30</v>
      </c>
      <c r="Y226" t="s">
        <v>31</v>
      </c>
    </row>
    <row r="227" spans="1:25" x14ac:dyDescent="0.2">
      <c r="A227" t="s">
        <v>306</v>
      </c>
      <c r="B227" t="s">
        <v>93</v>
      </c>
      <c r="C227" t="s">
        <v>24</v>
      </c>
      <c r="D227">
        <v>6.7965795475545002E-2</v>
      </c>
      <c r="E227">
        <v>0.10420964171908199</v>
      </c>
      <c r="F227" t="s">
        <v>35</v>
      </c>
      <c r="G227">
        <v>61</v>
      </c>
      <c r="H227">
        <v>0.37562694273283598</v>
      </c>
      <c r="I227" t="s">
        <v>36</v>
      </c>
      <c r="J227" t="b">
        <v>0</v>
      </c>
      <c r="K227">
        <v>250.289319231414</v>
      </c>
      <c r="L227">
        <v>250.61364355573801</v>
      </c>
      <c r="M227">
        <v>15.534854093074999</v>
      </c>
      <c r="N227" t="s">
        <v>26</v>
      </c>
      <c r="O227" t="s">
        <v>26</v>
      </c>
      <c r="P227" t="s">
        <v>365</v>
      </c>
      <c r="Q227">
        <f>-0.0666473857695185 - 0.817901271235191</f>
        <v>-0.88454865700470942</v>
      </c>
      <c r="R227" t="s">
        <v>32</v>
      </c>
      <c r="S227" t="s">
        <v>37</v>
      </c>
      <c r="T227" t="s">
        <v>38</v>
      </c>
      <c r="U227" t="s">
        <v>254</v>
      </c>
      <c r="V227">
        <v>3.1943022144882902</v>
      </c>
      <c r="W227">
        <v>0.225650167603242</v>
      </c>
      <c r="X227" t="s">
        <v>30</v>
      </c>
      <c r="Y227" t="s">
        <v>31</v>
      </c>
    </row>
    <row r="228" spans="1:25" x14ac:dyDescent="0.2">
      <c r="A228" t="s">
        <v>306</v>
      </c>
      <c r="B228" t="s">
        <v>59</v>
      </c>
      <c r="C228" t="s">
        <v>24</v>
      </c>
      <c r="D228">
        <v>8.6773006173916992E-3</v>
      </c>
      <c r="E228">
        <v>0.54755870598385203</v>
      </c>
      <c r="F228" t="s">
        <v>35</v>
      </c>
      <c r="G228">
        <v>41</v>
      </c>
      <c r="H228">
        <v>-4.2772109874062002E-3</v>
      </c>
      <c r="I228" t="s">
        <v>42</v>
      </c>
      <c r="J228" t="b">
        <v>0</v>
      </c>
      <c r="K228">
        <v>275.28746683165798</v>
      </c>
      <c r="L228">
        <v>275.58014975848698</v>
      </c>
      <c r="M228">
        <v>17.266943604143901</v>
      </c>
      <c r="N228" t="s">
        <v>26</v>
      </c>
      <c r="O228" t="s">
        <v>26</v>
      </c>
      <c r="P228" t="s">
        <v>312</v>
      </c>
      <c r="Q228">
        <f>-0.0181035532574813 - 0.00954913128266882</f>
        <v>-2.7652684540150123E-2</v>
      </c>
      <c r="R228" t="s">
        <v>27</v>
      </c>
      <c r="S228" t="s">
        <v>43</v>
      </c>
      <c r="T228" t="s">
        <v>26</v>
      </c>
      <c r="U228" t="s">
        <v>44</v>
      </c>
      <c r="V228">
        <v>3.6039940223120901</v>
      </c>
      <c r="W228">
        <v>7.0542562602423E-3</v>
      </c>
      <c r="X228" t="s">
        <v>30</v>
      </c>
      <c r="Y228" t="s">
        <v>31</v>
      </c>
    </row>
    <row r="229" spans="1:25" x14ac:dyDescent="0.2">
      <c r="A229" t="s">
        <v>306</v>
      </c>
      <c r="B229" t="s">
        <v>124</v>
      </c>
      <c r="C229" t="s">
        <v>24</v>
      </c>
      <c r="D229">
        <v>5.6541597834609603E-2</v>
      </c>
      <c r="E229">
        <v>0.13954696830782501</v>
      </c>
      <c r="F229" t="s">
        <v>35</v>
      </c>
      <c r="G229">
        <v>57</v>
      </c>
      <c r="H229">
        <v>-1.6975879684998699E-2</v>
      </c>
      <c r="I229" t="s">
        <v>39</v>
      </c>
      <c r="J229" t="b">
        <v>0</v>
      </c>
      <c r="K229">
        <v>255.32988840400901</v>
      </c>
      <c r="L229">
        <v>255.65421272833299</v>
      </c>
      <c r="M229">
        <v>18.925662338047001</v>
      </c>
      <c r="N229" t="s">
        <v>26</v>
      </c>
      <c r="O229" t="s">
        <v>26</v>
      </c>
      <c r="P229" t="s">
        <v>331</v>
      </c>
      <c r="Q229">
        <f>-0.0390241183441596 - 0.00507235897416227</f>
        <v>-4.4096477318321871E-2</v>
      </c>
      <c r="R229" t="s">
        <v>33</v>
      </c>
      <c r="S229" t="s">
        <v>40</v>
      </c>
      <c r="T229" t="s">
        <v>41</v>
      </c>
      <c r="U229" t="s">
        <v>172</v>
      </c>
      <c r="V229">
        <v>4.6472870322741997</v>
      </c>
      <c r="W229">
        <v>1.1249101356714799E-2</v>
      </c>
      <c r="X229" t="s">
        <v>30</v>
      </c>
      <c r="Y229" t="s">
        <v>31</v>
      </c>
    </row>
    <row r="230" spans="1:25" x14ac:dyDescent="0.2">
      <c r="A230" t="s">
        <v>306</v>
      </c>
      <c r="B230" t="s">
        <v>71</v>
      </c>
      <c r="C230" t="s">
        <v>24</v>
      </c>
      <c r="D230">
        <v>4.1517594689095003E-3</v>
      </c>
      <c r="E230">
        <v>0.68518296785972199</v>
      </c>
      <c r="F230" t="s">
        <v>35</v>
      </c>
      <c r="G230">
        <v>41</v>
      </c>
      <c r="H230">
        <v>-1.2107033927842001E-2</v>
      </c>
      <c r="I230" t="s">
        <v>36</v>
      </c>
      <c r="J230" t="b">
        <v>0</v>
      </c>
      <c r="K230">
        <v>264.14802132972397</v>
      </c>
      <c r="L230">
        <v>264.45571363741698</v>
      </c>
      <c r="M230">
        <v>18.072322748232899</v>
      </c>
      <c r="N230" t="s">
        <v>26</v>
      </c>
      <c r="O230" t="s">
        <v>26</v>
      </c>
      <c r="P230" t="s">
        <v>361</v>
      </c>
      <c r="Q230">
        <f>-0.0702161571862016 - 0.0460020893305177</f>
        <v>-0.1162182465167193</v>
      </c>
      <c r="R230" t="s">
        <v>34</v>
      </c>
      <c r="S230" t="s">
        <v>37</v>
      </c>
      <c r="T230" t="s">
        <v>38</v>
      </c>
      <c r="U230" t="s">
        <v>236</v>
      </c>
      <c r="V230">
        <v>3.71849796372971</v>
      </c>
      <c r="W230">
        <v>2.9647511866510001E-2</v>
      </c>
      <c r="X230" t="s">
        <v>30</v>
      </c>
      <c r="Y230" t="s">
        <v>31</v>
      </c>
    </row>
    <row r="231" spans="1:25" x14ac:dyDescent="0.2">
      <c r="A231" t="s">
        <v>306</v>
      </c>
      <c r="B231" t="s">
        <v>49</v>
      </c>
      <c r="C231" t="s">
        <v>24</v>
      </c>
      <c r="D231">
        <v>2.8609884842996998E-3</v>
      </c>
      <c r="E231">
        <v>0.74306532849468998</v>
      </c>
      <c r="F231" t="s">
        <v>35</v>
      </c>
      <c r="G231">
        <v>45</v>
      </c>
      <c r="H231">
        <v>7.3113098855118004E-3</v>
      </c>
      <c r="I231" t="s">
        <v>36</v>
      </c>
      <c r="J231" t="b">
        <v>0</v>
      </c>
      <c r="K231">
        <v>252.70734982967301</v>
      </c>
      <c r="L231">
        <v>253.03167415399801</v>
      </c>
      <c r="M231">
        <v>15.042152601863</v>
      </c>
      <c r="N231" t="s">
        <v>26</v>
      </c>
      <c r="O231" t="s">
        <v>26</v>
      </c>
      <c r="P231" t="s">
        <v>351</v>
      </c>
      <c r="Q231">
        <f>-0.0360876442483136 - 0.0507102640193374</f>
        <v>-8.6797908267650992E-2</v>
      </c>
      <c r="R231" t="s">
        <v>32</v>
      </c>
      <c r="S231" t="s">
        <v>37</v>
      </c>
      <c r="T231" t="s">
        <v>38</v>
      </c>
      <c r="U231" t="s">
        <v>179</v>
      </c>
      <c r="V231">
        <v>3.51558893549895</v>
      </c>
      <c r="W231">
        <v>2.2142323537666101E-2</v>
      </c>
      <c r="X231" t="s">
        <v>30</v>
      </c>
      <c r="Y231" t="s">
        <v>31</v>
      </c>
    </row>
    <row r="232" spans="1:25" x14ac:dyDescent="0.2">
      <c r="A232" t="s">
        <v>306</v>
      </c>
      <c r="B232" t="s">
        <v>59</v>
      </c>
      <c r="C232" t="s">
        <v>24</v>
      </c>
      <c r="D232">
        <v>5.4470601559791004E-3</v>
      </c>
      <c r="E232">
        <v>0.63399013254461201</v>
      </c>
      <c r="F232" t="s">
        <v>35</v>
      </c>
      <c r="G232">
        <v>41</v>
      </c>
      <c r="H232">
        <v>-4.2074567368500003E-3</v>
      </c>
      <c r="I232" t="s">
        <v>36</v>
      </c>
      <c r="J232" t="b">
        <v>0</v>
      </c>
      <c r="K232">
        <v>273.98445249998798</v>
      </c>
      <c r="L232">
        <v>274.27713542681698</v>
      </c>
      <c r="M232">
        <v>15.9639292724739</v>
      </c>
      <c r="N232" t="s">
        <v>26</v>
      </c>
      <c r="O232" t="s">
        <v>26</v>
      </c>
      <c r="P232" t="s">
        <v>312</v>
      </c>
      <c r="Q232">
        <f>-0.0214017350520735 - 0.0129868215783735</f>
        <v>-3.4388556630447001E-2</v>
      </c>
      <c r="R232" t="s">
        <v>27</v>
      </c>
      <c r="S232" t="s">
        <v>37</v>
      </c>
      <c r="T232" t="s">
        <v>38</v>
      </c>
      <c r="U232" t="s">
        <v>226</v>
      </c>
      <c r="V232">
        <v>3.5587594436935501</v>
      </c>
      <c r="W232">
        <v>8.7725909771548E-3</v>
      </c>
      <c r="X232" t="s">
        <v>30</v>
      </c>
      <c r="Y232" t="s">
        <v>31</v>
      </c>
    </row>
    <row r="233" spans="1:25" x14ac:dyDescent="0.2">
      <c r="A233" t="s">
        <v>306</v>
      </c>
      <c r="B233" t="s">
        <v>168</v>
      </c>
      <c r="C233" t="s">
        <v>24</v>
      </c>
      <c r="D233">
        <v>1.7505102483867899E-2</v>
      </c>
      <c r="E233">
        <v>0.391924930583325</v>
      </c>
      <c r="F233" t="s">
        <v>35</v>
      </c>
      <c r="G233">
        <v>57</v>
      </c>
      <c r="H233">
        <v>-0.62049960805947602</v>
      </c>
      <c r="I233" t="s">
        <v>36</v>
      </c>
      <c r="J233" t="b">
        <v>0</v>
      </c>
      <c r="K233">
        <v>273.466404371431</v>
      </c>
      <c r="L233">
        <v>273.75908729826</v>
      </c>
      <c r="M233">
        <v>15.932844129486</v>
      </c>
      <c r="N233" t="s">
        <v>26</v>
      </c>
      <c r="O233" t="s">
        <v>26</v>
      </c>
      <c r="P233" t="s">
        <v>366</v>
      </c>
      <c r="Q233">
        <f>-2.02640391253648 - 0.785404696417525</f>
        <v>-2.8118086089540046</v>
      </c>
      <c r="R233" t="s">
        <v>27</v>
      </c>
      <c r="S233" t="s">
        <v>37</v>
      </c>
      <c r="T233" t="s">
        <v>38</v>
      </c>
      <c r="U233" t="s">
        <v>294</v>
      </c>
      <c r="V233">
        <v>3.6499017832041001</v>
      </c>
      <c r="W233">
        <v>0.71729811452908299</v>
      </c>
      <c r="X233" t="s">
        <v>30</v>
      </c>
      <c r="Y233" t="s">
        <v>31</v>
      </c>
    </row>
    <row r="234" spans="1:25" x14ac:dyDescent="0.2">
      <c r="A234" t="s">
        <v>306</v>
      </c>
      <c r="B234" t="s">
        <v>151</v>
      </c>
      <c r="C234" t="s">
        <v>24</v>
      </c>
      <c r="D234" s="1">
        <v>2.3164990821412902E-6</v>
      </c>
      <c r="E234">
        <v>0.99217671370127702</v>
      </c>
      <c r="F234" t="s">
        <v>35</v>
      </c>
      <c r="G234">
        <v>28</v>
      </c>
      <c r="H234">
        <v>-3.444867161322E-4</v>
      </c>
      <c r="I234" t="s">
        <v>36</v>
      </c>
      <c r="J234" t="b">
        <v>0</v>
      </c>
      <c r="K234">
        <v>274.22230306744501</v>
      </c>
      <c r="L234">
        <v>274.51498599427401</v>
      </c>
      <c r="M234">
        <v>15.7973092410219</v>
      </c>
      <c r="N234" t="s">
        <v>26</v>
      </c>
      <c r="O234" t="s">
        <v>26</v>
      </c>
      <c r="P234" t="s">
        <v>328</v>
      </c>
      <c r="Q234">
        <f>-0.0687966750434141 - 0.0681077016111497</f>
        <v>-0.13690437665456379</v>
      </c>
      <c r="R234" t="s">
        <v>27</v>
      </c>
      <c r="S234" t="s">
        <v>37</v>
      </c>
      <c r="T234" t="s">
        <v>38</v>
      </c>
      <c r="U234" t="s">
        <v>299</v>
      </c>
      <c r="V234">
        <v>3.5505783857555602</v>
      </c>
      <c r="W234">
        <v>3.4924585881266297E-2</v>
      </c>
      <c r="X234" t="s">
        <v>30</v>
      </c>
      <c r="Y234" t="s">
        <v>31</v>
      </c>
    </row>
    <row r="235" spans="1:25" x14ac:dyDescent="0.2">
      <c r="A235" t="s">
        <v>306</v>
      </c>
      <c r="B235" t="s">
        <v>115</v>
      </c>
      <c r="C235" t="s">
        <v>24</v>
      </c>
      <c r="D235">
        <v>0.20354932552713101</v>
      </c>
      <c r="E235">
        <v>2.7106257692722999E-3</v>
      </c>
      <c r="F235" t="s">
        <v>35</v>
      </c>
      <c r="G235">
        <v>43</v>
      </c>
      <c r="H235">
        <v>3.65094049837736E-2</v>
      </c>
      <c r="I235" t="s">
        <v>36</v>
      </c>
      <c r="J235" t="b">
        <v>0</v>
      </c>
      <c r="K235">
        <v>254.951973315701</v>
      </c>
      <c r="L235">
        <v>255.259665623393</v>
      </c>
      <c r="M235">
        <v>12.512889886244</v>
      </c>
      <c r="N235" t="s">
        <v>26</v>
      </c>
      <c r="O235" t="s">
        <v>26</v>
      </c>
      <c r="P235" t="s">
        <v>360</v>
      </c>
      <c r="Q235" t="s">
        <v>188</v>
      </c>
      <c r="R235" t="s">
        <v>34</v>
      </c>
      <c r="S235" t="s">
        <v>37</v>
      </c>
      <c r="T235" t="s">
        <v>38</v>
      </c>
      <c r="U235" t="s">
        <v>189</v>
      </c>
      <c r="V235">
        <v>3.2674598409361399</v>
      </c>
      <c r="W235">
        <v>1.1418771114219E-2</v>
      </c>
      <c r="X235" t="s">
        <v>30</v>
      </c>
      <c r="Y235" t="s">
        <v>31</v>
      </c>
    </row>
    <row r="236" spans="1:25" x14ac:dyDescent="0.2">
      <c r="A236" t="s">
        <v>306</v>
      </c>
      <c r="B236" t="s">
        <v>107</v>
      </c>
      <c r="C236" t="s">
        <v>24</v>
      </c>
      <c r="D236">
        <v>1.7937674808638799E-2</v>
      </c>
      <c r="E236">
        <v>0.38608420520066</v>
      </c>
      <c r="F236" t="s">
        <v>35</v>
      </c>
      <c r="G236">
        <v>17</v>
      </c>
      <c r="H236">
        <v>-0.45645393637632198</v>
      </c>
      <c r="I236" t="s">
        <v>42</v>
      </c>
      <c r="J236" t="b">
        <v>0</v>
      </c>
      <c r="K236">
        <v>274.87451198481199</v>
      </c>
      <c r="L236">
        <v>275.16719491164099</v>
      </c>
      <c r="M236">
        <v>17.176717214861899</v>
      </c>
      <c r="N236" t="s">
        <v>26</v>
      </c>
      <c r="O236" t="s">
        <v>26</v>
      </c>
      <c r="P236" t="s">
        <v>356</v>
      </c>
      <c r="Q236">
        <f>-1.47789857894468 - 0.564990706192036</f>
        <v>-2.0428892851367157</v>
      </c>
      <c r="R236" t="s">
        <v>27</v>
      </c>
      <c r="S236" t="s">
        <v>43</v>
      </c>
      <c r="T236" t="s">
        <v>26</v>
      </c>
      <c r="U236" t="s">
        <v>44</v>
      </c>
      <c r="V236">
        <v>3.7728311657320299</v>
      </c>
      <c r="W236">
        <v>0.52114522580018297</v>
      </c>
      <c r="X236" t="s">
        <v>30</v>
      </c>
      <c r="Y236" t="s">
        <v>31</v>
      </c>
    </row>
    <row r="237" spans="1:25" x14ac:dyDescent="0.2">
      <c r="A237" t="s">
        <v>306</v>
      </c>
      <c r="B237" t="s">
        <v>65</v>
      </c>
      <c r="C237" t="s">
        <v>24</v>
      </c>
      <c r="D237">
        <v>4.1270567050199998E-4</v>
      </c>
      <c r="E237">
        <v>0.89586269262951002</v>
      </c>
      <c r="F237" t="s">
        <v>35</v>
      </c>
      <c r="G237">
        <v>8</v>
      </c>
      <c r="H237">
        <v>-2.0970973168352E-3</v>
      </c>
      <c r="I237" t="s">
        <v>42</v>
      </c>
      <c r="J237" t="b">
        <v>0</v>
      </c>
      <c r="K237">
        <v>275.65277140857398</v>
      </c>
      <c r="L237">
        <v>275.94545433540401</v>
      </c>
      <c r="M237">
        <v>17.4515920295669</v>
      </c>
      <c r="N237" t="s">
        <v>26</v>
      </c>
      <c r="O237" t="s">
        <v>26</v>
      </c>
      <c r="P237" t="s">
        <v>339</v>
      </c>
      <c r="Q237">
        <f>-0.033310431082541 - 0.0291162364488705</f>
        <v>-6.2426667531411503E-2</v>
      </c>
      <c r="R237" t="s">
        <v>27</v>
      </c>
      <c r="S237" t="s">
        <v>43</v>
      </c>
      <c r="T237" t="s">
        <v>26</v>
      </c>
      <c r="U237" t="s">
        <v>44</v>
      </c>
      <c r="V237">
        <v>3.6060886674250798</v>
      </c>
      <c r="W237">
        <v>1.59251702886254E-2</v>
      </c>
      <c r="X237" t="s">
        <v>30</v>
      </c>
      <c r="Y237" t="s">
        <v>31</v>
      </c>
    </row>
    <row r="238" spans="1:25" x14ac:dyDescent="0.2">
      <c r="A238" t="s">
        <v>306</v>
      </c>
      <c r="B238" t="s">
        <v>65</v>
      </c>
      <c r="C238" t="s">
        <v>24</v>
      </c>
      <c r="D238">
        <v>3.3918783186169998E-4</v>
      </c>
      <c r="E238">
        <v>0.90554635213898305</v>
      </c>
      <c r="F238" t="s">
        <v>35</v>
      </c>
      <c r="G238">
        <v>8</v>
      </c>
      <c r="H238">
        <v>-2.1116823947302001E-3</v>
      </c>
      <c r="I238" t="s">
        <v>36</v>
      </c>
      <c r="J238" t="b">
        <v>0</v>
      </c>
      <c r="K238">
        <v>274.20747934070903</v>
      </c>
      <c r="L238">
        <v>274.50016226753797</v>
      </c>
      <c r="M238">
        <v>16.006299961700901</v>
      </c>
      <c r="N238" t="s">
        <v>26</v>
      </c>
      <c r="O238" t="s">
        <v>26</v>
      </c>
      <c r="P238" t="s">
        <v>339</v>
      </c>
      <c r="Q238">
        <f>-0.0367826711570573 - 0.0325593063675969</f>
        <v>-6.9341977524654208E-2</v>
      </c>
      <c r="R238" t="s">
        <v>27</v>
      </c>
      <c r="S238" t="s">
        <v>37</v>
      </c>
      <c r="T238" t="s">
        <v>38</v>
      </c>
      <c r="U238" t="s">
        <v>244</v>
      </c>
      <c r="V238">
        <v>3.5636633943158</v>
      </c>
      <c r="W238">
        <v>1.7689279980779099E-2</v>
      </c>
      <c r="X238" t="s">
        <v>30</v>
      </c>
      <c r="Y238" t="s">
        <v>31</v>
      </c>
    </row>
    <row r="239" spans="1:25" x14ac:dyDescent="0.2">
      <c r="A239" t="s">
        <v>306</v>
      </c>
      <c r="B239" t="s">
        <v>128</v>
      </c>
      <c r="C239" t="s">
        <v>24</v>
      </c>
      <c r="D239">
        <v>6.0570673943959995E-4</v>
      </c>
      <c r="E239">
        <v>0.88017984742519095</v>
      </c>
      <c r="F239" t="s">
        <v>35</v>
      </c>
      <c r="G239">
        <v>48</v>
      </c>
      <c r="H239">
        <v>-2.8809166616598002E-3</v>
      </c>
      <c r="I239" t="s">
        <v>39</v>
      </c>
      <c r="J239" t="b">
        <v>0</v>
      </c>
      <c r="K239">
        <v>257.63377295386903</v>
      </c>
      <c r="L239">
        <v>257.95809727819397</v>
      </c>
      <c r="M239">
        <v>19.751518996500899</v>
      </c>
      <c r="N239" t="s">
        <v>26</v>
      </c>
      <c r="O239" t="s">
        <v>26</v>
      </c>
      <c r="P239" t="s">
        <v>323</v>
      </c>
      <c r="Q239">
        <f>-0.0400885629569 - 0.0343267296335803</f>
        <v>-7.4415292590480298E-2</v>
      </c>
      <c r="R239" t="s">
        <v>33</v>
      </c>
      <c r="S239" t="s">
        <v>40</v>
      </c>
      <c r="T239" t="s">
        <v>41</v>
      </c>
      <c r="U239" t="s">
        <v>232</v>
      </c>
      <c r="V239">
        <v>3.8213307973304498</v>
      </c>
      <c r="W239">
        <v>1.89834930077756E-2</v>
      </c>
      <c r="X239" t="s">
        <v>30</v>
      </c>
      <c r="Y239" t="s">
        <v>31</v>
      </c>
    </row>
    <row r="240" spans="1:25" x14ac:dyDescent="0.2">
      <c r="A240" t="s">
        <v>306</v>
      </c>
      <c r="B240" t="s">
        <v>99</v>
      </c>
      <c r="C240" t="s">
        <v>24</v>
      </c>
      <c r="D240">
        <v>3.02490180642149E-2</v>
      </c>
      <c r="E240">
        <v>0.28313292957981301</v>
      </c>
      <c r="F240" t="s">
        <v>35</v>
      </c>
      <c r="G240">
        <v>32</v>
      </c>
      <c r="H240">
        <v>4.4448119579827097E-2</v>
      </c>
      <c r="I240" t="s">
        <v>42</v>
      </c>
      <c r="J240" t="b">
        <v>0</v>
      </c>
      <c r="K240">
        <v>256.42937016015799</v>
      </c>
      <c r="L240">
        <v>256.75369448448203</v>
      </c>
      <c r="M240">
        <v>18.713344276442999</v>
      </c>
      <c r="N240" t="s">
        <v>26</v>
      </c>
      <c r="O240" t="s">
        <v>26</v>
      </c>
      <c r="P240" t="s">
        <v>358</v>
      </c>
      <c r="Q240">
        <f>-0.0355706997066284 - 0.124466938866283</f>
        <v>-0.16003763857291139</v>
      </c>
      <c r="R240" t="s">
        <v>33</v>
      </c>
      <c r="S240" t="s">
        <v>43</v>
      </c>
      <c r="T240" t="s">
        <v>26</v>
      </c>
      <c r="U240" t="s">
        <v>44</v>
      </c>
      <c r="V240">
        <v>3.4277407459460298</v>
      </c>
      <c r="W240">
        <v>4.0825928207375198E-2</v>
      </c>
      <c r="X240" t="s">
        <v>30</v>
      </c>
      <c r="Y240" t="s">
        <v>31</v>
      </c>
    </row>
    <row r="241" spans="1:25" x14ac:dyDescent="0.2">
      <c r="A241" t="s">
        <v>306</v>
      </c>
      <c r="B241" t="s">
        <v>99</v>
      </c>
      <c r="C241" t="s">
        <v>24</v>
      </c>
      <c r="D241">
        <v>2.8759129702192101E-2</v>
      </c>
      <c r="E241">
        <v>0.29549574965366998</v>
      </c>
      <c r="F241" t="s">
        <v>35</v>
      </c>
      <c r="G241">
        <v>32</v>
      </c>
      <c r="H241">
        <v>4.3939851165591903E-2</v>
      </c>
      <c r="I241" t="s">
        <v>36</v>
      </c>
      <c r="J241" t="b">
        <v>0</v>
      </c>
      <c r="K241">
        <v>253.988157575646</v>
      </c>
      <c r="L241">
        <v>254.31248189997001</v>
      </c>
      <c r="M241">
        <v>16.272131691931001</v>
      </c>
      <c r="N241" t="s">
        <v>26</v>
      </c>
      <c r="O241" t="s">
        <v>26</v>
      </c>
      <c r="P241" t="s">
        <v>358</v>
      </c>
      <c r="Q241">
        <f>-0.0372493857521636 - 0.125129088083347</f>
        <v>-0.1623784738355106</v>
      </c>
      <c r="R241" t="s">
        <v>33</v>
      </c>
      <c r="S241" t="s">
        <v>37</v>
      </c>
      <c r="T241" t="s">
        <v>38</v>
      </c>
      <c r="U241" t="s">
        <v>200</v>
      </c>
      <c r="V241">
        <v>3.40108618481865</v>
      </c>
      <c r="W241">
        <v>4.1423080060079401E-2</v>
      </c>
      <c r="X241" t="s">
        <v>30</v>
      </c>
      <c r="Y241" t="s">
        <v>31</v>
      </c>
    </row>
    <row r="242" spans="1:25" x14ac:dyDescent="0.2">
      <c r="A242" t="s">
        <v>306</v>
      </c>
      <c r="B242" t="s">
        <v>69</v>
      </c>
      <c r="C242" t="s">
        <v>24</v>
      </c>
      <c r="D242">
        <v>3.0828161253269801E-2</v>
      </c>
      <c r="E242">
        <v>0.26604670844682998</v>
      </c>
      <c r="F242" t="s">
        <v>35</v>
      </c>
      <c r="G242">
        <v>46</v>
      </c>
      <c r="H242">
        <v>1.9293556124836801E-2</v>
      </c>
      <c r="I242" t="s">
        <v>36</v>
      </c>
      <c r="J242" t="b">
        <v>0</v>
      </c>
      <c r="K242">
        <v>263.00408917853503</v>
      </c>
      <c r="L242">
        <v>263.31178148622701</v>
      </c>
      <c r="M242">
        <v>15.045082032657</v>
      </c>
      <c r="N242" t="s">
        <v>26</v>
      </c>
      <c r="O242" t="s">
        <v>26</v>
      </c>
      <c r="P242" t="s">
        <v>343</v>
      </c>
      <c r="Q242">
        <f>-0.0142311469952762 - 0.0528182592449498</f>
        <v>-6.7049406240225998E-2</v>
      </c>
      <c r="R242" t="s">
        <v>34</v>
      </c>
      <c r="S242" t="s">
        <v>37</v>
      </c>
      <c r="T242" t="s">
        <v>38</v>
      </c>
      <c r="U242" t="s">
        <v>197</v>
      </c>
      <c r="V242">
        <v>3.5040501982419499</v>
      </c>
      <c r="W242">
        <v>1.7104440367404598E-2</v>
      </c>
      <c r="X242" t="s">
        <v>30</v>
      </c>
      <c r="Y242" t="s">
        <v>31</v>
      </c>
    </row>
    <row r="243" spans="1:25" x14ac:dyDescent="0.2">
      <c r="A243" t="s">
        <v>306</v>
      </c>
      <c r="B243" t="s">
        <v>126</v>
      </c>
      <c r="C243" t="s">
        <v>24</v>
      </c>
      <c r="D243">
        <v>3.57348252243695E-2</v>
      </c>
      <c r="E243">
        <v>0.219092410505487</v>
      </c>
      <c r="F243" t="s">
        <v>35</v>
      </c>
      <c r="G243">
        <v>53</v>
      </c>
      <c r="H243">
        <v>4.03268802651588E-2</v>
      </c>
      <c r="I243" t="s">
        <v>42</v>
      </c>
      <c r="J243" t="b">
        <v>0</v>
      </c>
      <c r="K243">
        <v>274.069820642541</v>
      </c>
      <c r="L243">
        <v>274.36250356937001</v>
      </c>
      <c r="M243">
        <v>16.0106910446519</v>
      </c>
      <c r="N243" t="s">
        <v>26</v>
      </c>
      <c r="O243" t="s">
        <v>26</v>
      </c>
      <c r="P243" t="s">
        <v>357</v>
      </c>
      <c r="Q243">
        <f>-0.0230277647475521 - 0.10368152527787</f>
        <v>-0.12670929002542211</v>
      </c>
      <c r="R243" t="s">
        <v>27</v>
      </c>
      <c r="S243" t="s">
        <v>43</v>
      </c>
      <c r="T243" t="s">
        <v>26</v>
      </c>
      <c r="U243" t="s">
        <v>44</v>
      </c>
      <c r="V243">
        <v>3.5179936905424301</v>
      </c>
      <c r="W243">
        <v>3.2323798475872897E-2</v>
      </c>
      <c r="X243" t="s">
        <v>30</v>
      </c>
      <c r="Y243" t="s">
        <v>31</v>
      </c>
    </row>
    <row r="244" spans="1:25" x14ac:dyDescent="0.2">
      <c r="A244" t="s">
        <v>306</v>
      </c>
      <c r="B244" t="s">
        <v>126</v>
      </c>
      <c r="C244" t="s">
        <v>24</v>
      </c>
      <c r="D244">
        <v>3.6537844108406298E-2</v>
      </c>
      <c r="E244">
        <v>0.213892044226346</v>
      </c>
      <c r="F244" t="s">
        <v>35</v>
      </c>
      <c r="G244">
        <v>53</v>
      </c>
      <c r="H244">
        <v>4.1101872352294601E-2</v>
      </c>
      <c r="I244" t="s">
        <v>36</v>
      </c>
      <c r="J244" t="b">
        <v>0</v>
      </c>
      <c r="K244">
        <v>272.58463469780702</v>
      </c>
      <c r="L244">
        <v>272.87731762463699</v>
      </c>
      <c r="M244">
        <v>14.525505099918901</v>
      </c>
      <c r="N244" t="s">
        <v>26</v>
      </c>
      <c r="O244" t="s">
        <v>26</v>
      </c>
      <c r="P244" t="s">
        <v>357</v>
      </c>
      <c r="Q244">
        <f>-0.0227301939738057 - 0.104933938678395</f>
        <v>-0.1276641326522007</v>
      </c>
      <c r="R244" t="s">
        <v>27</v>
      </c>
      <c r="S244" t="s">
        <v>37</v>
      </c>
      <c r="T244" t="s">
        <v>38</v>
      </c>
      <c r="U244" t="s">
        <v>190</v>
      </c>
      <c r="V244">
        <v>3.4871072094856199</v>
      </c>
      <c r="W244">
        <v>3.2567380778622597E-2</v>
      </c>
      <c r="X244" t="s">
        <v>30</v>
      </c>
      <c r="Y244" t="s">
        <v>31</v>
      </c>
    </row>
    <row r="245" spans="1:25" x14ac:dyDescent="0.2">
      <c r="A245" t="s">
        <v>306</v>
      </c>
      <c r="B245" t="s">
        <v>166</v>
      </c>
      <c r="C245" t="s">
        <v>24</v>
      </c>
      <c r="D245">
        <v>2.2299822288740501E-2</v>
      </c>
      <c r="E245">
        <v>0.34523209157583901</v>
      </c>
      <c r="F245" t="s">
        <v>35</v>
      </c>
      <c r="G245">
        <v>4</v>
      </c>
      <c r="H245">
        <v>2.6539158073670799E-2</v>
      </c>
      <c r="I245" t="s">
        <v>36</v>
      </c>
      <c r="J245" t="b">
        <v>0</v>
      </c>
      <c r="K245">
        <v>263.39063889742698</v>
      </c>
      <c r="L245">
        <v>263.69833120511902</v>
      </c>
      <c r="M245">
        <v>16.770749976579999</v>
      </c>
      <c r="N245" t="s">
        <v>26</v>
      </c>
      <c r="O245" t="s">
        <v>26</v>
      </c>
      <c r="P245" t="s">
        <v>334</v>
      </c>
      <c r="Q245">
        <f>-0.0279193027939951 - 0.0809976189413368</f>
        <v>-0.10891692173533189</v>
      </c>
      <c r="R245" t="s">
        <v>34</v>
      </c>
      <c r="S245" t="s">
        <v>37</v>
      </c>
      <c r="T245" t="s">
        <v>38</v>
      </c>
      <c r="U245" t="s">
        <v>289</v>
      </c>
      <c r="V245">
        <v>3.35682069737928</v>
      </c>
      <c r="W245">
        <v>2.7784929014115299E-2</v>
      </c>
      <c r="X245" t="s">
        <v>30</v>
      </c>
      <c r="Y245" t="s">
        <v>31</v>
      </c>
    </row>
    <row r="246" spans="1:25" x14ac:dyDescent="0.2">
      <c r="A246" t="s">
        <v>306</v>
      </c>
      <c r="B246" t="s">
        <v>115</v>
      </c>
      <c r="C246" t="s">
        <v>24</v>
      </c>
      <c r="D246">
        <v>0.21851800531148999</v>
      </c>
      <c r="E246">
        <v>1.8005042945986999E-3</v>
      </c>
      <c r="F246" t="s">
        <v>35</v>
      </c>
      <c r="G246">
        <v>43</v>
      </c>
      <c r="H246">
        <v>3.3470187011182699E-2</v>
      </c>
      <c r="I246" t="s">
        <v>42</v>
      </c>
      <c r="J246" t="b">
        <v>0</v>
      </c>
      <c r="K246">
        <v>255.57533102374299</v>
      </c>
      <c r="L246">
        <v>255.883023331435</v>
      </c>
      <c r="M246">
        <v>13.136247594286001</v>
      </c>
      <c r="N246" t="s">
        <v>26</v>
      </c>
      <c r="O246" t="s">
        <v>26</v>
      </c>
      <c r="P246" t="s">
        <v>360</v>
      </c>
      <c r="Q246" t="s">
        <v>247</v>
      </c>
      <c r="R246" t="s">
        <v>34</v>
      </c>
      <c r="S246" t="s">
        <v>43</v>
      </c>
      <c r="T246" t="s">
        <v>26</v>
      </c>
      <c r="U246" t="s">
        <v>44</v>
      </c>
      <c r="V246">
        <v>3.30445257973216</v>
      </c>
      <c r="W246">
        <v>1.0007924438304E-2</v>
      </c>
      <c r="X246" t="s">
        <v>30</v>
      </c>
      <c r="Y246" t="s">
        <v>31</v>
      </c>
    </row>
    <row r="247" spans="1:25" x14ac:dyDescent="0.2">
      <c r="A247" t="s">
        <v>306</v>
      </c>
      <c r="B247" t="s">
        <v>105</v>
      </c>
      <c r="C247" t="s">
        <v>24</v>
      </c>
      <c r="D247">
        <v>7.5496468477031703E-2</v>
      </c>
      <c r="E247">
        <v>8.6185911478320804E-2</v>
      </c>
      <c r="F247" t="s">
        <v>35</v>
      </c>
      <c r="G247">
        <v>47</v>
      </c>
      <c r="H247">
        <v>-8.6621045757687296E-2</v>
      </c>
      <c r="I247" t="s">
        <v>39</v>
      </c>
      <c r="J247" t="b">
        <v>0</v>
      </c>
      <c r="K247">
        <v>251.56346808497599</v>
      </c>
      <c r="L247">
        <v>251.8877924093</v>
      </c>
      <c r="M247">
        <v>14.395852024652999</v>
      </c>
      <c r="N247" t="s">
        <v>26</v>
      </c>
      <c r="O247" t="s">
        <v>26</v>
      </c>
      <c r="P247" t="s">
        <v>335</v>
      </c>
      <c r="Q247">
        <f>-0.182999213223025 - 0.00975712170765047</f>
        <v>-0.19275633493067548</v>
      </c>
      <c r="R247" t="s">
        <v>32</v>
      </c>
      <c r="S247" t="s">
        <v>40</v>
      </c>
      <c r="T247" t="s">
        <v>41</v>
      </c>
      <c r="U247" t="s">
        <v>207</v>
      </c>
      <c r="V247">
        <v>4.3738474119747197</v>
      </c>
      <c r="W247">
        <v>4.9172534421090701E-2</v>
      </c>
      <c r="X247" t="s">
        <v>30</v>
      </c>
      <c r="Y247" t="s">
        <v>31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D0C9-1230-5144-BD4A-EED3D182423C}">
  <dimension ref="A1:Y247"/>
  <sheetViews>
    <sheetView workbookViewId="0">
      <selection activeCell="A2" sqref="A2:K2"/>
    </sheetView>
  </sheetViews>
  <sheetFormatPr baseColWidth="10" defaultRowHeight="16" x14ac:dyDescent="0.2"/>
  <sheetData>
    <row r="1" spans="1:25" ht="21" x14ac:dyDescent="0.2">
      <c r="A1" s="3" t="s">
        <v>304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5" ht="85.25" customHeight="1" x14ac:dyDescent="0.2">
      <c r="A2" s="5" t="s">
        <v>617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5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5" x14ac:dyDescent="0.2">
      <c r="A4" t="s">
        <v>368</v>
      </c>
      <c r="B4" t="s">
        <v>136</v>
      </c>
      <c r="C4" t="s">
        <v>24</v>
      </c>
      <c r="D4">
        <v>7.3475834207021003E-3</v>
      </c>
      <c r="E4">
        <v>0.59895263656172704</v>
      </c>
      <c r="F4">
        <v>0.95251268271506895</v>
      </c>
      <c r="G4">
        <v>59</v>
      </c>
      <c r="H4">
        <v>6.0586647120981999E-3</v>
      </c>
      <c r="I4" t="s">
        <v>25</v>
      </c>
      <c r="J4" t="b">
        <v>1</v>
      </c>
      <c r="K4">
        <v>237.37792937460699</v>
      </c>
      <c r="L4">
        <v>237.702253698931</v>
      </c>
      <c r="M4">
        <v>0</v>
      </c>
      <c r="N4" t="s">
        <v>26</v>
      </c>
      <c r="O4" t="s">
        <v>26</v>
      </c>
      <c r="P4" t="s">
        <v>369</v>
      </c>
      <c r="Q4">
        <f>-0.0163320280935091 - 0.0284493575177057</f>
        <v>-4.4781385611214801E-2</v>
      </c>
      <c r="R4" t="s">
        <v>32</v>
      </c>
      <c r="S4" t="s">
        <v>28</v>
      </c>
      <c r="T4" t="s">
        <v>29</v>
      </c>
      <c r="U4" t="s">
        <v>370</v>
      </c>
      <c r="V4">
        <v>2.6423393782730802</v>
      </c>
      <c r="W4">
        <v>1.1423822860003799E-2</v>
      </c>
      <c r="X4" t="s">
        <v>371</v>
      </c>
      <c r="Y4" t="s">
        <v>31</v>
      </c>
    </row>
    <row r="5" spans="1:25" x14ac:dyDescent="0.2">
      <c r="A5" t="s">
        <v>368</v>
      </c>
      <c r="B5" t="s">
        <v>134</v>
      </c>
      <c r="C5" t="s">
        <v>24</v>
      </c>
      <c r="D5">
        <v>2.75951094904918E-2</v>
      </c>
      <c r="E5">
        <v>0.53864254325886196</v>
      </c>
      <c r="F5">
        <v>0.95251268271506895</v>
      </c>
      <c r="G5">
        <v>22</v>
      </c>
      <c r="H5">
        <v>2.67313633489276E-2</v>
      </c>
      <c r="I5" t="s">
        <v>25</v>
      </c>
      <c r="J5" t="b">
        <v>1</v>
      </c>
      <c r="K5">
        <v>105.96399565932199</v>
      </c>
      <c r="L5">
        <v>106.887072582399</v>
      </c>
      <c r="M5">
        <v>0</v>
      </c>
      <c r="N5" t="s">
        <v>26</v>
      </c>
      <c r="O5" t="s">
        <v>26</v>
      </c>
      <c r="P5" t="s">
        <v>372</v>
      </c>
      <c r="Q5">
        <f>-0.0563915333082494 - 0.109854260006105</f>
        <v>-0.16624579331435441</v>
      </c>
      <c r="R5" t="s">
        <v>27</v>
      </c>
      <c r="S5" t="s">
        <v>28</v>
      </c>
      <c r="T5" t="s">
        <v>29</v>
      </c>
      <c r="U5" t="s">
        <v>373</v>
      </c>
      <c r="V5">
        <v>3.6098154093773802</v>
      </c>
      <c r="W5">
        <v>4.2409641151620901E-2</v>
      </c>
      <c r="X5" t="s">
        <v>371</v>
      </c>
      <c r="Y5" t="s">
        <v>31</v>
      </c>
    </row>
    <row r="6" spans="1:25" x14ac:dyDescent="0.2">
      <c r="A6" t="s">
        <v>368</v>
      </c>
      <c r="B6" t="s">
        <v>86</v>
      </c>
      <c r="C6" t="s">
        <v>24</v>
      </c>
      <c r="D6">
        <v>3.9879942777263901E-2</v>
      </c>
      <c r="E6">
        <v>0.22289312833216199</v>
      </c>
      <c r="F6">
        <v>0.95251268271506895</v>
      </c>
      <c r="G6">
        <v>28</v>
      </c>
      <c r="H6">
        <v>-1.7985607503461402E-2</v>
      </c>
      <c r="I6" t="s">
        <v>25</v>
      </c>
      <c r="J6" t="b">
        <v>1</v>
      </c>
      <c r="K6">
        <v>231.210791359057</v>
      </c>
      <c r="L6">
        <v>231.54412469239</v>
      </c>
      <c r="M6">
        <v>0</v>
      </c>
      <c r="N6" t="s">
        <v>26</v>
      </c>
      <c r="O6" t="s">
        <v>26</v>
      </c>
      <c r="P6" t="s">
        <v>374</v>
      </c>
      <c r="Q6">
        <f>-0.0464214322468513 - 0.0104502172399286</f>
        <v>-5.6871649486779904E-2</v>
      </c>
      <c r="R6" t="s">
        <v>33</v>
      </c>
      <c r="S6" t="s">
        <v>28</v>
      </c>
      <c r="T6" t="s">
        <v>29</v>
      </c>
      <c r="U6" t="s">
        <v>375</v>
      </c>
      <c r="V6">
        <v>4.1192626208163796</v>
      </c>
      <c r="W6">
        <v>1.4508073848668399E-2</v>
      </c>
      <c r="X6" t="s">
        <v>371</v>
      </c>
      <c r="Y6" t="s">
        <v>31</v>
      </c>
    </row>
    <row r="7" spans="1:25" x14ac:dyDescent="0.2">
      <c r="A7" t="s">
        <v>368</v>
      </c>
      <c r="B7" t="s">
        <v>166</v>
      </c>
      <c r="C7" t="s">
        <v>24</v>
      </c>
      <c r="D7">
        <v>2.5013617197905E-2</v>
      </c>
      <c r="E7">
        <v>0.45020638292896897</v>
      </c>
      <c r="F7">
        <v>0.95251268271506895</v>
      </c>
      <c r="G7">
        <v>48</v>
      </c>
      <c r="H7">
        <v>1.8896764237510199E-2</v>
      </c>
      <c r="I7" t="s">
        <v>25</v>
      </c>
      <c r="J7" t="b">
        <v>1</v>
      </c>
      <c r="K7">
        <v>158.338321500571</v>
      </c>
      <c r="L7">
        <v>158.88377604602599</v>
      </c>
      <c r="M7">
        <v>0</v>
      </c>
      <c r="N7" t="s">
        <v>26</v>
      </c>
      <c r="O7" t="s">
        <v>26</v>
      </c>
      <c r="P7" t="s">
        <v>376</v>
      </c>
      <c r="Q7">
        <f>-0.0293191741504308 - 0.0671127026254512</f>
        <v>-9.6431876775881997E-2</v>
      </c>
      <c r="R7" t="s">
        <v>34</v>
      </c>
      <c r="S7" t="s">
        <v>28</v>
      </c>
      <c r="T7" t="s">
        <v>29</v>
      </c>
      <c r="U7" t="s">
        <v>377</v>
      </c>
      <c r="V7">
        <v>3.7955096218902402</v>
      </c>
      <c r="W7">
        <v>2.4599968565275999E-2</v>
      </c>
      <c r="X7" t="s">
        <v>371</v>
      </c>
      <c r="Y7" t="s">
        <v>31</v>
      </c>
    </row>
    <row r="8" spans="1:25" x14ac:dyDescent="0.2">
      <c r="A8" t="s">
        <v>368</v>
      </c>
      <c r="B8" t="s">
        <v>84</v>
      </c>
      <c r="C8" t="s">
        <v>24</v>
      </c>
      <c r="D8">
        <v>7.4889128814270003E-4</v>
      </c>
      <c r="E8">
        <v>0.86688223727888203</v>
      </c>
      <c r="F8">
        <v>0.957487182494553</v>
      </c>
      <c r="G8">
        <v>13</v>
      </c>
      <c r="H8">
        <v>1.7826015747983001E-3</v>
      </c>
      <c r="I8" t="s">
        <v>25</v>
      </c>
      <c r="J8" t="b">
        <v>1</v>
      </c>
      <c r="K8">
        <v>237.82755691007199</v>
      </c>
      <c r="L8">
        <v>238.151881234397</v>
      </c>
      <c r="M8">
        <v>0</v>
      </c>
      <c r="N8" t="s">
        <v>26</v>
      </c>
      <c r="O8" t="s">
        <v>26</v>
      </c>
      <c r="P8" t="s">
        <v>378</v>
      </c>
      <c r="Q8">
        <f>-0.0189210280153824 - 0.0224862311649791</f>
        <v>-4.1407259180361498E-2</v>
      </c>
      <c r="R8" t="s">
        <v>34</v>
      </c>
      <c r="S8" t="s">
        <v>28</v>
      </c>
      <c r="T8" t="s">
        <v>29</v>
      </c>
      <c r="U8" t="s">
        <v>379</v>
      </c>
      <c r="V8">
        <v>3.05827757907229</v>
      </c>
      <c r="W8">
        <v>1.0563076321520801E-2</v>
      </c>
      <c r="X8" t="s">
        <v>371</v>
      </c>
      <c r="Y8" t="s">
        <v>31</v>
      </c>
    </row>
    <row r="9" spans="1:25" x14ac:dyDescent="0.2">
      <c r="A9" t="s">
        <v>368</v>
      </c>
      <c r="B9" t="s">
        <v>79</v>
      </c>
      <c r="C9" t="s">
        <v>24</v>
      </c>
      <c r="D9">
        <v>3.8664209912430002E-3</v>
      </c>
      <c r="E9">
        <v>0.70308219518255599</v>
      </c>
      <c r="F9">
        <v>0.95251268271506895</v>
      </c>
      <c r="G9">
        <v>59</v>
      </c>
      <c r="H9">
        <v>-3.9649190259627397E-2</v>
      </c>
      <c r="I9" t="s">
        <v>25</v>
      </c>
      <c r="J9" t="b">
        <v>1</v>
      </c>
      <c r="K9">
        <v>238.28160896172099</v>
      </c>
      <c r="L9">
        <v>238.605933286045</v>
      </c>
      <c r="M9">
        <v>0</v>
      </c>
      <c r="N9" t="s">
        <v>26</v>
      </c>
      <c r="O9" t="s">
        <v>26</v>
      </c>
      <c r="P9" t="s">
        <v>380</v>
      </c>
      <c r="Q9">
        <f>-0.241999007015255 - 0.162700626496001</f>
        <v>-0.40469963351125604</v>
      </c>
      <c r="R9" t="s">
        <v>27</v>
      </c>
      <c r="S9" t="s">
        <v>28</v>
      </c>
      <c r="T9" t="s">
        <v>29</v>
      </c>
      <c r="U9" t="s">
        <v>381</v>
      </c>
      <c r="V9">
        <v>3.3678310440520001</v>
      </c>
      <c r="W9">
        <v>0.10323970242634101</v>
      </c>
      <c r="X9" t="s">
        <v>371</v>
      </c>
      <c r="Y9" t="s">
        <v>31</v>
      </c>
    </row>
    <row r="10" spans="1:25" x14ac:dyDescent="0.2">
      <c r="A10" t="s">
        <v>368</v>
      </c>
      <c r="B10" t="s">
        <v>103</v>
      </c>
      <c r="C10" t="s">
        <v>24</v>
      </c>
      <c r="D10">
        <v>4.411195444551E-4</v>
      </c>
      <c r="E10">
        <v>0.89365470366158295</v>
      </c>
      <c r="F10">
        <v>0.957487182494553</v>
      </c>
      <c r="G10">
        <v>57</v>
      </c>
      <c r="H10">
        <v>-1.7582399354370999E-3</v>
      </c>
      <c r="I10" t="s">
        <v>25</v>
      </c>
      <c r="J10" t="b">
        <v>1</v>
      </c>
      <c r="K10">
        <v>253.28758650440301</v>
      </c>
      <c r="L10">
        <v>253.58758650440299</v>
      </c>
      <c r="M10">
        <v>0</v>
      </c>
      <c r="N10" t="s">
        <v>26</v>
      </c>
      <c r="O10" t="s">
        <v>26</v>
      </c>
      <c r="P10" t="s">
        <v>382</v>
      </c>
      <c r="Q10">
        <f>-0.0273776027401418 - 0.0238611228692676</f>
        <v>-5.1238725609409397E-2</v>
      </c>
      <c r="R10" t="s">
        <v>27</v>
      </c>
      <c r="S10" t="s">
        <v>28</v>
      </c>
      <c r="T10" t="s">
        <v>29</v>
      </c>
      <c r="U10" t="s">
        <v>383</v>
      </c>
      <c r="V10">
        <v>3.1366344319731501</v>
      </c>
      <c r="W10">
        <v>1.30711034717881E-2</v>
      </c>
      <c r="X10" t="s">
        <v>371</v>
      </c>
      <c r="Y10" t="s">
        <v>31</v>
      </c>
    </row>
    <row r="11" spans="1:25" x14ac:dyDescent="0.2">
      <c r="A11" t="s">
        <v>368</v>
      </c>
      <c r="B11" t="s">
        <v>145</v>
      </c>
      <c r="C11" t="s">
        <v>24</v>
      </c>
      <c r="D11">
        <v>1.9792822131575001E-3</v>
      </c>
      <c r="E11">
        <v>0.80271546764368795</v>
      </c>
      <c r="F11">
        <v>0.95251268271506895</v>
      </c>
      <c r="G11">
        <v>66</v>
      </c>
      <c r="H11">
        <v>-5.7866123103013003E-3</v>
      </c>
      <c r="I11" t="s">
        <v>25</v>
      </c>
      <c r="J11" t="b">
        <v>1</v>
      </c>
      <c r="K11">
        <v>205.6837682391</v>
      </c>
      <c r="L11">
        <v>206.070865013293</v>
      </c>
      <c r="M11">
        <v>0</v>
      </c>
      <c r="N11" t="s">
        <v>26</v>
      </c>
      <c r="O11" t="s">
        <v>26</v>
      </c>
      <c r="P11" t="s">
        <v>384</v>
      </c>
      <c r="Q11">
        <f>-0.0508082601182367 - 0.0392350354976339</f>
        <v>-9.00432956158706E-2</v>
      </c>
      <c r="R11" t="s">
        <v>34</v>
      </c>
      <c r="S11" t="s">
        <v>28</v>
      </c>
      <c r="T11" t="s">
        <v>29</v>
      </c>
      <c r="U11" t="s">
        <v>385</v>
      </c>
      <c r="V11">
        <v>3.3939140087267399</v>
      </c>
      <c r="W11">
        <v>2.29702284734364E-2</v>
      </c>
      <c r="X11" t="s">
        <v>371</v>
      </c>
      <c r="Y11" t="s">
        <v>31</v>
      </c>
    </row>
    <row r="12" spans="1:25" x14ac:dyDescent="0.2">
      <c r="A12" t="s">
        <v>368</v>
      </c>
      <c r="B12" t="s">
        <v>59</v>
      </c>
      <c r="C12" t="s">
        <v>24</v>
      </c>
      <c r="D12">
        <v>1.20324938078841E-2</v>
      </c>
      <c r="E12">
        <v>0.52421918799601197</v>
      </c>
      <c r="F12">
        <v>0.95251268271506895</v>
      </c>
      <c r="G12">
        <v>20</v>
      </c>
      <c r="H12">
        <v>-7.2379834557952001E-3</v>
      </c>
      <c r="I12" t="s">
        <v>25</v>
      </c>
      <c r="J12" t="b">
        <v>1</v>
      </c>
      <c r="K12">
        <v>196.89816129098699</v>
      </c>
      <c r="L12">
        <v>197.26179765462399</v>
      </c>
      <c r="M12">
        <v>0</v>
      </c>
      <c r="N12" t="s">
        <v>26</v>
      </c>
      <c r="O12" t="s">
        <v>26</v>
      </c>
      <c r="P12" t="s">
        <v>386</v>
      </c>
      <c r="Q12">
        <f>-0.0292838770040489 - 0.0148079100924585</f>
        <v>-4.40917870965074E-2</v>
      </c>
      <c r="R12" t="s">
        <v>27</v>
      </c>
      <c r="S12" t="s">
        <v>28</v>
      </c>
      <c r="T12" t="s">
        <v>29</v>
      </c>
      <c r="U12" t="s">
        <v>387</v>
      </c>
      <c r="V12">
        <v>2.87974125887752</v>
      </c>
      <c r="W12">
        <v>1.1247904871558001E-2</v>
      </c>
      <c r="X12" t="s">
        <v>371</v>
      </c>
      <c r="Y12" t="s">
        <v>31</v>
      </c>
    </row>
    <row r="13" spans="1:25" x14ac:dyDescent="0.2">
      <c r="A13" t="s">
        <v>368</v>
      </c>
      <c r="B13" t="s">
        <v>128</v>
      </c>
      <c r="C13" t="s">
        <v>24</v>
      </c>
      <c r="D13">
        <v>5.6837225599285897E-2</v>
      </c>
      <c r="E13">
        <v>0.41175968330648699</v>
      </c>
      <c r="F13">
        <v>0.95251268271506895</v>
      </c>
      <c r="G13">
        <v>67</v>
      </c>
      <c r="H13">
        <v>-7.2278152846229002E-3</v>
      </c>
      <c r="I13" t="s">
        <v>42</v>
      </c>
      <c r="J13" t="b">
        <v>1</v>
      </c>
      <c r="K13">
        <v>80.928942787803805</v>
      </c>
      <c r="L13">
        <v>82.019851878712899</v>
      </c>
      <c r="M13">
        <v>0</v>
      </c>
      <c r="N13" t="s">
        <v>26</v>
      </c>
      <c r="O13" t="s">
        <v>26</v>
      </c>
      <c r="P13" t="s">
        <v>388</v>
      </c>
      <c r="Q13">
        <f>-0.0238868327629078 - 0.00943120219366198</f>
        <v>-3.3318034956569778E-2</v>
      </c>
      <c r="R13" t="s">
        <v>33</v>
      </c>
      <c r="S13" t="s">
        <v>43</v>
      </c>
      <c r="T13" t="s">
        <v>26</v>
      </c>
      <c r="U13" t="s">
        <v>44</v>
      </c>
      <c r="V13">
        <v>6.9569697604077803</v>
      </c>
      <c r="W13">
        <v>8.4994987134106009E-3</v>
      </c>
      <c r="X13" t="s">
        <v>371</v>
      </c>
      <c r="Y13" t="s">
        <v>31</v>
      </c>
    </row>
    <row r="14" spans="1:25" x14ac:dyDescent="0.2">
      <c r="A14" t="s">
        <v>368</v>
      </c>
      <c r="B14" t="s">
        <v>140</v>
      </c>
      <c r="C14" t="s">
        <v>24</v>
      </c>
      <c r="D14">
        <v>0.17451278099767001</v>
      </c>
      <c r="E14">
        <v>0.40983021492666399</v>
      </c>
      <c r="F14">
        <v>0.95251268271506895</v>
      </c>
      <c r="G14">
        <v>55</v>
      </c>
      <c r="H14">
        <v>-1.02023247303425E-2</v>
      </c>
      <c r="I14" t="s">
        <v>42</v>
      </c>
      <c r="J14" t="b">
        <v>1</v>
      </c>
      <c r="K14">
        <v>38.202554836135398</v>
      </c>
      <c r="L14">
        <v>42.202554836135398</v>
      </c>
      <c r="M14">
        <v>0</v>
      </c>
      <c r="N14" t="s">
        <v>26</v>
      </c>
      <c r="O14" t="s">
        <v>26</v>
      </c>
      <c r="P14" t="s">
        <v>389</v>
      </c>
      <c r="Q14">
        <f>-0.031947693413347 - 0.011543043952662</f>
        <v>-4.3490737366009002E-2</v>
      </c>
      <c r="R14" t="s">
        <v>34</v>
      </c>
      <c r="S14" t="s">
        <v>43</v>
      </c>
      <c r="T14" t="s">
        <v>26</v>
      </c>
      <c r="U14" t="s">
        <v>44</v>
      </c>
      <c r="V14">
        <v>6.7061543627550604</v>
      </c>
      <c r="W14">
        <v>1.1094575858675799E-2</v>
      </c>
      <c r="X14" t="s">
        <v>371</v>
      </c>
      <c r="Y14" t="s">
        <v>31</v>
      </c>
    </row>
    <row r="15" spans="1:25" x14ac:dyDescent="0.2">
      <c r="A15" t="s">
        <v>368</v>
      </c>
      <c r="B15" t="s">
        <v>99</v>
      </c>
      <c r="C15" t="s">
        <v>24</v>
      </c>
      <c r="D15">
        <v>1.5880989783169101E-2</v>
      </c>
      <c r="E15">
        <v>0.53959323962863304</v>
      </c>
      <c r="F15">
        <v>0.95251268271506895</v>
      </c>
      <c r="G15">
        <v>57</v>
      </c>
      <c r="H15">
        <v>2.3278868571857701E-2</v>
      </c>
      <c r="I15" t="s">
        <v>25</v>
      </c>
      <c r="J15" t="b">
        <v>1</v>
      </c>
      <c r="K15">
        <v>145.75527447409101</v>
      </c>
      <c r="L15">
        <v>146.277013604525</v>
      </c>
      <c r="M15">
        <v>0</v>
      </c>
      <c r="N15" t="s">
        <v>26</v>
      </c>
      <c r="O15" t="s">
        <v>26</v>
      </c>
      <c r="P15" t="s">
        <v>390</v>
      </c>
      <c r="Q15">
        <f>-0.0500368923392389 - 0.0965946294829543</f>
        <v>-0.14663152182219319</v>
      </c>
      <c r="R15" t="s">
        <v>33</v>
      </c>
      <c r="S15" t="s">
        <v>28</v>
      </c>
      <c r="T15" t="s">
        <v>29</v>
      </c>
      <c r="U15" t="s">
        <v>391</v>
      </c>
      <c r="V15">
        <v>2.98234524833595</v>
      </c>
      <c r="W15">
        <v>3.7406000464845199E-2</v>
      </c>
      <c r="X15" t="s">
        <v>371</v>
      </c>
      <c r="Y15" t="s">
        <v>31</v>
      </c>
    </row>
    <row r="16" spans="1:25" x14ac:dyDescent="0.2">
      <c r="A16" t="s">
        <v>368</v>
      </c>
      <c r="B16" t="s">
        <v>122</v>
      </c>
      <c r="C16" t="s">
        <v>24</v>
      </c>
      <c r="D16">
        <v>6.3679754280334998E-3</v>
      </c>
      <c r="E16">
        <v>0.71739588228002105</v>
      </c>
      <c r="F16">
        <v>0.95251268271506895</v>
      </c>
      <c r="G16">
        <v>45</v>
      </c>
      <c r="H16">
        <v>-2.3190393828243401E-2</v>
      </c>
      <c r="I16" t="s">
        <v>25</v>
      </c>
      <c r="J16" t="b">
        <v>1</v>
      </c>
      <c r="K16">
        <v>124.435748950217</v>
      </c>
      <c r="L16">
        <v>125.035748950217</v>
      </c>
      <c r="M16">
        <v>0</v>
      </c>
      <c r="N16" t="s">
        <v>26</v>
      </c>
      <c r="O16" t="s">
        <v>26</v>
      </c>
      <c r="P16" t="s">
        <v>392</v>
      </c>
      <c r="Q16">
        <f>-0.147089065052861 - 0.100708277396374</f>
        <v>-0.24779734244923501</v>
      </c>
      <c r="R16" t="s">
        <v>32</v>
      </c>
      <c r="S16" t="s">
        <v>28</v>
      </c>
      <c r="T16" t="s">
        <v>29</v>
      </c>
      <c r="U16" t="s">
        <v>393</v>
      </c>
      <c r="V16">
        <v>2.93022646783727</v>
      </c>
      <c r="W16">
        <v>6.32136077676618E-2</v>
      </c>
      <c r="X16" t="s">
        <v>371</v>
      </c>
      <c r="Y16" t="s">
        <v>31</v>
      </c>
    </row>
    <row r="17" spans="1:25" x14ac:dyDescent="0.2">
      <c r="A17" t="s">
        <v>368</v>
      </c>
      <c r="B17" t="s">
        <v>61</v>
      </c>
      <c r="C17" t="s">
        <v>24</v>
      </c>
      <c r="D17">
        <v>2.1930575406892E-3</v>
      </c>
      <c r="E17">
        <v>0.765550393804175</v>
      </c>
      <c r="F17">
        <v>0.95251268271506895</v>
      </c>
      <c r="G17">
        <v>12</v>
      </c>
      <c r="H17">
        <v>-5.5211781712165998E-3</v>
      </c>
      <c r="I17" t="s">
        <v>25</v>
      </c>
      <c r="J17" t="b">
        <v>1</v>
      </c>
      <c r="K17">
        <v>253.21215379969499</v>
      </c>
      <c r="L17">
        <v>253.512153799695</v>
      </c>
      <c r="M17">
        <v>0</v>
      </c>
      <c r="N17" t="s">
        <v>26</v>
      </c>
      <c r="O17" t="s">
        <v>26</v>
      </c>
      <c r="P17" t="s">
        <v>394</v>
      </c>
      <c r="Q17">
        <f>-0.0415702554239789 - 0.0305278990815456</f>
        <v>-7.2098154505524509E-2</v>
      </c>
      <c r="R17" t="s">
        <v>27</v>
      </c>
      <c r="S17" t="s">
        <v>28</v>
      </c>
      <c r="T17" t="s">
        <v>29</v>
      </c>
      <c r="U17" t="s">
        <v>395</v>
      </c>
      <c r="V17">
        <v>3.2942832290563699</v>
      </c>
      <c r="W17">
        <v>1.8392386353450099E-2</v>
      </c>
      <c r="X17" t="s">
        <v>371</v>
      </c>
      <c r="Y17" t="s">
        <v>31</v>
      </c>
    </row>
    <row r="18" spans="1:25" x14ac:dyDescent="0.2">
      <c r="A18" t="s">
        <v>368</v>
      </c>
      <c r="B18" t="s">
        <v>147</v>
      </c>
      <c r="C18" t="s">
        <v>24</v>
      </c>
      <c r="D18">
        <v>1.96456140730169E-2</v>
      </c>
      <c r="E18">
        <v>0.41488131558673103</v>
      </c>
      <c r="F18">
        <v>0.95251268271506895</v>
      </c>
      <c r="G18">
        <v>45</v>
      </c>
      <c r="H18">
        <v>-3.3025141927281801E-2</v>
      </c>
      <c r="I18" t="s">
        <v>25</v>
      </c>
      <c r="J18" t="b">
        <v>1</v>
      </c>
      <c r="K18">
        <v>215.99015472964501</v>
      </c>
      <c r="L18">
        <v>216.35379109328201</v>
      </c>
      <c r="M18">
        <v>0</v>
      </c>
      <c r="N18" t="s">
        <v>26</v>
      </c>
      <c r="O18" t="s">
        <v>26</v>
      </c>
      <c r="P18" t="s">
        <v>396</v>
      </c>
      <c r="Q18">
        <f>-0.111443916140471 - 0.0453936322859079</f>
        <v>-0.1568375484263789</v>
      </c>
      <c r="R18" t="s">
        <v>32</v>
      </c>
      <c r="S18" t="s">
        <v>28</v>
      </c>
      <c r="T18" t="s">
        <v>29</v>
      </c>
      <c r="U18" t="s">
        <v>397</v>
      </c>
      <c r="V18">
        <v>4.3455731811217699</v>
      </c>
      <c r="W18">
        <v>4.0009578680198797E-2</v>
      </c>
      <c r="X18" t="s">
        <v>371</v>
      </c>
      <c r="Y18" t="s">
        <v>31</v>
      </c>
    </row>
    <row r="19" spans="1:25" x14ac:dyDescent="0.2">
      <c r="A19" t="s">
        <v>368</v>
      </c>
      <c r="B19" t="s">
        <v>53</v>
      </c>
      <c r="C19" t="s">
        <v>24</v>
      </c>
      <c r="D19">
        <v>0.12778815370629601</v>
      </c>
      <c r="E19">
        <v>0.28044876518098399</v>
      </c>
      <c r="F19">
        <v>0.95251268271506895</v>
      </c>
      <c r="G19">
        <v>34</v>
      </c>
      <c r="H19">
        <v>-4.1932114993815297</v>
      </c>
      <c r="I19" t="s">
        <v>25</v>
      </c>
      <c r="J19" t="b">
        <v>1</v>
      </c>
      <c r="K19">
        <v>69.177651166360704</v>
      </c>
      <c r="L19">
        <v>70.677651166360704</v>
      </c>
      <c r="M19">
        <v>0</v>
      </c>
      <c r="N19" t="s">
        <v>26</v>
      </c>
      <c r="O19" t="s">
        <v>26</v>
      </c>
      <c r="P19" t="s">
        <v>398</v>
      </c>
      <c r="Q19">
        <f>-11.3504794673238 - 2.9640564685608</f>
        <v>-14.314535935884599</v>
      </c>
      <c r="R19" t="s">
        <v>33</v>
      </c>
      <c r="S19" t="s">
        <v>28</v>
      </c>
      <c r="T19" t="s">
        <v>29</v>
      </c>
      <c r="U19" t="s">
        <v>399</v>
      </c>
      <c r="V19">
        <v>5.9391205824146596</v>
      </c>
      <c r="W19">
        <v>3.65166733058282</v>
      </c>
      <c r="X19" t="s">
        <v>371</v>
      </c>
      <c r="Y19" t="s">
        <v>31</v>
      </c>
    </row>
    <row r="20" spans="1:25" x14ac:dyDescent="0.2">
      <c r="A20" t="s">
        <v>368</v>
      </c>
      <c r="B20" t="s">
        <v>168</v>
      </c>
      <c r="C20" t="s">
        <v>24</v>
      </c>
      <c r="D20">
        <v>4.6714088605167299E-2</v>
      </c>
      <c r="E20">
        <v>0.31040732778399099</v>
      </c>
      <c r="F20">
        <v>0.95251268271506895</v>
      </c>
      <c r="G20">
        <v>39</v>
      </c>
      <c r="H20">
        <v>-1.63255037768508</v>
      </c>
      <c r="I20" t="s">
        <v>25</v>
      </c>
      <c r="J20" t="b">
        <v>1</v>
      </c>
      <c r="K20">
        <v>151.96679286015899</v>
      </c>
      <c r="L20">
        <v>152.538221431587</v>
      </c>
      <c r="M20">
        <v>0</v>
      </c>
      <c r="N20" t="s">
        <v>26</v>
      </c>
      <c r="O20" t="s">
        <v>26</v>
      </c>
      <c r="P20" t="s">
        <v>400</v>
      </c>
      <c r="Q20">
        <f>-4.71431148480534 - 1.44921072943518</f>
        <v>-6.1635222142405199</v>
      </c>
      <c r="R20" t="s">
        <v>27</v>
      </c>
      <c r="S20" t="s">
        <v>28</v>
      </c>
      <c r="T20" t="s">
        <v>29</v>
      </c>
      <c r="U20" t="s">
        <v>401</v>
      </c>
      <c r="V20">
        <v>4.1938141089744496</v>
      </c>
      <c r="W20">
        <v>1.5723270954695201</v>
      </c>
      <c r="X20" t="s">
        <v>371</v>
      </c>
      <c r="Y20" t="s">
        <v>31</v>
      </c>
    </row>
    <row r="21" spans="1:25" x14ac:dyDescent="0.2">
      <c r="A21" t="s">
        <v>368</v>
      </c>
      <c r="B21" t="s">
        <v>107</v>
      </c>
      <c r="C21" t="s">
        <v>24</v>
      </c>
      <c r="D21">
        <v>6.6267395754053798E-2</v>
      </c>
      <c r="E21">
        <v>0.35431492777289503</v>
      </c>
      <c r="F21">
        <v>0.95251268271506895</v>
      </c>
      <c r="G21">
        <v>42</v>
      </c>
      <c r="H21">
        <v>-0.47104738957161701</v>
      </c>
      <c r="I21" t="s">
        <v>25</v>
      </c>
      <c r="J21" t="b">
        <v>1</v>
      </c>
      <c r="K21">
        <v>91.422032810468593</v>
      </c>
      <c r="L21">
        <v>92.422032810468593</v>
      </c>
      <c r="M21">
        <v>0</v>
      </c>
      <c r="N21" t="s">
        <v>26</v>
      </c>
      <c r="O21" t="s">
        <v>26</v>
      </c>
      <c r="P21" t="s">
        <v>402</v>
      </c>
      <c r="Q21">
        <f>-1.43223974194702 - 0.490144962803785</f>
        <v>-1.9223847047508051</v>
      </c>
      <c r="R21" t="s">
        <v>27</v>
      </c>
      <c r="S21" t="s">
        <v>28</v>
      </c>
      <c r="T21" t="s">
        <v>29</v>
      </c>
      <c r="U21" t="s">
        <v>399</v>
      </c>
      <c r="V21">
        <v>3.9261919901513198</v>
      </c>
      <c r="W21">
        <v>0.490404261416022</v>
      </c>
      <c r="X21" t="s">
        <v>371</v>
      </c>
      <c r="Y21" t="s">
        <v>31</v>
      </c>
    </row>
    <row r="22" spans="1:25" x14ac:dyDescent="0.2">
      <c r="A22" t="s">
        <v>368</v>
      </c>
      <c r="B22" t="s">
        <v>77</v>
      </c>
      <c r="C22" t="s">
        <v>24</v>
      </c>
      <c r="D22">
        <v>5.8279814974872397E-2</v>
      </c>
      <c r="E22">
        <v>0.15606443731300901</v>
      </c>
      <c r="F22">
        <v>0.95251268271506895</v>
      </c>
      <c r="G22">
        <v>10</v>
      </c>
      <c r="H22">
        <v>-4.0477414389013103E-2</v>
      </c>
      <c r="I22" t="s">
        <v>25</v>
      </c>
      <c r="J22" t="b">
        <v>1</v>
      </c>
      <c r="K22">
        <v>213.27740248322701</v>
      </c>
      <c r="L22">
        <v>213.64103884686301</v>
      </c>
      <c r="M22">
        <v>0</v>
      </c>
      <c r="N22" t="s">
        <v>26</v>
      </c>
      <c r="O22" t="s">
        <v>26</v>
      </c>
      <c r="P22" t="s">
        <v>403</v>
      </c>
      <c r="Q22">
        <f>-0.0951703498398876 - 0.0142155210618614</f>
        <v>-0.109385870901749</v>
      </c>
      <c r="R22" t="s">
        <v>34</v>
      </c>
      <c r="S22" t="s">
        <v>28</v>
      </c>
      <c r="T22" t="s">
        <v>29</v>
      </c>
      <c r="U22" t="s">
        <v>404</v>
      </c>
      <c r="V22">
        <v>4.3645871422651004</v>
      </c>
      <c r="W22">
        <v>2.79045589035074E-2</v>
      </c>
      <c r="X22" t="s">
        <v>371</v>
      </c>
      <c r="Y22" t="s">
        <v>31</v>
      </c>
    </row>
    <row r="23" spans="1:25" x14ac:dyDescent="0.2">
      <c r="A23" t="s">
        <v>368</v>
      </c>
      <c r="B23" t="s">
        <v>67</v>
      </c>
      <c r="C23" t="s">
        <v>24</v>
      </c>
      <c r="D23">
        <v>7.5903097116185994E-2</v>
      </c>
      <c r="E23">
        <v>0.47304473926936502</v>
      </c>
      <c r="F23">
        <v>0.95251268271506895</v>
      </c>
      <c r="G23">
        <v>57</v>
      </c>
      <c r="H23">
        <v>-9.4046304584570004E-3</v>
      </c>
      <c r="I23" t="s">
        <v>25</v>
      </c>
      <c r="J23" t="b">
        <v>1</v>
      </c>
      <c r="K23">
        <v>51.416338507841601</v>
      </c>
      <c r="L23">
        <v>53.416338507841601</v>
      </c>
      <c r="M23">
        <v>0</v>
      </c>
      <c r="N23" t="s">
        <v>26</v>
      </c>
      <c r="O23" t="s">
        <v>26</v>
      </c>
      <c r="P23" t="s">
        <v>405</v>
      </c>
      <c r="Q23">
        <f>-0.033714229483875 - 0.0149049685669609</f>
        <v>-4.86191980508359E-2</v>
      </c>
      <c r="R23" t="s">
        <v>33</v>
      </c>
      <c r="S23" t="s">
        <v>28</v>
      </c>
      <c r="T23" t="s">
        <v>29</v>
      </c>
      <c r="U23" t="s">
        <v>406</v>
      </c>
      <c r="V23">
        <v>6.8441938588433802</v>
      </c>
      <c r="W23">
        <v>1.24028566456214E-2</v>
      </c>
      <c r="X23" t="s">
        <v>371</v>
      </c>
      <c r="Y23" t="s">
        <v>31</v>
      </c>
    </row>
    <row r="24" spans="1:25" x14ac:dyDescent="0.2">
      <c r="A24" t="s">
        <v>368</v>
      </c>
      <c r="B24" t="s">
        <v>51</v>
      </c>
      <c r="C24" t="s">
        <v>24</v>
      </c>
      <c r="D24">
        <v>3.2016058005760002E-3</v>
      </c>
      <c r="E24">
        <v>0.77488876351710601</v>
      </c>
      <c r="F24">
        <v>0.95251268271506895</v>
      </c>
      <c r="G24">
        <v>61</v>
      </c>
      <c r="H24">
        <v>-2.5722577327325002E-3</v>
      </c>
      <c r="I24" t="s">
        <v>25</v>
      </c>
      <c r="J24" t="b">
        <v>1</v>
      </c>
      <c r="K24">
        <v>173.937834055656</v>
      </c>
      <c r="L24">
        <v>174.41783405565599</v>
      </c>
      <c r="M24">
        <v>0</v>
      </c>
      <c r="N24" t="s">
        <v>26</v>
      </c>
      <c r="O24" t="s">
        <v>26</v>
      </c>
      <c r="P24" t="s">
        <v>407</v>
      </c>
      <c r="Q24">
        <f>-0.0200185689186152 - 0.0148740534531502</f>
        <v>-3.4892622371765394E-2</v>
      </c>
      <c r="R24" t="s">
        <v>27</v>
      </c>
      <c r="S24" t="s">
        <v>28</v>
      </c>
      <c r="T24" t="s">
        <v>29</v>
      </c>
      <c r="U24" t="s">
        <v>408</v>
      </c>
      <c r="V24">
        <v>3.6101159879455702</v>
      </c>
      <c r="W24">
        <v>8.9011791764706995E-3</v>
      </c>
      <c r="X24" t="s">
        <v>371</v>
      </c>
      <c r="Y24" t="s">
        <v>31</v>
      </c>
    </row>
    <row r="25" spans="1:25" x14ac:dyDescent="0.2">
      <c r="A25" t="s">
        <v>368</v>
      </c>
      <c r="B25" t="s">
        <v>81</v>
      </c>
      <c r="C25" t="s">
        <v>24</v>
      </c>
      <c r="D25">
        <v>0.35015966066920401</v>
      </c>
      <c r="E25">
        <v>1.440227169227E-4</v>
      </c>
      <c r="F25">
        <v>4.3206815076810004E-3</v>
      </c>
      <c r="G25">
        <v>4</v>
      </c>
      <c r="H25">
        <v>1.60315120699249E-2</v>
      </c>
      <c r="I25" t="s">
        <v>25</v>
      </c>
      <c r="J25" t="b">
        <v>1</v>
      </c>
      <c r="K25">
        <v>200.663720957918</v>
      </c>
      <c r="L25">
        <v>201.027357321555</v>
      </c>
      <c r="M25">
        <v>0</v>
      </c>
      <c r="N25" t="s">
        <v>26</v>
      </c>
      <c r="O25" t="s">
        <v>26</v>
      </c>
      <c r="P25" t="s">
        <v>409</v>
      </c>
      <c r="Q25" t="s">
        <v>410</v>
      </c>
      <c r="R25" t="s">
        <v>33</v>
      </c>
      <c r="S25" t="s">
        <v>28</v>
      </c>
      <c r="T25" t="s">
        <v>29</v>
      </c>
      <c r="U25" t="s">
        <v>411</v>
      </c>
      <c r="V25">
        <v>1.4076463554979199</v>
      </c>
      <c r="W25">
        <v>3.7454612212419998E-3</v>
      </c>
      <c r="X25" t="s">
        <v>371</v>
      </c>
      <c r="Y25" t="s">
        <v>31</v>
      </c>
    </row>
    <row r="26" spans="1:25" x14ac:dyDescent="0.2">
      <c r="A26" t="s">
        <v>368</v>
      </c>
      <c r="B26" t="s">
        <v>120</v>
      </c>
      <c r="C26" t="s">
        <v>24</v>
      </c>
      <c r="D26">
        <v>3.0654676463012999E-3</v>
      </c>
      <c r="E26">
        <v>0.80188082073724398</v>
      </c>
      <c r="F26">
        <v>0.95251268271506895</v>
      </c>
      <c r="G26">
        <v>10</v>
      </c>
      <c r="H26">
        <v>-2.2435714357413E-3</v>
      </c>
      <c r="I26" t="s">
        <v>25</v>
      </c>
      <c r="J26" t="b">
        <v>1</v>
      </c>
      <c r="K26">
        <v>144.78082588194701</v>
      </c>
      <c r="L26">
        <v>145.380825881947</v>
      </c>
      <c r="M26">
        <v>0</v>
      </c>
      <c r="N26" t="s">
        <v>26</v>
      </c>
      <c r="O26" t="s">
        <v>26</v>
      </c>
      <c r="P26" t="s">
        <v>412</v>
      </c>
      <c r="Q26">
        <f>-0.0195485584395519 - 0.0150614155680691</f>
        <v>-3.4609974007621003E-2</v>
      </c>
      <c r="R26" t="s">
        <v>32</v>
      </c>
      <c r="S26" t="s">
        <v>28</v>
      </c>
      <c r="T26" t="s">
        <v>29</v>
      </c>
      <c r="U26" t="s">
        <v>413</v>
      </c>
      <c r="V26">
        <v>3.4805776458867599</v>
      </c>
      <c r="W26">
        <v>8.8290750019440999E-3</v>
      </c>
      <c r="X26" t="s">
        <v>371</v>
      </c>
      <c r="Y26" t="s">
        <v>31</v>
      </c>
    </row>
    <row r="27" spans="1:25" x14ac:dyDescent="0.2">
      <c r="A27" t="s">
        <v>368</v>
      </c>
      <c r="B27" t="s">
        <v>55</v>
      </c>
      <c r="C27" t="s">
        <v>24</v>
      </c>
      <c r="D27">
        <v>3.5967297729631999E-3</v>
      </c>
      <c r="E27">
        <v>0.74860391060241005</v>
      </c>
      <c r="F27">
        <v>0.95251268271506895</v>
      </c>
      <c r="G27">
        <v>48</v>
      </c>
      <c r="H27">
        <v>-1.6027639691486802E-2</v>
      </c>
      <c r="I27" t="s">
        <v>25</v>
      </c>
      <c r="J27" t="b">
        <v>1</v>
      </c>
      <c r="K27">
        <v>190.72636600399599</v>
      </c>
      <c r="L27">
        <v>191.154937432568</v>
      </c>
      <c r="M27">
        <v>0</v>
      </c>
      <c r="N27" t="s">
        <v>26</v>
      </c>
      <c r="O27" t="s">
        <v>26</v>
      </c>
      <c r="P27" t="s">
        <v>414</v>
      </c>
      <c r="Q27">
        <f>-0.113121174030679 - 0.0810658946477056</f>
        <v>-0.19418706867838459</v>
      </c>
      <c r="R27" t="s">
        <v>33</v>
      </c>
      <c r="S27" t="s">
        <v>28</v>
      </c>
      <c r="T27" t="s">
        <v>29</v>
      </c>
      <c r="U27" t="s">
        <v>415</v>
      </c>
      <c r="V27">
        <v>4.0139239327635696</v>
      </c>
      <c r="W27">
        <v>4.9537517519996098E-2</v>
      </c>
      <c r="X27" t="s">
        <v>371</v>
      </c>
      <c r="Y27" t="s">
        <v>31</v>
      </c>
    </row>
    <row r="28" spans="1:25" x14ac:dyDescent="0.2">
      <c r="A28" t="s">
        <v>368</v>
      </c>
      <c r="B28" t="s">
        <v>57</v>
      </c>
      <c r="C28" t="s">
        <v>24</v>
      </c>
      <c r="D28">
        <v>0.14501106622101401</v>
      </c>
      <c r="E28">
        <v>0.10773021267876701</v>
      </c>
      <c r="F28">
        <v>0.92340182296086004</v>
      </c>
      <c r="G28">
        <v>22</v>
      </c>
      <c r="H28">
        <v>-2.9449950000384299E-2</v>
      </c>
      <c r="I28" t="s">
        <v>25</v>
      </c>
      <c r="J28" t="b">
        <v>1</v>
      </c>
      <c r="K28">
        <v>74.5034401142902</v>
      </c>
      <c r="L28">
        <v>75.2534401142902</v>
      </c>
      <c r="M28">
        <v>0</v>
      </c>
      <c r="N28" t="s">
        <v>26</v>
      </c>
      <c r="O28" t="s">
        <v>26</v>
      </c>
      <c r="P28" t="s">
        <v>416</v>
      </c>
      <c r="Q28">
        <f>-0.0634434471951327 - 0.00454354719436413</f>
        <v>-6.7986994389496833E-2</v>
      </c>
      <c r="R28" t="s">
        <v>34</v>
      </c>
      <c r="S28" t="s">
        <v>28</v>
      </c>
      <c r="T28" t="s">
        <v>29</v>
      </c>
      <c r="U28" t="s">
        <v>417</v>
      </c>
      <c r="V28">
        <v>2.4148640237615702</v>
      </c>
      <c r="W28">
        <v>1.7343621017728801E-2</v>
      </c>
      <c r="X28" t="s">
        <v>371</v>
      </c>
      <c r="Y28" t="s">
        <v>31</v>
      </c>
    </row>
    <row r="29" spans="1:25" x14ac:dyDescent="0.2">
      <c r="A29" t="s">
        <v>368</v>
      </c>
      <c r="B29" t="s">
        <v>73</v>
      </c>
      <c r="C29" t="s">
        <v>24</v>
      </c>
      <c r="D29">
        <v>5.3873668465630002E-4</v>
      </c>
      <c r="E29">
        <v>0.88254987959956799</v>
      </c>
      <c r="F29">
        <v>0.957487182494553</v>
      </c>
      <c r="G29">
        <v>20</v>
      </c>
      <c r="H29">
        <v>-2.4601665130899999E-3</v>
      </c>
      <c r="I29" t="s">
        <v>25</v>
      </c>
      <c r="J29" t="b">
        <v>1</v>
      </c>
      <c r="K29">
        <v>253.28338690987201</v>
      </c>
      <c r="L29">
        <v>253.58338690987199</v>
      </c>
      <c r="M29">
        <v>0</v>
      </c>
      <c r="N29" t="s">
        <v>26</v>
      </c>
      <c r="O29" t="s">
        <v>26</v>
      </c>
      <c r="P29" t="s">
        <v>418</v>
      </c>
      <c r="Q29">
        <f>-0.0348958724443026 - 0.0299755394181226</f>
        <v>-6.4871411862425205E-2</v>
      </c>
      <c r="R29" t="s">
        <v>27</v>
      </c>
      <c r="S29" t="s">
        <v>28</v>
      </c>
      <c r="T29" t="s">
        <v>29</v>
      </c>
      <c r="U29" t="s">
        <v>419</v>
      </c>
      <c r="V29">
        <v>3.14492360870649</v>
      </c>
      <c r="W29">
        <v>1.6548829556741099E-2</v>
      </c>
      <c r="X29" t="s">
        <v>371</v>
      </c>
      <c r="Y29" t="s">
        <v>31</v>
      </c>
    </row>
    <row r="30" spans="1:25" x14ac:dyDescent="0.2">
      <c r="A30" t="s">
        <v>368</v>
      </c>
      <c r="B30" t="s">
        <v>118</v>
      </c>
      <c r="C30" t="s">
        <v>24</v>
      </c>
      <c r="D30">
        <v>4.8086847196633198E-2</v>
      </c>
      <c r="E30">
        <v>0.32683307866194999</v>
      </c>
      <c r="F30">
        <v>0.95251268271506895</v>
      </c>
      <c r="G30">
        <v>32</v>
      </c>
      <c r="H30">
        <v>-1.00812576789463E-2</v>
      </c>
      <c r="I30" t="s">
        <v>25</v>
      </c>
      <c r="J30" t="b">
        <v>1</v>
      </c>
      <c r="K30">
        <v>127.669204402216</v>
      </c>
      <c r="L30">
        <v>128.300783349585</v>
      </c>
      <c r="M30">
        <v>0</v>
      </c>
      <c r="N30" t="s">
        <v>26</v>
      </c>
      <c r="O30" t="s">
        <v>26</v>
      </c>
      <c r="P30" t="s">
        <v>420</v>
      </c>
      <c r="Q30">
        <f>-0.0297393468650966 - 0.00957683150720405</f>
        <v>-3.9316178372300649E-2</v>
      </c>
      <c r="R30" t="s">
        <v>32</v>
      </c>
      <c r="S30" t="s">
        <v>28</v>
      </c>
      <c r="T30" t="s">
        <v>29</v>
      </c>
      <c r="U30" t="s">
        <v>421</v>
      </c>
      <c r="V30">
        <v>3.7168161357892302</v>
      </c>
      <c r="W30">
        <v>1.00296373398726E-2</v>
      </c>
      <c r="X30" t="s">
        <v>371</v>
      </c>
      <c r="Y30" t="s">
        <v>31</v>
      </c>
    </row>
    <row r="31" spans="1:25" x14ac:dyDescent="0.2">
      <c r="A31" t="s">
        <v>368</v>
      </c>
      <c r="B31" t="s">
        <v>101</v>
      </c>
      <c r="C31" t="s">
        <v>24</v>
      </c>
      <c r="D31">
        <v>4.2037087254963003E-2</v>
      </c>
      <c r="E31">
        <v>0.21053251578335799</v>
      </c>
      <c r="F31">
        <v>0.95251268271506895</v>
      </c>
      <c r="G31">
        <v>47</v>
      </c>
      <c r="H31">
        <v>-1.7524432584143299E-2</v>
      </c>
      <c r="I31" t="s">
        <v>25</v>
      </c>
      <c r="J31" t="b">
        <v>1</v>
      </c>
      <c r="K31">
        <v>231.12306974178</v>
      </c>
      <c r="L31">
        <v>231.456403075113</v>
      </c>
      <c r="M31">
        <v>0</v>
      </c>
      <c r="N31" t="s">
        <v>26</v>
      </c>
      <c r="O31" t="s">
        <v>26</v>
      </c>
      <c r="P31" t="s">
        <v>422</v>
      </c>
      <c r="Q31">
        <f>-0.0444805422270357 - 0.00943167705874915</f>
        <v>-5.3912219285784851E-2</v>
      </c>
      <c r="R31" t="s">
        <v>33</v>
      </c>
      <c r="S31" t="s">
        <v>28</v>
      </c>
      <c r="T31" t="s">
        <v>29</v>
      </c>
      <c r="U31" t="s">
        <v>423</v>
      </c>
      <c r="V31">
        <v>4.1483395496473703</v>
      </c>
      <c r="W31">
        <v>1.3753117164741001E-2</v>
      </c>
      <c r="X31" t="s">
        <v>371</v>
      </c>
      <c r="Y31" t="s">
        <v>31</v>
      </c>
    </row>
    <row r="32" spans="1:25" x14ac:dyDescent="0.2">
      <c r="A32" t="s">
        <v>368</v>
      </c>
      <c r="B32" t="s">
        <v>155</v>
      </c>
      <c r="C32" t="s">
        <v>24</v>
      </c>
      <c r="D32">
        <v>1.6779883284920701E-2</v>
      </c>
      <c r="E32">
        <v>0.42565365244968101</v>
      </c>
      <c r="F32">
        <v>0.95251268271506895</v>
      </c>
      <c r="G32">
        <v>17</v>
      </c>
      <c r="H32">
        <v>-2.6755827186620701E-2</v>
      </c>
      <c r="I32" t="s">
        <v>25</v>
      </c>
      <c r="J32" t="b">
        <v>1</v>
      </c>
      <c r="K32">
        <v>237.42231011900199</v>
      </c>
      <c r="L32">
        <v>237.746634443326</v>
      </c>
      <c r="M32">
        <v>0</v>
      </c>
      <c r="N32" t="s">
        <v>26</v>
      </c>
      <c r="O32" t="s">
        <v>26</v>
      </c>
      <c r="P32" t="s">
        <v>424</v>
      </c>
      <c r="Q32">
        <f>-0.091875703237214 - 0.0383640488639726</f>
        <v>-0.1302397521011866</v>
      </c>
      <c r="R32" t="s">
        <v>27</v>
      </c>
      <c r="S32" t="s">
        <v>28</v>
      </c>
      <c r="T32" t="s">
        <v>29</v>
      </c>
      <c r="U32" t="s">
        <v>425</v>
      </c>
      <c r="V32">
        <v>3.66933039639735</v>
      </c>
      <c r="W32">
        <v>3.3224426556425102E-2</v>
      </c>
      <c r="X32" t="s">
        <v>371</v>
      </c>
      <c r="Y32" t="s">
        <v>31</v>
      </c>
    </row>
    <row r="33" spans="1:25" x14ac:dyDescent="0.2">
      <c r="A33" t="s">
        <v>368</v>
      </c>
      <c r="B33" t="s">
        <v>113</v>
      </c>
      <c r="C33" t="s">
        <v>24</v>
      </c>
      <c r="D33" s="1">
        <v>1.16076287655547E-5</v>
      </c>
      <c r="E33">
        <v>0.98426627671704203</v>
      </c>
      <c r="F33">
        <v>0.98426627671704203</v>
      </c>
      <c r="G33">
        <v>57</v>
      </c>
      <c r="H33">
        <v>-2.7132946583479999E-4</v>
      </c>
      <c r="I33" t="s">
        <v>25</v>
      </c>
      <c r="J33" t="b">
        <v>1</v>
      </c>
      <c r="K33">
        <v>216.75177700532501</v>
      </c>
      <c r="L33">
        <v>217.11541336896099</v>
      </c>
      <c r="M33">
        <v>0</v>
      </c>
      <c r="N33" t="s">
        <v>26</v>
      </c>
      <c r="O33" t="s">
        <v>26</v>
      </c>
      <c r="P33" t="s">
        <v>426</v>
      </c>
      <c r="Q33">
        <f>-0.0270407701399119 - 0.0264981112082422</f>
        <v>-5.3538881348154099E-2</v>
      </c>
      <c r="R33" t="s">
        <v>34</v>
      </c>
      <c r="S33" t="s">
        <v>28</v>
      </c>
      <c r="T33" t="s">
        <v>29</v>
      </c>
      <c r="U33" t="s">
        <v>427</v>
      </c>
      <c r="V33">
        <v>3.5246777463785102</v>
      </c>
      <c r="W33">
        <v>1.36578778949373E-2</v>
      </c>
      <c r="X33" t="s">
        <v>371</v>
      </c>
      <c r="Y33" t="s">
        <v>31</v>
      </c>
    </row>
    <row r="34" spans="1:25" x14ac:dyDescent="0.2">
      <c r="A34" t="s">
        <v>368</v>
      </c>
      <c r="B34" t="s">
        <v>151</v>
      </c>
      <c r="C34" t="s">
        <v>24</v>
      </c>
      <c r="D34">
        <v>5.0385850953864001E-3</v>
      </c>
      <c r="E34">
        <v>0.71443757339783698</v>
      </c>
      <c r="F34">
        <v>0.95251268271506895</v>
      </c>
      <c r="G34">
        <v>6</v>
      </c>
      <c r="H34">
        <v>-1.9329662868091901E-2</v>
      </c>
      <c r="I34" t="s">
        <v>25</v>
      </c>
      <c r="J34" t="b">
        <v>1</v>
      </c>
      <c r="K34">
        <v>176.818556738469</v>
      </c>
      <c r="L34">
        <v>177.280095200007</v>
      </c>
      <c r="M34">
        <v>0</v>
      </c>
      <c r="N34" t="s">
        <v>26</v>
      </c>
      <c r="O34" t="s">
        <v>26</v>
      </c>
      <c r="P34" t="s">
        <v>428</v>
      </c>
      <c r="Q34">
        <f>-0.121787996761897 - 0.0831286710257128</f>
        <v>-0.20491666778760981</v>
      </c>
      <c r="R34" t="s">
        <v>27</v>
      </c>
      <c r="S34" t="s">
        <v>28</v>
      </c>
      <c r="T34" t="s">
        <v>29</v>
      </c>
      <c r="U34" t="s">
        <v>429</v>
      </c>
      <c r="V34">
        <v>3.6923319589407502</v>
      </c>
      <c r="W34">
        <v>5.2274660149900398E-2</v>
      </c>
      <c r="X34" t="s">
        <v>371</v>
      </c>
      <c r="Y34" t="s">
        <v>31</v>
      </c>
    </row>
    <row r="35" spans="1:25" x14ac:dyDescent="0.2">
      <c r="A35" t="s">
        <v>368</v>
      </c>
      <c r="B35" t="s">
        <v>161</v>
      </c>
      <c r="C35" t="s">
        <v>24</v>
      </c>
      <c r="D35">
        <v>5.3799839761960497E-2</v>
      </c>
      <c r="E35">
        <v>0.21744402846524799</v>
      </c>
      <c r="F35">
        <v>0.95251268271506895</v>
      </c>
      <c r="G35">
        <v>45</v>
      </c>
      <c r="H35">
        <v>0.158282323998854</v>
      </c>
      <c r="I35" t="s">
        <v>25</v>
      </c>
      <c r="J35" t="b">
        <v>1</v>
      </c>
      <c r="K35">
        <v>184.814605199211</v>
      </c>
      <c r="L35">
        <v>185.259049643655</v>
      </c>
      <c r="M35">
        <v>0</v>
      </c>
      <c r="N35" t="s">
        <v>26</v>
      </c>
      <c r="O35" t="s">
        <v>26</v>
      </c>
      <c r="P35" t="s">
        <v>430</v>
      </c>
      <c r="Q35">
        <f>-0.0875904785230231 - 0.404155126520731</f>
        <v>-0.49174560504375409</v>
      </c>
      <c r="R35" t="s">
        <v>34</v>
      </c>
      <c r="S35" t="s">
        <v>28</v>
      </c>
      <c r="T35" t="s">
        <v>29</v>
      </c>
      <c r="U35" t="s">
        <v>431</v>
      </c>
      <c r="V35">
        <v>2.5033211492188499</v>
      </c>
      <c r="W35">
        <v>0.12544530740912099</v>
      </c>
      <c r="X35" t="s">
        <v>371</v>
      </c>
      <c r="Y35" t="s">
        <v>31</v>
      </c>
    </row>
    <row r="36" spans="1:25" x14ac:dyDescent="0.2">
      <c r="A36" t="s">
        <v>368</v>
      </c>
      <c r="B36" t="s">
        <v>170</v>
      </c>
      <c r="C36" t="s">
        <v>24</v>
      </c>
      <c r="D36">
        <v>1.3814151126613E-3</v>
      </c>
      <c r="E36">
        <v>0.81988582999487902</v>
      </c>
      <c r="F36">
        <v>0.95251268271506895</v>
      </c>
      <c r="G36">
        <v>41</v>
      </c>
      <c r="H36">
        <v>2.3042337101889E-3</v>
      </c>
      <c r="I36" t="s">
        <v>25</v>
      </c>
      <c r="J36" t="b">
        <v>1</v>
      </c>
      <c r="K36">
        <v>237.61762296353399</v>
      </c>
      <c r="L36">
        <v>237.94194728785899</v>
      </c>
      <c r="M36">
        <v>0</v>
      </c>
      <c r="N36" t="s">
        <v>26</v>
      </c>
      <c r="O36" t="s">
        <v>26</v>
      </c>
      <c r="P36" t="s">
        <v>432</v>
      </c>
      <c r="Q36">
        <f>-0.0173940559627313 - 0.0220025233831093</f>
        <v>-3.93965793458406E-2</v>
      </c>
      <c r="R36" t="s">
        <v>32</v>
      </c>
      <c r="S36" t="s">
        <v>28</v>
      </c>
      <c r="T36" t="s">
        <v>29</v>
      </c>
      <c r="U36" t="s">
        <v>433</v>
      </c>
      <c r="V36">
        <v>2.9181786280604798</v>
      </c>
      <c r="W36">
        <v>1.0050147792306299E-2</v>
      </c>
      <c r="X36" t="s">
        <v>371</v>
      </c>
      <c r="Y36" t="s">
        <v>31</v>
      </c>
    </row>
    <row r="37" spans="1:25" x14ac:dyDescent="0.2">
      <c r="A37" t="s">
        <v>368</v>
      </c>
      <c r="B37" t="s">
        <v>105</v>
      </c>
      <c r="C37" t="s">
        <v>24</v>
      </c>
      <c r="D37">
        <v>5.3046232636018299E-2</v>
      </c>
      <c r="E37">
        <v>0.44904097603945298</v>
      </c>
      <c r="F37">
        <v>0.95251268271506895</v>
      </c>
      <c r="G37">
        <v>55</v>
      </c>
      <c r="H37">
        <v>-3.8694033652577703E-2</v>
      </c>
      <c r="I37" t="s">
        <v>25</v>
      </c>
      <c r="J37" t="b">
        <v>1</v>
      </c>
      <c r="K37">
        <v>88.130021590940999</v>
      </c>
      <c r="L37">
        <v>89.330021590941001</v>
      </c>
      <c r="M37">
        <v>0</v>
      </c>
      <c r="N37" t="s">
        <v>26</v>
      </c>
      <c r="O37" t="s">
        <v>26</v>
      </c>
      <c r="P37" t="s">
        <v>434</v>
      </c>
      <c r="Q37">
        <f>-0.135308208514906 - 0.057920141209751</f>
        <v>-0.19322834972465699</v>
      </c>
      <c r="R37" t="s">
        <v>32</v>
      </c>
      <c r="S37" t="s">
        <v>28</v>
      </c>
      <c r="T37" t="s">
        <v>29</v>
      </c>
      <c r="U37" t="s">
        <v>435</v>
      </c>
      <c r="V37">
        <v>5.3564841830653496</v>
      </c>
      <c r="W37">
        <v>4.9292946358331001E-2</v>
      </c>
      <c r="X37" t="s">
        <v>371</v>
      </c>
      <c r="Y37" t="s">
        <v>31</v>
      </c>
    </row>
    <row r="38" spans="1:25" x14ac:dyDescent="0.2">
      <c r="A38" t="s">
        <v>368</v>
      </c>
      <c r="B38" t="s">
        <v>138</v>
      </c>
      <c r="C38" t="s">
        <v>24</v>
      </c>
      <c r="D38">
        <v>1.22949509072696E-2</v>
      </c>
      <c r="E38">
        <v>0.51353562572808398</v>
      </c>
      <c r="F38">
        <v>0.95251268271506895</v>
      </c>
      <c r="G38">
        <v>45</v>
      </c>
      <c r="H38">
        <v>0.103837286777426</v>
      </c>
      <c r="I38" t="s">
        <v>25</v>
      </c>
      <c r="J38" t="b">
        <v>1</v>
      </c>
      <c r="K38">
        <v>222.36684366080399</v>
      </c>
      <c r="L38">
        <v>222.71978483727401</v>
      </c>
      <c r="M38">
        <v>0</v>
      </c>
      <c r="N38" t="s">
        <v>26</v>
      </c>
      <c r="O38" t="s">
        <v>26</v>
      </c>
      <c r="P38" t="s">
        <v>436</v>
      </c>
      <c r="Q38">
        <f>-0.204499695994612 - 0.412174269549463</f>
        <v>-0.61667396554407505</v>
      </c>
      <c r="R38" t="s">
        <v>27</v>
      </c>
      <c r="S38" t="s">
        <v>28</v>
      </c>
      <c r="T38" t="s">
        <v>29</v>
      </c>
      <c r="U38" t="s">
        <v>437</v>
      </c>
      <c r="V38">
        <v>2.7875661200067401</v>
      </c>
      <c r="W38">
        <v>0.15731478712859101</v>
      </c>
      <c r="X38" t="s">
        <v>371</v>
      </c>
      <c r="Y38" t="s">
        <v>31</v>
      </c>
    </row>
    <row r="39" spans="1:25" x14ac:dyDescent="0.2">
      <c r="A39" t="s">
        <v>368</v>
      </c>
      <c r="B39" t="s">
        <v>111</v>
      </c>
      <c r="C39" t="s">
        <v>24</v>
      </c>
      <c r="D39">
        <v>2.65083665767019E-2</v>
      </c>
      <c r="E39">
        <v>0.29687305573383199</v>
      </c>
      <c r="F39">
        <v>0.95251268271506895</v>
      </c>
      <c r="G39">
        <v>11</v>
      </c>
      <c r="H39">
        <v>-7.9366222372458897E-2</v>
      </c>
      <c r="I39" t="s">
        <v>25</v>
      </c>
      <c r="J39" t="b">
        <v>1</v>
      </c>
      <c r="K39">
        <v>252.45428184105</v>
      </c>
      <c r="L39">
        <v>252.75428184104999</v>
      </c>
      <c r="M39">
        <v>0</v>
      </c>
      <c r="N39" t="s">
        <v>26</v>
      </c>
      <c r="O39" t="s">
        <v>26</v>
      </c>
      <c r="P39" t="s">
        <v>438</v>
      </c>
      <c r="Q39">
        <f>-0.22658882138472 - 0.0678563766398026</f>
        <v>-0.29444519802452263</v>
      </c>
      <c r="R39" t="s">
        <v>27</v>
      </c>
      <c r="S39" t="s">
        <v>28</v>
      </c>
      <c r="T39" t="s">
        <v>29</v>
      </c>
      <c r="U39" t="s">
        <v>439</v>
      </c>
      <c r="V39">
        <v>3.91209085268757</v>
      </c>
      <c r="W39">
        <v>7.5113570924623202E-2</v>
      </c>
      <c r="X39" t="s">
        <v>371</v>
      </c>
      <c r="Y39" t="s">
        <v>31</v>
      </c>
    </row>
    <row r="40" spans="1:25" x14ac:dyDescent="0.2">
      <c r="A40" t="s">
        <v>368</v>
      </c>
      <c r="B40" t="s">
        <v>124</v>
      </c>
      <c r="C40" t="s">
        <v>24</v>
      </c>
      <c r="D40">
        <v>3.3444172052502302E-2</v>
      </c>
      <c r="E40">
        <v>0.26513277643267402</v>
      </c>
      <c r="F40">
        <v>0.95251268271506895</v>
      </c>
      <c r="G40">
        <v>23</v>
      </c>
      <c r="H40">
        <v>-1.55884467511768E-2</v>
      </c>
      <c r="I40" t="s">
        <v>25</v>
      </c>
      <c r="J40" t="b">
        <v>1</v>
      </c>
      <c r="K40">
        <v>231.471339584872</v>
      </c>
      <c r="L40">
        <v>231.804672918205</v>
      </c>
      <c r="M40">
        <v>0</v>
      </c>
      <c r="N40" t="s">
        <v>26</v>
      </c>
      <c r="O40" t="s">
        <v>26</v>
      </c>
      <c r="P40" t="s">
        <v>440</v>
      </c>
      <c r="Q40">
        <f>-0.0425914022393156 - 0.0114145087369621</f>
        <v>-5.4005910976277702E-2</v>
      </c>
      <c r="R40" t="s">
        <v>33</v>
      </c>
      <c r="S40" t="s">
        <v>28</v>
      </c>
      <c r="T40" t="s">
        <v>29</v>
      </c>
      <c r="U40" t="s">
        <v>441</v>
      </c>
      <c r="V40">
        <v>4.1372745997084497</v>
      </c>
      <c r="W40">
        <v>1.3777018106193299E-2</v>
      </c>
      <c r="X40" t="s">
        <v>371</v>
      </c>
      <c r="Y40" t="s">
        <v>31</v>
      </c>
    </row>
    <row r="41" spans="1:25" x14ac:dyDescent="0.2">
      <c r="A41" t="s">
        <v>368</v>
      </c>
      <c r="B41" t="s">
        <v>95</v>
      </c>
      <c r="C41" t="s">
        <v>24</v>
      </c>
      <c r="D41">
        <v>4.4564270625268798E-2</v>
      </c>
      <c r="E41">
        <v>0.23074186727948601</v>
      </c>
      <c r="F41">
        <v>0.95251268271506895</v>
      </c>
      <c r="G41">
        <v>51</v>
      </c>
      <c r="H41">
        <v>4.1451690172830298E-2</v>
      </c>
      <c r="I41" t="s">
        <v>25</v>
      </c>
      <c r="J41" t="b">
        <v>1</v>
      </c>
      <c r="K41">
        <v>204.15642038427501</v>
      </c>
      <c r="L41">
        <v>204.54351715846801</v>
      </c>
      <c r="M41">
        <v>0</v>
      </c>
      <c r="N41" t="s">
        <v>26</v>
      </c>
      <c r="O41" t="s">
        <v>26</v>
      </c>
      <c r="P41" t="s">
        <v>442</v>
      </c>
      <c r="Q41">
        <f>-0.0250496906763922 - 0.107953071022053</f>
        <v>-0.13300276169844519</v>
      </c>
      <c r="R41" t="s">
        <v>34</v>
      </c>
      <c r="S41" t="s">
        <v>28</v>
      </c>
      <c r="T41" t="s">
        <v>29</v>
      </c>
      <c r="U41" t="s">
        <v>443</v>
      </c>
      <c r="V41">
        <v>2.7343310196533799</v>
      </c>
      <c r="W41">
        <v>3.3929275943480899E-2</v>
      </c>
      <c r="X41" t="s">
        <v>371</v>
      </c>
      <c r="Y41" t="s">
        <v>31</v>
      </c>
    </row>
    <row r="42" spans="1:25" x14ac:dyDescent="0.2">
      <c r="A42" t="s">
        <v>368</v>
      </c>
      <c r="B42" t="s">
        <v>47</v>
      </c>
      <c r="C42" t="s">
        <v>24</v>
      </c>
      <c r="D42">
        <v>6.6373837459169499E-2</v>
      </c>
      <c r="E42">
        <v>0.74236879564158098</v>
      </c>
      <c r="F42">
        <v>0.95251268271506895</v>
      </c>
      <c r="G42">
        <v>36</v>
      </c>
      <c r="H42">
        <v>-1.5054836267410999E-3</v>
      </c>
      <c r="I42" t="s">
        <v>39</v>
      </c>
      <c r="J42" t="b">
        <v>1</v>
      </c>
      <c r="K42">
        <v>25.596867781934598</v>
      </c>
      <c r="L42">
        <v>37.596867781934598</v>
      </c>
      <c r="M42">
        <v>0</v>
      </c>
      <c r="N42" t="s">
        <v>26</v>
      </c>
      <c r="O42" t="s">
        <v>26</v>
      </c>
      <c r="P42" t="s">
        <v>444</v>
      </c>
      <c r="Q42">
        <f>-0.0093308585266741 - 0.00631989127319185</f>
        <v>-1.565074979986595E-2</v>
      </c>
      <c r="R42" t="s">
        <v>33</v>
      </c>
      <c r="S42" t="s">
        <v>40</v>
      </c>
      <c r="T42" t="s">
        <v>41</v>
      </c>
      <c r="U42" t="s">
        <v>445</v>
      </c>
      <c r="V42">
        <v>8.9660497970151507</v>
      </c>
      <c r="W42">
        <v>3.9925382142514997E-3</v>
      </c>
      <c r="X42" t="s">
        <v>371</v>
      </c>
      <c r="Y42" t="s">
        <v>31</v>
      </c>
    </row>
    <row r="43" spans="1:25" x14ac:dyDescent="0.2">
      <c r="A43" t="s">
        <v>368</v>
      </c>
      <c r="B43" t="s">
        <v>93</v>
      </c>
      <c r="C43" t="s">
        <v>24</v>
      </c>
      <c r="D43">
        <v>0.27516292631983402</v>
      </c>
      <c r="E43">
        <v>9.7599075088955697E-2</v>
      </c>
      <c r="F43">
        <v>0.92340182296086004</v>
      </c>
      <c r="G43">
        <v>27</v>
      </c>
      <c r="H43">
        <v>0.41004516550414299</v>
      </c>
      <c r="I43" t="s">
        <v>25</v>
      </c>
      <c r="J43" t="b">
        <v>1</v>
      </c>
      <c r="K43">
        <v>63.797987905041403</v>
      </c>
      <c r="L43">
        <v>65.297987905041396</v>
      </c>
      <c r="M43">
        <v>0</v>
      </c>
      <c r="N43" t="s">
        <v>26</v>
      </c>
      <c r="O43" t="s">
        <v>26</v>
      </c>
      <c r="P43" t="s">
        <v>446</v>
      </c>
      <c r="Q43">
        <f>-0.024757053615129 - 0.844847384623415</f>
        <v>-0.86960443823854405</v>
      </c>
      <c r="R43" t="s">
        <v>32</v>
      </c>
      <c r="S43" t="s">
        <v>28</v>
      </c>
      <c r="T43" t="s">
        <v>29</v>
      </c>
      <c r="U43" t="s">
        <v>447</v>
      </c>
      <c r="V43">
        <v>2.2723663677881301</v>
      </c>
      <c r="W43">
        <v>0.221837866897588</v>
      </c>
      <c r="X43" t="s">
        <v>371</v>
      </c>
      <c r="Y43" t="s">
        <v>31</v>
      </c>
    </row>
    <row r="44" spans="1:25" x14ac:dyDescent="0.2">
      <c r="A44" t="s">
        <v>368</v>
      </c>
      <c r="B44" t="s">
        <v>149</v>
      </c>
      <c r="C44" t="s">
        <v>24</v>
      </c>
      <c r="D44">
        <v>6.1242609643121998E-3</v>
      </c>
      <c r="E44">
        <v>0.84138620306497802</v>
      </c>
      <c r="F44">
        <v>0.95251268271506895</v>
      </c>
      <c r="G44">
        <v>66</v>
      </c>
      <c r="H44">
        <v>-3.1518532615907998E-3</v>
      </c>
      <c r="I44" t="s">
        <v>25</v>
      </c>
      <c r="J44" t="b">
        <v>1</v>
      </c>
      <c r="K44">
        <v>65.7473272579319</v>
      </c>
      <c r="L44">
        <v>67.7473272579319</v>
      </c>
      <c r="M44">
        <v>0</v>
      </c>
      <c r="N44" t="s">
        <v>26</v>
      </c>
      <c r="O44" t="s">
        <v>26</v>
      </c>
      <c r="P44" t="s">
        <v>448</v>
      </c>
      <c r="Q44">
        <f>-0.0328967346892521 - 0.0265930281660703</f>
        <v>-5.9489762855322398E-2</v>
      </c>
      <c r="R44" t="s">
        <v>32</v>
      </c>
      <c r="S44" t="s">
        <v>28</v>
      </c>
      <c r="T44" t="s">
        <v>29</v>
      </c>
      <c r="U44" t="s">
        <v>449</v>
      </c>
      <c r="V44">
        <v>5.9539653322358301</v>
      </c>
      <c r="W44">
        <v>1.5175959912072001E-2</v>
      </c>
      <c r="X44" t="s">
        <v>371</v>
      </c>
      <c r="Y44" t="s">
        <v>31</v>
      </c>
    </row>
    <row r="45" spans="1:25" x14ac:dyDescent="0.2">
      <c r="A45" t="s">
        <v>368</v>
      </c>
      <c r="B45" t="s">
        <v>49</v>
      </c>
      <c r="C45" t="s">
        <v>24</v>
      </c>
      <c r="D45">
        <v>1.4740847394660001E-4</v>
      </c>
      <c r="E45">
        <v>0.948314456426818</v>
      </c>
      <c r="F45">
        <v>0.98101495492429402</v>
      </c>
      <c r="G45">
        <v>62</v>
      </c>
      <c r="H45">
        <v>-2.5375317007837999E-3</v>
      </c>
      <c r="I45" t="s">
        <v>25</v>
      </c>
      <c r="J45" t="b">
        <v>1</v>
      </c>
      <c r="K45">
        <v>189.56096568572701</v>
      </c>
      <c r="L45">
        <v>189.989537114298</v>
      </c>
      <c r="M45">
        <v>0</v>
      </c>
      <c r="N45" t="s">
        <v>26</v>
      </c>
      <c r="O45" t="s">
        <v>26</v>
      </c>
      <c r="P45" t="s">
        <v>450</v>
      </c>
      <c r="Q45">
        <f>-0.0786008577623743 - 0.0735257943608066</f>
        <v>-0.15212665212318088</v>
      </c>
      <c r="R45" t="s">
        <v>32</v>
      </c>
      <c r="S45" t="s">
        <v>28</v>
      </c>
      <c r="T45" t="s">
        <v>29</v>
      </c>
      <c r="U45" t="s">
        <v>451</v>
      </c>
      <c r="V45">
        <v>3.4710552288730701</v>
      </c>
      <c r="W45">
        <v>3.8807819419178803E-2</v>
      </c>
      <c r="X45" t="s">
        <v>371</v>
      </c>
      <c r="Y45" t="s">
        <v>31</v>
      </c>
    </row>
    <row r="46" spans="1:25" x14ac:dyDescent="0.2">
      <c r="A46" t="s">
        <v>368</v>
      </c>
      <c r="B46" t="s">
        <v>126</v>
      </c>
      <c r="C46" t="s">
        <v>24</v>
      </c>
      <c r="D46">
        <v>8.8131876756282604E-2</v>
      </c>
      <c r="E46">
        <v>0.40486679047990698</v>
      </c>
      <c r="F46">
        <v>0.95251268271506895</v>
      </c>
      <c r="G46">
        <v>10</v>
      </c>
      <c r="H46">
        <v>2.4787330314875299E-2</v>
      </c>
      <c r="I46" t="s">
        <v>39</v>
      </c>
      <c r="J46" t="b">
        <v>1</v>
      </c>
      <c r="K46">
        <v>55.970612447237698</v>
      </c>
      <c r="L46">
        <v>57.6848981615234</v>
      </c>
      <c r="M46">
        <v>0</v>
      </c>
      <c r="N46" t="s">
        <v>26</v>
      </c>
      <c r="O46" t="s">
        <v>26</v>
      </c>
      <c r="P46" t="s">
        <v>452</v>
      </c>
      <c r="Q46">
        <f>-0.0304636947528418 - 0.0800383553825924</f>
        <v>-0.1105020501354342</v>
      </c>
      <c r="R46" t="s">
        <v>27</v>
      </c>
      <c r="S46" t="s">
        <v>40</v>
      </c>
      <c r="T46" t="s">
        <v>41</v>
      </c>
      <c r="U46" t="s">
        <v>453</v>
      </c>
      <c r="V46">
        <v>5.8912261896943701</v>
      </c>
      <c r="W46">
        <v>2.81892985039373E-2</v>
      </c>
      <c r="X46" t="s">
        <v>371</v>
      </c>
      <c r="Y46" t="s">
        <v>31</v>
      </c>
    </row>
    <row r="47" spans="1:25" x14ac:dyDescent="0.2">
      <c r="A47" t="s">
        <v>368</v>
      </c>
      <c r="B47" t="s">
        <v>142</v>
      </c>
      <c r="C47" t="s">
        <v>24</v>
      </c>
      <c r="D47">
        <v>0.42225397050991298</v>
      </c>
      <c r="E47" s="1">
        <v>7.6188831220847005E-5</v>
      </c>
      <c r="F47">
        <v>4.3206815076810004E-3</v>
      </c>
      <c r="G47">
        <v>31</v>
      </c>
      <c r="H47">
        <v>5.5261279444059203E-2</v>
      </c>
      <c r="I47" t="s">
        <v>25</v>
      </c>
      <c r="J47" t="b">
        <v>1</v>
      </c>
      <c r="K47">
        <v>173.819241488963</v>
      </c>
      <c r="L47">
        <v>174.24781291753499</v>
      </c>
      <c r="M47">
        <v>0</v>
      </c>
      <c r="N47" t="s">
        <v>26</v>
      </c>
      <c r="O47" t="s">
        <v>26</v>
      </c>
      <c r="P47" t="s">
        <v>454</v>
      </c>
      <c r="Q47" t="s">
        <v>455</v>
      </c>
      <c r="R47" t="s">
        <v>32</v>
      </c>
      <c r="S47" t="s">
        <v>28</v>
      </c>
      <c r="T47" t="s">
        <v>29</v>
      </c>
      <c r="U47" t="s">
        <v>456</v>
      </c>
      <c r="V47">
        <v>1.0492255633830301</v>
      </c>
      <c r="W47">
        <v>1.20033798746576E-2</v>
      </c>
      <c r="X47" t="s">
        <v>371</v>
      </c>
      <c r="Y47" t="s">
        <v>31</v>
      </c>
    </row>
    <row r="48" spans="1:25" x14ac:dyDescent="0.2">
      <c r="A48" t="s">
        <v>368</v>
      </c>
      <c r="B48" t="s">
        <v>97</v>
      </c>
      <c r="C48" t="s">
        <v>24</v>
      </c>
      <c r="D48">
        <v>9.1750656034760403E-2</v>
      </c>
      <c r="E48">
        <v>0.16004338078483599</v>
      </c>
      <c r="F48">
        <v>0.95251268271506895</v>
      </c>
      <c r="G48">
        <v>32</v>
      </c>
      <c r="H48">
        <v>-3.8070003025136002E-3</v>
      </c>
      <c r="I48" t="s">
        <v>42</v>
      </c>
      <c r="J48" t="b">
        <v>1</v>
      </c>
      <c r="K48">
        <v>114.58041727609999</v>
      </c>
      <c r="L48">
        <v>115.1804172761</v>
      </c>
      <c r="M48">
        <v>0</v>
      </c>
      <c r="N48" t="s">
        <v>26</v>
      </c>
      <c r="O48" t="s">
        <v>26</v>
      </c>
      <c r="P48" t="s">
        <v>457</v>
      </c>
      <c r="Q48">
        <f>-0.00893003494490977 - 0.00131603433988252</f>
        <v>-1.024606928479229E-2</v>
      </c>
      <c r="R48" t="s">
        <v>32</v>
      </c>
      <c r="S48" t="s">
        <v>43</v>
      </c>
      <c r="T48" t="s">
        <v>26</v>
      </c>
      <c r="U48" t="s">
        <v>44</v>
      </c>
      <c r="V48">
        <v>3.8817096111901499</v>
      </c>
      <c r="W48">
        <v>2.6137931848958999E-3</v>
      </c>
      <c r="X48" t="s">
        <v>371</v>
      </c>
      <c r="Y48" t="s">
        <v>31</v>
      </c>
    </row>
    <row r="49" spans="1:25" x14ac:dyDescent="0.2">
      <c r="A49" t="s">
        <v>368</v>
      </c>
      <c r="B49" t="s">
        <v>115</v>
      </c>
      <c r="C49" t="s">
        <v>24</v>
      </c>
      <c r="D49">
        <v>0.10560363108168901</v>
      </c>
      <c r="E49">
        <v>6.5000456646305604E-2</v>
      </c>
      <c r="F49">
        <v>0.78000547975566703</v>
      </c>
      <c r="G49">
        <v>19</v>
      </c>
      <c r="H49">
        <v>3.26884942816471E-2</v>
      </c>
      <c r="I49" t="s">
        <v>25</v>
      </c>
      <c r="J49" t="b">
        <v>1</v>
      </c>
      <c r="K49">
        <v>197.89394206136799</v>
      </c>
      <c r="L49">
        <v>198.293942061368</v>
      </c>
      <c r="M49">
        <v>0</v>
      </c>
      <c r="N49" t="s">
        <v>26</v>
      </c>
      <c r="O49" t="s">
        <v>26</v>
      </c>
      <c r="P49" t="s">
        <v>458</v>
      </c>
      <c r="Q49">
        <f>-0.000800008302962042 - 0.0661769968662563</f>
        <v>-6.697700516921834E-2</v>
      </c>
      <c r="R49" t="s">
        <v>34</v>
      </c>
      <c r="S49" t="s">
        <v>28</v>
      </c>
      <c r="T49" t="s">
        <v>29</v>
      </c>
      <c r="U49" t="s">
        <v>459</v>
      </c>
      <c r="V49">
        <v>2.80028217303252</v>
      </c>
      <c r="W49">
        <v>1.70859707064333E-2</v>
      </c>
      <c r="X49" t="s">
        <v>371</v>
      </c>
      <c r="Y49" t="s">
        <v>31</v>
      </c>
    </row>
    <row r="50" spans="1:25" x14ac:dyDescent="0.2">
      <c r="A50" t="s">
        <v>368</v>
      </c>
      <c r="B50" t="s">
        <v>164</v>
      </c>
      <c r="C50" t="s">
        <v>24</v>
      </c>
      <c r="D50">
        <v>3.1182503713274999E-3</v>
      </c>
      <c r="E50">
        <v>0.75002042147858405</v>
      </c>
      <c r="F50">
        <v>0.95251268271506895</v>
      </c>
      <c r="G50">
        <v>57</v>
      </c>
      <c r="H50">
        <v>-9.6973995001283005E-3</v>
      </c>
      <c r="I50" t="s">
        <v>25</v>
      </c>
      <c r="J50" t="b">
        <v>1</v>
      </c>
      <c r="K50">
        <v>210.235214693773</v>
      </c>
      <c r="L50">
        <v>210.610214693773</v>
      </c>
      <c r="M50">
        <v>0</v>
      </c>
      <c r="N50" t="s">
        <v>26</v>
      </c>
      <c r="O50" t="s">
        <v>26</v>
      </c>
      <c r="P50" t="s">
        <v>460</v>
      </c>
      <c r="Q50">
        <f>-0.0688563853158319 - 0.0494615863155753</f>
        <v>-0.1183179716314072</v>
      </c>
      <c r="R50" t="s">
        <v>34</v>
      </c>
      <c r="S50" t="s">
        <v>28</v>
      </c>
      <c r="T50" t="s">
        <v>29</v>
      </c>
      <c r="U50" t="s">
        <v>461</v>
      </c>
      <c r="V50">
        <v>3.58399407104416</v>
      </c>
      <c r="W50">
        <v>3.0183156028420199E-2</v>
      </c>
      <c r="X50" t="s">
        <v>371</v>
      </c>
      <c r="Y50" t="s">
        <v>31</v>
      </c>
    </row>
    <row r="51" spans="1:25" x14ac:dyDescent="0.2">
      <c r="A51" t="s">
        <v>368</v>
      </c>
      <c r="B51" t="s">
        <v>45</v>
      </c>
      <c r="C51" t="s">
        <v>24</v>
      </c>
      <c r="D51">
        <v>2.3969402854886E-3</v>
      </c>
      <c r="E51">
        <v>0.80838995783761103</v>
      </c>
      <c r="F51">
        <v>0.95251268271506895</v>
      </c>
      <c r="G51">
        <v>28</v>
      </c>
      <c r="H51">
        <v>-1.3746548282687E-3</v>
      </c>
      <c r="I51" t="s">
        <v>25</v>
      </c>
      <c r="J51" t="b">
        <v>1</v>
      </c>
      <c r="K51">
        <v>151.27096962956401</v>
      </c>
      <c r="L51">
        <v>151.77096962956401</v>
      </c>
      <c r="M51">
        <v>0</v>
      </c>
      <c r="N51" t="s">
        <v>26</v>
      </c>
      <c r="O51" t="s">
        <v>26</v>
      </c>
      <c r="P51" t="s">
        <v>462</v>
      </c>
      <c r="Q51">
        <f>-0.0123680036314702 - 0.0096186939749326</f>
        <v>-2.1986697606402799E-2</v>
      </c>
      <c r="R51" t="s">
        <v>33</v>
      </c>
      <c r="S51" t="s">
        <v>28</v>
      </c>
      <c r="T51" t="s">
        <v>29</v>
      </c>
      <c r="U51" t="s">
        <v>463</v>
      </c>
      <c r="V51">
        <v>4.7951203794273001</v>
      </c>
      <c r="W51">
        <v>5.6088514302046998E-3</v>
      </c>
      <c r="X51" t="s">
        <v>371</v>
      </c>
      <c r="Y51" t="s">
        <v>31</v>
      </c>
    </row>
    <row r="52" spans="1:25" x14ac:dyDescent="0.2">
      <c r="A52" t="s">
        <v>368</v>
      </c>
      <c r="B52" t="s">
        <v>88</v>
      </c>
      <c r="C52" t="s">
        <v>24</v>
      </c>
      <c r="D52">
        <v>9.9719576359105694E-2</v>
      </c>
      <c r="E52">
        <v>0.79546495971513698</v>
      </c>
      <c r="F52">
        <v>0.95251268271506895</v>
      </c>
      <c r="G52">
        <v>41</v>
      </c>
      <c r="H52">
        <v>-8.2537852077819995E-4</v>
      </c>
      <c r="I52" t="s">
        <v>42</v>
      </c>
      <c r="J52" t="b">
        <v>1</v>
      </c>
      <c r="K52">
        <v>14.477877967886201</v>
      </c>
      <c r="L52" t="s">
        <v>464</v>
      </c>
      <c r="N52" t="s">
        <v>26</v>
      </c>
      <c r="O52" t="s">
        <v>26</v>
      </c>
      <c r="P52" t="s">
        <v>465</v>
      </c>
      <c r="Q52">
        <f>-0.00568618045612823 - 0.00403542341457181</f>
        <v>-9.7216038707000386E-3</v>
      </c>
      <c r="R52" t="s">
        <v>34</v>
      </c>
      <c r="S52" t="s">
        <v>43</v>
      </c>
      <c r="T52" t="s">
        <v>26</v>
      </c>
      <c r="U52" t="s">
        <v>44</v>
      </c>
      <c r="V52">
        <v>1.85147390027728</v>
      </c>
      <c r="W52">
        <v>2.4800009874234E-3</v>
      </c>
      <c r="X52" t="s">
        <v>371</v>
      </c>
      <c r="Y52" t="s">
        <v>31</v>
      </c>
    </row>
    <row r="53" spans="1:25" x14ac:dyDescent="0.2">
      <c r="A53" t="s">
        <v>368</v>
      </c>
      <c r="B53" t="s">
        <v>90</v>
      </c>
      <c r="C53" t="s">
        <v>24</v>
      </c>
      <c r="D53">
        <v>0.27557733527369199</v>
      </c>
      <c r="E53">
        <v>5.0566509063940004E-4</v>
      </c>
      <c r="F53">
        <v>1.0113301812788E-2</v>
      </c>
      <c r="G53">
        <v>53</v>
      </c>
      <c r="H53">
        <v>3.54969500067761E-2</v>
      </c>
      <c r="I53" t="s">
        <v>25</v>
      </c>
      <c r="J53" t="b">
        <v>1</v>
      </c>
      <c r="K53">
        <v>225.494717424877</v>
      </c>
      <c r="L53">
        <v>225.81904174920101</v>
      </c>
      <c r="M53">
        <v>0</v>
      </c>
      <c r="N53" t="s">
        <v>26</v>
      </c>
      <c r="O53" t="s">
        <v>26</v>
      </c>
      <c r="P53" t="s">
        <v>466</v>
      </c>
      <c r="Q53" t="s">
        <v>467</v>
      </c>
      <c r="R53" t="s">
        <v>27</v>
      </c>
      <c r="S53" t="s">
        <v>28</v>
      </c>
      <c r="T53" t="s">
        <v>29</v>
      </c>
      <c r="U53" t="s">
        <v>468</v>
      </c>
      <c r="V53">
        <v>1.5340655508315999</v>
      </c>
      <c r="W53">
        <v>9.3362722435367997E-3</v>
      </c>
      <c r="X53" t="s">
        <v>371</v>
      </c>
      <c r="Y53" t="s">
        <v>31</v>
      </c>
    </row>
    <row r="54" spans="1:25" x14ac:dyDescent="0.2">
      <c r="A54" t="s">
        <v>368</v>
      </c>
      <c r="B54" t="s">
        <v>75</v>
      </c>
      <c r="C54" t="s">
        <v>24</v>
      </c>
      <c r="D54">
        <v>3.9617053385860001E-4</v>
      </c>
      <c r="E54">
        <v>0.92644948175893704</v>
      </c>
      <c r="F54">
        <v>0.97520998079888099</v>
      </c>
      <c r="G54">
        <v>32</v>
      </c>
      <c r="H54">
        <v>-5.8600564611495003E-3</v>
      </c>
      <c r="I54" t="s">
        <v>25</v>
      </c>
      <c r="J54" t="b">
        <v>1</v>
      </c>
      <c r="K54">
        <v>151.517244066221</v>
      </c>
      <c r="L54">
        <v>152.08867263764901</v>
      </c>
      <c r="M54">
        <v>0</v>
      </c>
      <c r="N54" t="s">
        <v>26</v>
      </c>
      <c r="O54" t="s">
        <v>26</v>
      </c>
      <c r="P54" t="s">
        <v>469</v>
      </c>
      <c r="Q54">
        <f>-0.128864103769242 - 0.117143990846943</f>
        <v>-0.246008094616185</v>
      </c>
      <c r="R54" t="s">
        <v>27</v>
      </c>
      <c r="S54" t="s">
        <v>28</v>
      </c>
      <c r="T54" t="s">
        <v>29</v>
      </c>
      <c r="U54" t="s">
        <v>470</v>
      </c>
      <c r="V54">
        <v>3.77726389570222</v>
      </c>
      <c r="W54">
        <v>6.2757166993924599E-2</v>
      </c>
      <c r="X54" t="s">
        <v>371</v>
      </c>
      <c r="Y54" t="s">
        <v>31</v>
      </c>
    </row>
    <row r="55" spans="1:25" x14ac:dyDescent="0.2">
      <c r="A55" t="s">
        <v>368</v>
      </c>
      <c r="B55" t="s">
        <v>130</v>
      </c>
      <c r="C55" t="s">
        <v>24</v>
      </c>
      <c r="D55">
        <v>7.8317901174310995E-3</v>
      </c>
      <c r="E55">
        <v>0.70285966775090003</v>
      </c>
      <c r="F55">
        <v>0.95251268271506895</v>
      </c>
      <c r="G55">
        <v>63</v>
      </c>
      <c r="H55">
        <v>-4.2765483906716702E-2</v>
      </c>
      <c r="I55" t="s">
        <v>25</v>
      </c>
      <c r="J55" t="b">
        <v>1</v>
      </c>
      <c r="K55">
        <v>133.48103074953801</v>
      </c>
      <c r="L55">
        <v>134.14769741620501</v>
      </c>
      <c r="M55">
        <v>0</v>
      </c>
      <c r="N55" t="s">
        <v>26</v>
      </c>
      <c r="O55" t="s">
        <v>26</v>
      </c>
      <c r="P55" t="s">
        <v>471</v>
      </c>
      <c r="Q55">
        <f>-0.259204123283931 - 0.173673155470497</f>
        <v>-0.432877278754428</v>
      </c>
      <c r="R55" t="s">
        <v>34</v>
      </c>
      <c r="S55" t="s">
        <v>28</v>
      </c>
      <c r="T55" t="s">
        <v>29</v>
      </c>
      <c r="U55" t="s">
        <v>472</v>
      </c>
      <c r="V55">
        <v>3.90460923949811</v>
      </c>
      <c r="W55">
        <v>0.11042787723327201</v>
      </c>
      <c r="X55" t="s">
        <v>371</v>
      </c>
      <c r="Y55" t="s">
        <v>31</v>
      </c>
    </row>
    <row r="56" spans="1:25" x14ac:dyDescent="0.2">
      <c r="A56" t="s">
        <v>368</v>
      </c>
      <c r="B56" t="s">
        <v>71</v>
      </c>
      <c r="C56" t="s">
        <v>24</v>
      </c>
      <c r="D56">
        <v>0.115007368032072</v>
      </c>
      <c r="E56">
        <v>4.9756410042333998E-2</v>
      </c>
      <c r="F56">
        <v>0.74634615063500998</v>
      </c>
      <c r="G56">
        <v>8</v>
      </c>
      <c r="H56">
        <v>-0.11062417519108</v>
      </c>
      <c r="I56" t="s">
        <v>25</v>
      </c>
      <c r="J56" t="b">
        <v>1</v>
      </c>
      <c r="K56">
        <v>202.92399086539501</v>
      </c>
      <c r="L56">
        <v>203.311087639589</v>
      </c>
      <c r="M56">
        <v>0</v>
      </c>
      <c r="N56" t="s">
        <v>26</v>
      </c>
      <c r="O56" t="s">
        <v>26</v>
      </c>
      <c r="P56" t="s">
        <v>473</v>
      </c>
      <c r="Q56">
        <f>-0.216949843954306 - -0.00429850642785348</f>
        <v>-0.21265133752645252</v>
      </c>
      <c r="R56" t="s">
        <v>34</v>
      </c>
      <c r="S56" t="s">
        <v>28</v>
      </c>
      <c r="T56" t="s">
        <v>29</v>
      </c>
      <c r="U56" t="s">
        <v>474</v>
      </c>
      <c r="V56">
        <v>5.07081497735353</v>
      </c>
      <c r="W56">
        <v>5.4247790185319597E-2</v>
      </c>
      <c r="X56" t="s">
        <v>371</v>
      </c>
      <c r="Y56" t="s">
        <v>31</v>
      </c>
    </row>
    <row r="57" spans="1:25" x14ac:dyDescent="0.2">
      <c r="A57" t="s">
        <v>368</v>
      </c>
      <c r="B57" t="s">
        <v>109</v>
      </c>
      <c r="C57" t="s">
        <v>24</v>
      </c>
      <c r="D57">
        <v>2.78103136063385E-2</v>
      </c>
      <c r="E57">
        <v>0.72081240507757305</v>
      </c>
      <c r="F57">
        <v>0.95251268271506895</v>
      </c>
      <c r="G57">
        <v>49</v>
      </c>
      <c r="H57">
        <v>-2.6707313619715998E-3</v>
      </c>
      <c r="I57" t="s">
        <v>42</v>
      </c>
      <c r="J57" t="b">
        <v>1</v>
      </c>
      <c r="K57">
        <v>44.258469523915203</v>
      </c>
      <c r="L57">
        <v>47.258469523915203</v>
      </c>
      <c r="M57">
        <v>0</v>
      </c>
      <c r="N57" t="s">
        <v>26</v>
      </c>
      <c r="O57" t="s">
        <v>26</v>
      </c>
      <c r="P57" t="s">
        <v>475</v>
      </c>
      <c r="Q57">
        <f>-0.0165119343265941 - 0.0111704716026507</f>
        <v>-2.7682405929244799E-2</v>
      </c>
      <c r="R57" t="s">
        <v>27</v>
      </c>
      <c r="S57" t="s">
        <v>43</v>
      </c>
      <c r="T57" t="s">
        <v>26</v>
      </c>
      <c r="U57" t="s">
        <v>44</v>
      </c>
      <c r="V57">
        <v>6.0248581692253502</v>
      </c>
      <c r="W57">
        <v>7.0618382472562996E-3</v>
      </c>
      <c r="X57" t="s">
        <v>371</v>
      </c>
      <c r="Y57" t="s">
        <v>31</v>
      </c>
    </row>
    <row r="58" spans="1:25" x14ac:dyDescent="0.2">
      <c r="A58" t="s">
        <v>368</v>
      </c>
      <c r="B58" t="s">
        <v>157</v>
      </c>
      <c r="C58" t="s">
        <v>24</v>
      </c>
      <c r="D58">
        <v>3.5817631685242002E-3</v>
      </c>
      <c r="E58">
        <v>0.78117323842247399</v>
      </c>
      <c r="F58">
        <v>0.95251268271506895</v>
      </c>
      <c r="G58">
        <v>43</v>
      </c>
      <c r="H58">
        <v>-2.9176720121105002E-3</v>
      </c>
      <c r="I58" t="s">
        <v>25</v>
      </c>
      <c r="J58" t="b">
        <v>1</v>
      </c>
      <c r="K58">
        <v>130.95447009646901</v>
      </c>
      <c r="L58">
        <v>131.52589866789799</v>
      </c>
      <c r="M58">
        <v>0</v>
      </c>
      <c r="N58" t="s">
        <v>26</v>
      </c>
      <c r="O58" t="s">
        <v>26</v>
      </c>
      <c r="P58" t="s">
        <v>476</v>
      </c>
      <c r="Q58">
        <f>-0.0232531132900157 - 0.0174177692657946</f>
        <v>-4.0670882555810306E-2</v>
      </c>
      <c r="R58" t="s">
        <v>34</v>
      </c>
      <c r="S58" t="s">
        <v>28</v>
      </c>
      <c r="T58" t="s">
        <v>29</v>
      </c>
      <c r="U58" t="s">
        <v>477</v>
      </c>
      <c r="V58">
        <v>2.58671777338242</v>
      </c>
      <c r="W58">
        <v>1.03752251417883E-2</v>
      </c>
      <c r="X58" t="s">
        <v>371</v>
      </c>
      <c r="Y58" t="s">
        <v>31</v>
      </c>
    </row>
    <row r="59" spans="1:25" x14ac:dyDescent="0.2">
      <c r="A59" t="s">
        <v>368</v>
      </c>
      <c r="B59" t="s">
        <v>153</v>
      </c>
      <c r="C59" t="s">
        <v>24</v>
      </c>
      <c r="D59">
        <v>4.9470025713706102E-2</v>
      </c>
      <c r="E59">
        <v>0.22113019022526201</v>
      </c>
      <c r="F59">
        <v>0.95251268271506895</v>
      </c>
      <c r="G59">
        <v>6</v>
      </c>
      <c r="H59">
        <v>-3.06837864303059E-2</v>
      </c>
      <c r="I59" t="s">
        <v>25</v>
      </c>
      <c r="J59" t="b">
        <v>1</v>
      </c>
      <c r="K59">
        <v>175.38388228647801</v>
      </c>
      <c r="L59">
        <v>175.79767538992701</v>
      </c>
      <c r="M59">
        <v>0</v>
      </c>
      <c r="N59" t="s">
        <v>26</v>
      </c>
      <c r="O59" t="s">
        <v>26</v>
      </c>
      <c r="P59" t="s">
        <v>478</v>
      </c>
      <c r="Q59">
        <f>-0.078813827856751 - 0.0174462549961393</f>
        <v>-9.6260082852890311E-2</v>
      </c>
      <c r="R59" t="s">
        <v>33</v>
      </c>
      <c r="S59" t="s">
        <v>28</v>
      </c>
      <c r="T59" t="s">
        <v>29</v>
      </c>
      <c r="U59" t="s">
        <v>399</v>
      </c>
      <c r="V59">
        <v>3.7312228378463201</v>
      </c>
      <c r="W59">
        <v>2.4556143584921E-2</v>
      </c>
      <c r="X59" t="s">
        <v>371</v>
      </c>
      <c r="Y59" t="s">
        <v>31</v>
      </c>
    </row>
    <row r="60" spans="1:25" x14ac:dyDescent="0.2">
      <c r="A60" t="s">
        <v>368</v>
      </c>
      <c r="B60" t="s">
        <v>63</v>
      </c>
      <c r="C60" t="s">
        <v>24</v>
      </c>
      <c r="D60">
        <v>4.3611453340693503E-2</v>
      </c>
      <c r="E60">
        <v>0.35098492417133997</v>
      </c>
      <c r="F60">
        <v>0.95251268271506895</v>
      </c>
      <c r="G60">
        <v>59</v>
      </c>
      <c r="H60">
        <v>-2.2020739294822001E-2</v>
      </c>
      <c r="I60" t="s">
        <v>25</v>
      </c>
      <c r="J60" t="b">
        <v>1</v>
      </c>
      <c r="K60">
        <v>125.73134965765399</v>
      </c>
      <c r="L60">
        <v>126.362928605023</v>
      </c>
      <c r="M60">
        <v>0</v>
      </c>
      <c r="N60" t="s">
        <v>26</v>
      </c>
      <c r="O60" t="s">
        <v>26</v>
      </c>
      <c r="P60" t="s">
        <v>479</v>
      </c>
      <c r="Q60">
        <f>-0.0672156853399824 - 0.0231742067503385</f>
        <v>-9.0389892090320903E-2</v>
      </c>
      <c r="R60" t="s">
        <v>33</v>
      </c>
      <c r="S60" t="s">
        <v>28</v>
      </c>
      <c r="T60" t="s">
        <v>29</v>
      </c>
      <c r="U60" t="s">
        <v>480</v>
      </c>
      <c r="V60">
        <v>3.7952577114923001</v>
      </c>
      <c r="W60">
        <v>2.3058645941408398E-2</v>
      </c>
      <c r="X60" t="s">
        <v>371</v>
      </c>
      <c r="Y60" t="s">
        <v>31</v>
      </c>
    </row>
    <row r="61" spans="1:25" x14ac:dyDescent="0.2">
      <c r="A61" t="s">
        <v>368</v>
      </c>
      <c r="B61" t="s">
        <v>65</v>
      </c>
      <c r="C61" t="s">
        <v>24</v>
      </c>
      <c r="D61">
        <v>9.9285871749849996E-3</v>
      </c>
      <c r="E61">
        <v>0.55736431337713799</v>
      </c>
      <c r="F61">
        <v>0.95251268271506895</v>
      </c>
      <c r="G61">
        <v>39</v>
      </c>
      <c r="H61">
        <v>-1.35920992790577E-2</v>
      </c>
      <c r="I61" t="s">
        <v>25</v>
      </c>
      <c r="J61" t="b">
        <v>1</v>
      </c>
      <c r="K61">
        <v>222.50031769890899</v>
      </c>
      <c r="L61">
        <v>222.853258875379</v>
      </c>
      <c r="M61">
        <v>0</v>
      </c>
      <c r="N61" t="s">
        <v>26</v>
      </c>
      <c r="O61" t="s">
        <v>26</v>
      </c>
      <c r="P61" t="s">
        <v>481</v>
      </c>
      <c r="Q61">
        <f>-0.0585595348430571 - 0.0313753362849417</f>
        <v>-8.9934871127998806E-2</v>
      </c>
      <c r="R61" t="s">
        <v>27</v>
      </c>
      <c r="S61" t="s">
        <v>28</v>
      </c>
      <c r="T61" t="s">
        <v>29</v>
      </c>
      <c r="U61" t="s">
        <v>482</v>
      </c>
      <c r="V61">
        <v>3.5283239847860699</v>
      </c>
      <c r="W61">
        <v>2.29425691653058E-2</v>
      </c>
      <c r="X61" t="s">
        <v>371</v>
      </c>
      <c r="Y61" t="s">
        <v>31</v>
      </c>
    </row>
    <row r="62" spans="1:25" x14ac:dyDescent="0.2">
      <c r="A62" t="s">
        <v>368</v>
      </c>
      <c r="B62" t="s">
        <v>159</v>
      </c>
      <c r="C62" t="s">
        <v>24</v>
      </c>
      <c r="D62" s="1">
        <v>1.8583118561555201E-5</v>
      </c>
      <c r="E62">
        <v>0.97893866644522098</v>
      </c>
      <c r="F62">
        <v>0.98426627671704203</v>
      </c>
      <c r="G62">
        <v>31</v>
      </c>
      <c r="H62">
        <v>3.8199278760529999E-4</v>
      </c>
      <c r="I62" t="s">
        <v>25</v>
      </c>
      <c r="J62" t="b">
        <v>1</v>
      </c>
      <c r="K62">
        <v>237.672174437731</v>
      </c>
      <c r="L62">
        <v>237.99649876205601</v>
      </c>
      <c r="M62">
        <v>0</v>
      </c>
      <c r="N62" t="s">
        <v>26</v>
      </c>
      <c r="O62" t="s">
        <v>26</v>
      </c>
      <c r="P62" t="s">
        <v>483</v>
      </c>
      <c r="Q62">
        <f>-0.0277924997129315 - 0.0285564852881422</f>
        <v>-5.6348985001073701E-2</v>
      </c>
      <c r="R62" t="s">
        <v>32</v>
      </c>
      <c r="S62" t="s">
        <v>28</v>
      </c>
      <c r="T62" t="s">
        <v>29</v>
      </c>
      <c r="U62" t="s">
        <v>484</v>
      </c>
      <c r="V62">
        <v>3.1703201904113398</v>
      </c>
      <c r="W62">
        <v>1.43747410717025E-2</v>
      </c>
      <c r="X62" t="s">
        <v>371</v>
      </c>
      <c r="Y62" t="s">
        <v>31</v>
      </c>
    </row>
    <row r="63" spans="1:25" x14ac:dyDescent="0.2">
      <c r="A63" t="s">
        <v>368</v>
      </c>
      <c r="B63" t="s">
        <v>132</v>
      </c>
      <c r="C63" t="s">
        <v>24</v>
      </c>
      <c r="D63">
        <v>3.2681578754204001E-3</v>
      </c>
      <c r="E63">
        <v>0.82748186397583101</v>
      </c>
      <c r="F63">
        <v>0.95251268271506895</v>
      </c>
      <c r="G63">
        <v>46</v>
      </c>
      <c r="H63">
        <v>-9.1277864434177996E-3</v>
      </c>
      <c r="I63" t="s">
        <v>25</v>
      </c>
      <c r="J63" t="b">
        <v>1</v>
      </c>
      <c r="K63">
        <v>112.810118869189</v>
      </c>
      <c r="L63">
        <v>113.66726172633101</v>
      </c>
      <c r="M63">
        <v>0</v>
      </c>
      <c r="N63" t="s">
        <v>26</v>
      </c>
      <c r="O63" t="s">
        <v>26</v>
      </c>
      <c r="P63" t="s">
        <v>485</v>
      </c>
      <c r="Q63">
        <f>-0.0897980665386147 - 0.0715424936517791</f>
        <v>-0.16134056019039381</v>
      </c>
      <c r="R63" t="s">
        <v>34</v>
      </c>
      <c r="S63" t="s">
        <v>28</v>
      </c>
      <c r="T63" t="s">
        <v>29</v>
      </c>
      <c r="U63" t="s">
        <v>486</v>
      </c>
      <c r="V63">
        <v>4.5086873923604198</v>
      </c>
      <c r="W63">
        <v>4.1158306171018802E-2</v>
      </c>
      <c r="X63" t="s">
        <v>371</v>
      </c>
      <c r="Y63" t="s">
        <v>31</v>
      </c>
    </row>
    <row r="64" spans="1:25" x14ac:dyDescent="0.2">
      <c r="A64" t="s">
        <v>368</v>
      </c>
      <c r="B64" t="s">
        <v>115</v>
      </c>
      <c r="C64" t="s">
        <v>24</v>
      </c>
      <c r="D64">
        <v>0.21610305550883699</v>
      </c>
      <c r="E64">
        <v>6.4161950715612998E-3</v>
      </c>
      <c r="F64" t="s">
        <v>35</v>
      </c>
      <c r="G64">
        <v>19</v>
      </c>
      <c r="H64">
        <v>3.26260127197407E-2</v>
      </c>
      <c r="I64" t="s">
        <v>39</v>
      </c>
      <c r="J64" t="b">
        <v>0</v>
      </c>
      <c r="K64">
        <v>211.17861993864801</v>
      </c>
      <c r="L64">
        <v>211.57861993864799</v>
      </c>
      <c r="M64">
        <v>13.284677877279901</v>
      </c>
      <c r="N64" t="s">
        <v>26</v>
      </c>
      <c r="O64" t="s">
        <v>26</v>
      </c>
      <c r="P64" t="s">
        <v>458</v>
      </c>
      <c r="Q64" t="s">
        <v>487</v>
      </c>
      <c r="R64" t="s">
        <v>34</v>
      </c>
      <c r="S64" t="s">
        <v>40</v>
      </c>
      <c r="T64" t="s">
        <v>41</v>
      </c>
      <c r="U64" t="s">
        <v>488</v>
      </c>
      <c r="V64">
        <v>3.74189987249538</v>
      </c>
      <c r="W64">
        <v>1.11604623403818E-2</v>
      </c>
      <c r="X64" t="s">
        <v>371</v>
      </c>
      <c r="Y64" t="s">
        <v>31</v>
      </c>
    </row>
    <row r="65" spans="1:25" x14ac:dyDescent="0.2">
      <c r="A65" t="s">
        <v>368</v>
      </c>
      <c r="B65" t="s">
        <v>124</v>
      </c>
      <c r="C65" t="s">
        <v>24</v>
      </c>
      <c r="D65">
        <v>5.1303424001892202E-2</v>
      </c>
      <c r="E65">
        <v>0.165568740786732</v>
      </c>
      <c r="F65" t="s">
        <v>35</v>
      </c>
      <c r="G65">
        <v>23</v>
      </c>
      <c r="H65">
        <v>-1.5997113916749101E-2</v>
      </c>
      <c r="I65" t="s">
        <v>42</v>
      </c>
      <c r="J65" t="b">
        <v>0</v>
      </c>
      <c r="K65">
        <v>249.628554666279</v>
      </c>
      <c r="L65">
        <v>249.961887999613</v>
      </c>
      <c r="M65">
        <v>18.157215081407902</v>
      </c>
      <c r="N65" t="s">
        <v>26</v>
      </c>
      <c r="O65" t="s">
        <v>26</v>
      </c>
      <c r="P65" t="s">
        <v>440</v>
      </c>
      <c r="Q65">
        <f>-0.0381631143742695 - 0.00616888654077129</f>
        <v>-4.433200091504079E-2</v>
      </c>
      <c r="R65" t="s">
        <v>33</v>
      </c>
      <c r="S65" t="s">
        <v>43</v>
      </c>
      <c r="T65" t="s">
        <v>26</v>
      </c>
      <c r="U65" t="s">
        <v>44</v>
      </c>
      <c r="V65">
        <v>4.5059972723825998</v>
      </c>
      <c r="W65">
        <v>1.1309183906898199E-2</v>
      </c>
      <c r="X65" t="s">
        <v>371</v>
      </c>
      <c r="Y65" t="s">
        <v>31</v>
      </c>
    </row>
    <row r="66" spans="1:25" x14ac:dyDescent="0.2">
      <c r="A66" t="s">
        <v>368</v>
      </c>
      <c r="B66" t="s">
        <v>67</v>
      </c>
      <c r="C66" t="s">
        <v>24</v>
      </c>
      <c r="D66">
        <v>7.3743435464848003E-2</v>
      </c>
      <c r="E66">
        <v>0.47966605005589802</v>
      </c>
      <c r="F66" t="s">
        <v>35</v>
      </c>
      <c r="G66">
        <v>57</v>
      </c>
      <c r="H66">
        <v>-9.3641447927595E-3</v>
      </c>
      <c r="I66" t="s">
        <v>42</v>
      </c>
      <c r="J66" t="b">
        <v>0</v>
      </c>
      <c r="K66">
        <v>51.461689190780298</v>
      </c>
      <c r="L66">
        <v>53.461689190780298</v>
      </c>
      <c r="M66">
        <v>4.53506829386967E-2</v>
      </c>
      <c r="N66" t="s">
        <v>26</v>
      </c>
      <c r="O66" t="s">
        <v>26</v>
      </c>
      <c r="P66" t="s">
        <v>405</v>
      </c>
      <c r="Q66">
        <f>-0.0339496500604919 - 0.0152213604749729</f>
        <v>-4.9171010535464799E-2</v>
      </c>
      <c r="R66" t="s">
        <v>33</v>
      </c>
      <c r="S66" t="s">
        <v>43</v>
      </c>
      <c r="T66" t="s">
        <v>26</v>
      </c>
      <c r="U66" t="s">
        <v>44</v>
      </c>
      <c r="V66">
        <v>6.8631768097111703</v>
      </c>
      <c r="W66">
        <v>1.2543625136598201E-2</v>
      </c>
      <c r="X66" t="s">
        <v>371</v>
      </c>
      <c r="Y66" t="s">
        <v>31</v>
      </c>
    </row>
    <row r="67" spans="1:25" x14ac:dyDescent="0.2">
      <c r="A67" t="s">
        <v>368</v>
      </c>
      <c r="B67" t="s">
        <v>103</v>
      </c>
      <c r="C67" t="s">
        <v>24</v>
      </c>
      <c r="D67">
        <v>5.3091832429313004E-3</v>
      </c>
      <c r="E67">
        <v>0.64240361903253096</v>
      </c>
      <c r="F67" t="s">
        <v>35</v>
      </c>
      <c r="G67">
        <v>57</v>
      </c>
      <c r="H67">
        <v>-6.2923434131514997E-3</v>
      </c>
      <c r="I67" t="s">
        <v>36</v>
      </c>
      <c r="J67" t="b">
        <v>0</v>
      </c>
      <c r="K67">
        <v>267.66864339114898</v>
      </c>
      <c r="L67">
        <v>267.96864339114899</v>
      </c>
      <c r="M67">
        <v>14.381056886745901</v>
      </c>
      <c r="N67" t="s">
        <v>26</v>
      </c>
      <c r="O67" t="s">
        <v>26</v>
      </c>
      <c r="P67" t="s">
        <v>382</v>
      </c>
      <c r="Q67">
        <f>-0.0326560674215445 - 0.0200713805952415</f>
        <v>-5.2727448016785999E-2</v>
      </c>
      <c r="R67" t="s">
        <v>27</v>
      </c>
      <c r="S67" t="s">
        <v>37</v>
      </c>
      <c r="T67" t="s">
        <v>38</v>
      </c>
      <c r="U67" t="s">
        <v>489</v>
      </c>
      <c r="V67">
        <v>3.9326417885091498</v>
      </c>
      <c r="W67">
        <v>1.34508795961189E-2</v>
      </c>
      <c r="X67" t="s">
        <v>371</v>
      </c>
      <c r="Y67" t="s">
        <v>31</v>
      </c>
    </row>
    <row r="68" spans="1:25" x14ac:dyDescent="0.2">
      <c r="A68" t="s">
        <v>368</v>
      </c>
      <c r="B68" t="s">
        <v>149</v>
      </c>
      <c r="C68" t="s">
        <v>24</v>
      </c>
      <c r="D68">
        <v>5.1473656376490001E-4</v>
      </c>
      <c r="E68">
        <v>0.953800601140255</v>
      </c>
      <c r="F68" t="s">
        <v>35</v>
      </c>
      <c r="G68">
        <v>66</v>
      </c>
      <c r="H68">
        <v>1.034687172079E-3</v>
      </c>
      <c r="I68" t="s">
        <v>42</v>
      </c>
      <c r="J68" t="b">
        <v>0</v>
      </c>
      <c r="K68">
        <v>74.846143393244503</v>
      </c>
      <c r="L68">
        <v>76.846143393244503</v>
      </c>
      <c r="M68">
        <v>9.0988161353125996</v>
      </c>
      <c r="N68" t="s">
        <v>26</v>
      </c>
      <c r="O68" t="s">
        <v>26</v>
      </c>
      <c r="P68" t="s">
        <v>448</v>
      </c>
      <c r="Q68">
        <f>-0.0327415918972045 - 0.0348109662413626</f>
        <v>-6.7552558138567101E-2</v>
      </c>
      <c r="R68" t="s">
        <v>32</v>
      </c>
      <c r="S68" t="s">
        <v>43</v>
      </c>
      <c r="T68" t="s">
        <v>26</v>
      </c>
      <c r="U68" t="s">
        <v>44</v>
      </c>
      <c r="V68">
        <v>6.3140575568775397</v>
      </c>
      <c r="W68">
        <v>1.7232795443512E-2</v>
      </c>
      <c r="X68" t="s">
        <v>371</v>
      </c>
      <c r="Y68" t="s">
        <v>31</v>
      </c>
    </row>
    <row r="69" spans="1:25" x14ac:dyDescent="0.2">
      <c r="A69" t="s">
        <v>368</v>
      </c>
      <c r="B69" t="s">
        <v>99</v>
      </c>
      <c r="C69" t="s">
        <v>24</v>
      </c>
      <c r="D69">
        <v>1.0989760989728E-3</v>
      </c>
      <c r="E69">
        <v>0.872276905712702</v>
      </c>
      <c r="F69" t="s">
        <v>35</v>
      </c>
      <c r="G69">
        <v>57</v>
      </c>
      <c r="H69">
        <v>6.5720446811605004E-3</v>
      </c>
      <c r="I69" t="s">
        <v>36</v>
      </c>
      <c r="J69" t="b">
        <v>0</v>
      </c>
      <c r="K69">
        <v>155.58107944663701</v>
      </c>
      <c r="L69">
        <v>156.10281857707199</v>
      </c>
      <c r="M69">
        <v>9.8258049725469903</v>
      </c>
      <c r="N69" t="s">
        <v>26</v>
      </c>
      <c r="O69" t="s">
        <v>26</v>
      </c>
      <c r="P69" t="s">
        <v>390</v>
      </c>
      <c r="Q69">
        <f>-0.0726996355250447 - 0.0858437248873658</f>
        <v>-0.15854336041241052</v>
      </c>
      <c r="R69" t="s">
        <v>33</v>
      </c>
      <c r="S69" t="s">
        <v>37</v>
      </c>
      <c r="T69" t="s">
        <v>38</v>
      </c>
      <c r="U69" t="s">
        <v>490</v>
      </c>
      <c r="V69">
        <v>4.9511083226652302</v>
      </c>
      <c r="W69">
        <v>4.0444734799084302E-2</v>
      </c>
      <c r="X69" t="s">
        <v>371</v>
      </c>
      <c r="Y69" t="s">
        <v>31</v>
      </c>
    </row>
    <row r="70" spans="1:25" x14ac:dyDescent="0.2">
      <c r="A70" t="s">
        <v>368</v>
      </c>
      <c r="B70" t="s">
        <v>77</v>
      </c>
      <c r="C70" t="s">
        <v>24</v>
      </c>
      <c r="D70">
        <v>9.4469274150991E-3</v>
      </c>
      <c r="E70">
        <v>0.57280267652389005</v>
      </c>
      <c r="F70" t="s">
        <v>35</v>
      </c>
      <c r="G70">
        <v>10</v>
      </c>
      <c r="H70">
        <v>-1.2676425881565199E-2</v>
      </c>
      <c r="I70" t="s">
        <v>42</v>
      </c>
      <c r="J70" t="b">
        <v>0</v>
      </c>
      <c r="K70">
        <v>232.63292128807601</v>
      </c>
      <c r="L70">
        <v>232.99655765171201</v>
      </c>
      <c r="M70">
        <v>19.355518804848899</v>
      </c>
      <c r="N70" t="s">
        <v>26</v>
      </c>
      <c r="O70" t="s">
        <v>26</v>
      </c>
      <c r="P70" t="s">
        <v>403</v>
      </c>
      <c r="Q70">
        <f>-0.0563086166863184 - 0.0309557649231881</f>
        <v>-8.7264381609506503E-2</v>
      </c>
      <c r="R70" t="s">
        <v>34</v>
      </c>
      <c r="S70" t="s">
        <v>43</v>
      </c>
      <c r="T70" t="s">
        <v>26</v>
      </c>
      <c r="U70" t="s">
        <v>44</v>
      </c>
      <c r="V70">
        <v>4.0549120179754903</v>
      </c>
      <c r="W70">
        <v>2.2261321839159801E-2</v>
      </c>
      <c r="X70" t="s">
        <v>371</v>
      </c>
      <c r="Y70" t="s">
        <v>31</v>
      </c>
    </row>
    <row r="71" spans="1:25" x14ac:dyDescent="0.2">
      <c r="A71" t="s">
        <v>368</v>
      </c>
      <c r="B71" t="s">
        <v>132</v>
      </c>
      <c r="C71" t="s">
        <v>24</v>
      </c>
      <c r="D71">
        <v>9.0966431714667395E-2</v>
      </c>
      <c r="E71">
        <v>0.239402256370156</v>
      </c>
      <c r="F71" t="s">
        <v>35</v>
      </c>
      <c r="G71">
        <v>46</v>
      </c>
      <c r="H71">
        <v>-2.56117723905958E-2</v>
      </c>
      <c r="I71" t="s">
        <v>39</v>
      </c>
      <c r="J71" t="b">
        <v>0</v>
      </c>
      <c r="K71">
        <v>117.351118680274</v>
      </c>
      <c r="L71">
        <v>118.208261537417</v>
      </c>
      <c r="M71">
        <v>4.5409998110859897</v>
      </c>
      <c r="N71" t="s">
        <v>26</v>
      </c>
      <c r="O71" t="s">
        <v>26</v>
      </c>
      <c r="P71" t="s">
        <v>485</v>
      </c>
      <c r="Q71">
        <f>-0.0665849320766645 - 0.0153613872954729</f>
        <v>-8.1946319372137394E-2</v>
      </c>
      <c r="R71" t="s">
        <v>34</v>
      </c>
      <c r="S71" t="s">
        <v>40</v>
      </c>
      <c r="T71" t="s">
        <v>41</v>
      </c>
      <c r="U71" t="s">
        <v>491</v>
      </c>
      <c r="V71">
        <v>6.3369721187797596</v>
      </c>
      <c r="W71">
        <v>2.0904673309218701E-2</v>
      </c>
      <c r="X71" t="s">
        <v>371</v>
      </c>
      <c r="Y71" t="s">
        <v>31</v>
      </c>
    </row>
    <row r="72" spans="1:25" x14ac:dyDescent="0.2">
      <c r="A72" t="s">
        <v>368</v>
      </c>
      <c r="B72" t="s">
        <v>126</v>
      </c>
      <c r="C72" t="s">
        <v>24</v>
      </c>
      <c r="D72">
        <v>7.6735203379030406E-2</v>
      </c>
      <c r="E72">
        <v>0.43843488837051198</v>
      </c>
      <c r="F72" t="s">
        <v>35</v>
      </c>
      <c r="G72">
        <v>10</v>
      </c>
      <c r="H72">
        <v>2.3691936213899301E-2</v>
      </c>
      <c r="I72" t="s">
        <v>36</v>
      </c>
      <c r="J72" t="b">
        <v>0</v>
      </c>
      <c r="K72">
        <v>56.035406861980199</v>
      </c>
      <c r="L72">
        <v>57.749692576266</v>
      </c>
      <c r="M72">
        <v>6.4794414742600198E-2</v>
      </c>
      <c r="N72" t="s">
        <v>26</v>
      </c>
      <c r="O72" t="s">
        <v>26</v>
      </c>
      <c r="P72" t="s">
        <v>452</v>
      </c>
      <c r="Q72">
        <f>-0.0332559287555507 - 0.0806398011833493</f>
        <v>-0.11389572993890001</v>
      </c>
      <c r="R72" t="s">
        <v>27</v>
      </c>
      <c r="S72" t="s">
        <v>37</v>
      </c>
      <c r="T72" t="s">
        <v>38</v>
      </c>
      <c r="U72" t="s">
        <v>492</v>
      </c>
      <c r="V72">
        <v>5.9078575279889396</v>
      </c>
      <c r="W72">
        <v>2.9055033147678599E-2</v>
      </c>
      <c r="X72" t="s">
        <v>371</v>
      </c>
      <c r="Y72" t="s">
        <v>31</v>
      </c>
    </row>
    <row r="73" spans="1:25" x14ac:dyDescent="0.2">
      <c r="A73" t="s">
        <v>368</v>
      </c>
      <c r="B73" t="s">
        <v>93</v>
      </c>
      <c r="C73" t="s">
        <v>24</v>
      </c>
      <c r="D73">
        <v>0.22200087819473699</v>
      </c>
      <c r="E73">
        <v>0.14349980847354901</v>
      </c>
      <c r="F73" t="s">
        <v>35</v>
      </c>
      <c r="G73">
        <v>27</v>
      </c>
      <c r="H73">
        <v>0.34874925926084099</v>
      </c>
      <c r="I73" t="s">
        <v>42</v>
      </c>
      <c r="J73" t="b">
        <v>0</v>
      </c>
      <c r="K73">
        <v>72.400432263646707</v>
      </c>
      <c r="L73">
        <v>73.900432263646707</v>
      </c>
      <c r="M73">
        <v>8.6024443586053092</v>
      </c>
      <c r="N73" t="s">
        <v>26</v>
      </c>
      <c r="O73" t="s">
        <v>26</v>
      </c>
      <c r="P73" t="s">
        <v>446</v>
      </c>
      <c r="Q73">
        <f>-0.0777912838968236 - 0.775289802418506</f>
        <v>-0.85308108631532953</v>
      </c>
      <c r="R73" t="s">
        <v>32</v>
      </c>
      <c r="S73" t="s">
        <v>43</v>
      </c>
      <c r="T73" t="s">
        <v>26</v>
      </c>
      <c r="U73" t="s">
        <v>44</v>
      </c>
      <c r="V73">
        <v>2.9680078427164198</v>
      </c>
      <c r="W73">
        <v>0.21762272610084901</v>
      </c>
      <c r="X73" t="s">
        <v>371</v>
      </c>
      <c r="Y73" t="s">
        <v>31</v>
      </c>
    </row>
    <row r="74" spans="1:25" x14ac:dyDescent="0.2">
      <c r="A74" t="s">
        <v>368</v>
      </c>
      <c r="B74" t="s">
        <v>59</v>
      </c>
      <c r="C74" t="s">
        <v>24</v>
      </c>
      <c r="D74">
        <v>1.0602162809599599E-2</v>
      </c>
      <c r="E74">
        <v>0.55011390573450403</v>
      </c>
      <c r="F74" t="s">
        <v>35</v>
      </c>
      <c r="G74">
        <v>20</v>
      </c>
      <c r="H74">
        <v>-3.1271534270539002E-3</v>
      </c>
      <c r="I74" t="s">
        <v>39</v>
      </c>
      <c r="J74" t="b">
        <v>0</v>
      </c>
      <c r="K74">
        <v>208.86559766898799</v>
      </c>
      <c r="L74">
        <v>209.22923403262399</v>
      </c>
      <c r="M74">
        <v>11.967436378</v>
      </c>
      <c r="N74" t="s">
        <v>26</v>
      </c>
      <c r="O74" t="s">
        <v>26</v>
      </c>
      <c r="P74" t="s">
        <v>386</v>
      </c>
      <c r="Q74">
        <f>-0.0132815482615315 - 0.00702724140742364</f>
        <v>-2.0308789668955142E-2</v>
      </c>
      <c r="R74" t="s">
        <v>27</v>
      </c>
      <c r="S74" t="s">
        <v>40</v>
      </c>
      <c r="T74" t="s">
        <v>41</v>
      </c>
      <c r="U74" t="s">
        <v>493</v>
      </c>
      <c r="V74">
        <v>3.4325300445489701</v>
      </c>
      <c r="W74">
        <v>5.1808136910598997E-3</v>
      </c>
      <c r="X74" t="s">
        <v>371</v>
      </c>
      <c r="Y74" t="s">
        <v>31</v>
      </c>
    </row>
    <row r="75" spans="1:25" x14ac:dyDescent="0.2">
      <c r="A75" t="s">
        <v>368</v>
      </c>
      <c r="B75" t="s">
        <v>159</v>
      </c>
      <c r="C75" t="s">
        <v>24</v>
      </c>
      <c r="D75">
        <v>1.2278422633375599E-2</v>
      </c>
      <c r="E75">
        <v>0.49606785457011299</v>
      </c>
      <c r="F75" t="s">
        <v>35</v>
      </c>
      <c r="G75">
        <v>31</v>
      </c>
      <c r="H75">
        <v>-4.6490794494898E-3</v>
      </c>
      <c r="I75" t="s">
        <v>39</v>
      </c>
      <c r="J75" t="b">
        <v>0</v>
      </c>
      <c r="K75">
        <v>254.20922740780699</v>
      </c>
      <c r="L75">
        <v>254.533551732132</v>
      </c>
      <c r="M75">
        <v>16.537052970075901</v>
      </c>
      <c r="N75" t="s">
        <v>26</v>
      </c>
      <c r="O75" t="s">
        <v>26</v>
      </c>
      <c r="P75" t="s">
        <v>483</v>
      </c>
      <c r="Q75">
        <f>-0.0179070552718913 - 0.00860889637291153</f>
        <v>-2.6515951644802829E-2</v>
      </c>
      <c r="R75" t="s">
        <v>32</v>
      </c>
      <c r="S75" t="s">
        <v>40</v>
      </c>
      <c r="T75" t="s">
        <v>41</v>
      </c>
      <c r="U75" t="s">
        <v>494</v>
      </c>
      <c r="V75">
        <v>4.0279502450191904</v>
      </c>
      <c r="W75">
        <v>6.7642733787762E-3</v>
      </c>
      <c r="X75" t="s">
        <v>371</v>
      </c>
      <c r="Y75" t="s">
        <v>31</v>
      </c>
    </row>
    <row r="76" spans="1:25" x14ac:dyDescent="0.2">
      <c r="A76" t="s">
        <v>368</v>
      </c>
      <c r="B76" t="s">
        <v>88</v>
      </c>
      <c r="C76" t="s">
        <v>24</v>
      </c>
      <c r="D76">
        <v>9.9719576359105694E-2</v>
      </c>
      <c r="E76">
        <v>0.79546495971513698</v>
      </c>
      <c r="F76" t="s">
        <v>35</v>
      </c>
      <c r="G76">
        <v>41</v>
      </c>
      <c r="H76">
        <v>-8.2537852077819995E-4</v>
      </c>
      <c r="I76" t="s">
        <v>36</v>
      </c>
      <c r="J76" t="b">
        <v>0</v>
      </c>
      <c r="K76">
        <v>14.477877967886201</v>
      </c>
      <c r="L76" t="s">
        <v>464</v>
      </c>
      <c r="N76" t="s">
        <v>26</v>
      </c>
      <c r="O76" t="s">
        <v>26</v>
      </c>
      <c r="P76" t="s">
        <v>465</v>
      </c>
      <c r="Q76">
        <f>-0.00568618045612823 - 0.00403542341457181</f>
        <v>-9.7216038707000386E-3</v>
      </c>
      <c r="R76" t="s">
        <v>34</v>
      </c>
      <c r="S76" t="s">
        <v>37</v>
      </c>
      <c r="T76" t="s">
        <v>38</v>
      </c>
      <c r="U76" t="s">
        <v>495</v>
      </c>
      <c r="V76">
        <v>1.85147390027728</v>
      </c>
      <c r="W76">
        <v>2.4800009874234E-3</v>
      </c>
      <c r="X76" t="s">
        <v>371</v>
      </c>
      <c r="Y76" t="s">
        <v>31</v>
      </c>
    </row>
    <row r="77" spans="1:25" x14ac:dyDescent="0.2">
      <c r="A77" t="s">
        <v>368</v>
      </c>
      <c r="B77" t="s">
        <v>105</v>
      </c>
      <c r="C77" t="s">
        <v>24</v>
      </c>
      <c r="D77">
        <v>0.158315627615608</v>
      </c>
      <c r="E77">
        <v>0.17815476239233799</v>
      </c>
      <c r="F77" t="s">
        <v>35</v>
      </c>
      <c r="G77">
        <v>55</v>
      </c>
      <c r="H77">
        <v>-0.108312821273714</v>
      </c>
      <c r="I77" t="s">
        <v>39</v>
      </c>
      <c r="J77" t="b">
        <v>0</v>
      </c>
      <c r="K77">
        <v>97.117672258372295</v>
      </c>
      <c r="L77">
        <v>98.317672258372298</v>
      </c>
      <c r="M77">
        <v>8.9876506674312893</v>
      </c>
      <c r="N77" t="s">
        <v>26</v>
      </c>
      <c r="O77" t="s">
        <v>26</v>
      </c>
      <c r="P77" t="s">
        <v>434</v>
      </c>
      <c r="Q77">
        <f>-0.255901258922158 - 0.0392756163747298</f>
        <v>-0.2951768752968878</v>
      </c>
      <c r="R77" t="s">
        <v>32</v>
      </c>
      <c r="S77" t="s">
        <v>40</v>
      </c>
      <c r="T77" t="s">
        <v>41</v>
      </c>
      <c r="U77" t="s">
        <v>496</v>
      </c>
      <c r="V77">
        <v>9.4301477694942104</v>
      </c>
      <c r="W77">
        <v>7.5300223290022394E-2</v>
      </c>
      <c r="X77" t="s">
        <v>371</v>
      </c>
      <c r="Y77" t="s">
        <v>31</v>
      </c>
    </row>
    <row r="78" spans="1:25" x14ac:dyDescent="0.2">
      <c r="A78" t="s">
        <v>368</v>
      </c>
      <c r="B78" t="s">
        <v>55</v>
      </c>
      <c r="C78" t="s">
        <v>24</v>
      </c>
      <c r="D78">
        <v>4.6391714759486998E-3</v>
      </c>
      <c r="E78">
        <v>0.71580743844450201</v>
      </c>
      <c r="F78" t="s">
        <v>35</v>
      </c>
      <c r="G78">
        <v>48</v>
      </c>
      <c r="H78">
        <v>-1.8455261672295799E-2</v>
      </c>
      <c r="I78" t="s">
        <v>36</v>
      </c>
      <c r="J78" t="b">
        <v>0</v>
      </c>
      <c r="K78">
        <v>203.898979157626</v>
      </c>
      <c r="L78">
        <v>204.32755058619799</v>
      </c>
      <c r="M78">
        <v>13.1726131536299</v>
      </c>
      <c r="N78" t="s">
        <v>26</v>
      </c>
      <c r="O78" t="s">
        <v>26</v>
      </c>
      <c r="P78" t="s">
        <v>414</v>
      </c>
      <c r="Q78">
        <f>-0.116844441371612 - 0.07993391802702</f>
        <v>-0.196778359398632</v>
      </c>
      <c r="R78" t="s">
        <v>33</v>
      </c>
      <c r="S78" t="s">
        <v>37</v>
      </c>
      <c r="T78" t="s">
        <v>38</v>
      </c>
      <c r="U78" t="s">
        <v>497</v>
      </c>
      <c r="V78">
        <v>5.6177406593033696</v>
      </c>
      <c r="W78">
        <v>5.0198561071079499E-2</v>
      </c>
      <c r="X78" t="s">
        <v>371</v>
      </c>
      <c r="Y78" t="s">
        <v>31</v>
      </c>
    </row>
    <row r="79" spans="1:25" x14ac:dyDescent="0.2">
      <c r="A79" t="s">
        <v>368</v>
      </c>
      <c r="B79" t="s">
        <v>147</v>
      </c>
      <c r="C79" t="s">
        <v>24</v>
      </c>
      <c r="D79">
        <v>5.4757741283917001E-3</v>
      </c>
      <c r="E79">
        <v>0.66798833778917499</v>
      </c>
      <c r="F79" t="s">
        <v>35</v>
      </c>
      <c r="G79">
        <v>45</v>
      </c>
      <c r="H79">
        <v>-1.4509410844415101E-2</v>
      </c>
      <c r="I79" t="s">
        <v>36</v>
      </c>
      <c r="J79" t="b">
        <v>0</v>
      </c>
      <c r="K79">
        <v>230.766121311684</v>
      </c>
      <c r="L79">
        <v>231.129757675321</v>
      </c>
      <c r="M79">
        <v>14.775966582038899</v>
      </c>
      <c r="N79" t="s">
        <v>26</v>
      </c>
      <c r="O79" t="s">
        <v>26</v>
      </c>
      <c r="P79" t="s">
        <v>396</v>
      </c>
      <c r="Q79">
        <f>-0.0802375461585415 - 0.0512187244697112</f>
        <v>-0.13145627062825271</v>
      </c>
      <c r="R79" t="s">
        <v>32</v>
      </c>
      <c r="S79" t="s">
        <v>37</v>
      </c>
      <c r="T79" t="s">
        <v>38</v>
      </c>
      <c r="U79" t="s">
        <v>498</v>
      </c>
      <c r="V79">
        <v>4.0979982455565098</v>
      </c>
      <c r="W79">
        <v>3.3534762915370601E-2</v>
      </c>
      <c r="X79" t="s">
        <v>371</v>
      </c>
      <c r="Y79" t="s">
        <v>31</v>
      </c>
    </row>
    <row r="80" spans="1:25" x14ac:dyDescent="0.2">
      <c r="A80" t="s">
        <v>368</v>
      </c>
      <c r="B80" t="s">
        <v>170</v>
      </c>
      <c r="C80" t="s">
        <v>24</v>
      </c>
      <c r="D80">
        <v>6.5060419127779996E-4</v>
      </c>
      <c r="E80">
        <v>0.87585180493171699</v>
      </c>
      <c r="F80" t="s">
        <v>35</v>
      </c>
      <c r="G80">
        <v>41</v>
      </c>
      <c r="H80">
        <v>1.0937923325807001E-3</v>
      </c>
      <c r="I80" t="s">
        <v>39</v>
      </c>
      <c r="J80" t="b">
        <v>0</v>
      </c>
      <c r="K80">
        <v>254.6773717801</v>
      </c>
      <c r="L80">
        <v>255.00169610442501</v>
      </c>
      <c r="M80">
        <v>17.059748816566</v>
      </c>
      <c r="N80" t="s">
        <v>26</v>
      </c>
      <c r="O80" t="s">
        <v>26</v>
      </c>
      <c r="P80" t="s">
        <v>432</v>
      </c>
      <c r="Q80">
        <f>-0.0125363187879338 - 0.0147239034530953</f>
        <v>-2.72602222410291E-2</v>
      </c>
      <c r="R80" t="s">
        <v>32</v>
      </c>
      <c r="S80" t="s">
        <v>40</v>
      </c>
      <c r="T80" t="s">
        <v>41</v>
      </c>
      <c r="U80" t="s">
        <v>499</v>
      </c>
      <c r="V80">
        <v>3.51385580910063</v>
      </c>
      <c r="W80">
        <v>6.9541383267930999E-3</v>
      </c>
      <c r="X80" t="s">
        <v>371</v>
      </c>
      <c r="Y80" t="s">
        <v>31</v>
      </c>
    </row>
    <row r="81" spans="1:25" x14ac:dyDescent="0.2">
      <c r="A81" t="s">
        <v>368</v>
      </c>
      <c r="B81" t="s">
        <v>53</v>
      </c>
      <c r="C81" t="s">
        <v>24</v>
      </c>
      <c r="D81">
        <v>0.17657961553074</v>
      </c>
      <c r="E81">
        <v>0.198164827535841</v>
      </c>
      <c r="F81" t="s">
        <v>35</v>
      </c>
      <c r="G81">
        <v>34</v>
      </c>
      <c r="H81">
        <v>-5.1050114811035403</v>
      </c>
      <c r="I81" t="s">
        <v>39</v>
      </c>
      <c r="J81" t="b">
        <v>0</v>
      </c>
      <c r="K81">
        <v>69.237701068205496</v>
      </c>
      <c r="L81">
        <v>70.737701068205496</v>
      </c>
      <c r="M81">
        <v>6.0049901844791899E-2</v>
      </c>
      <c r="N81" t="s">
        <v>26</v>
      </c>
      <c r="O81" t="s">
        <v>26</v>
      </c>
      <c r="P81" t="s">
        <v>398</v>
      </c>
      <c r="Q81">
        <f>-12.3073256796537 - 2.09730271744665</f>
        <v>-14.40462839710035</v>
      </c>
      <c r="R81" t="s">
        <v>33</v>
      </c>
      <c r="S81" t="s">
        <v>40</v>
      </c>
      <c r="T81" t="s">
        <v>41</v>
      </c>
      <c r="U81" t="s">
        <v>500</v>
      </c>
      <c r="V81">
        <v>7.7259234671236996</v>
      </c>
      <c r="W81">
        <v>3.6746501013011201</v>
      </c>
      <c r="X81" t="s">
        <v>371</v>
      </c>
      <c r="Y81" t="s">
        <v>31</v>
      </c>
    </row>
    <row r="82" spans="1:25" x14ac:dyDescent="0.2">
      <c r="A82" t="s">
        <v>368</v>
      </c>
      <c r="B82" t="s">
        <v>45</v>
      </c>
      <c r="C82" t="s">
        <v>24</v>
      </c>
      <c r="D82">
        <v>1.2237800438968899E-2</v>
      </c>
      <c r="E82">
        <v>0.58279058738002598</v>
      </c>
      <c r="F82" t="s">
        <v>35</v>
      </c>
      <c r="G82">
        <v>28</v>
      </c>
      <c r="H82">
        <v>-2.1602791604304001E-3</v>
      </c>
      <c r="I82" t="s">
        <v>42</v>
      </c>
      <c r="J82" t="b">
        <v>0</v>
      </c>
      <c r="K82">
        <v>153.55463892776999</v>
      </c>
      <c r="L82">
        <v>154.05463892776999</v>
      </c>
      <c r="M82">
        <v>2.2836692982059699</v>
      </c>
      <c r="N82" t="s">
        <v>26</v>
      </c>
      <c r="O82" t="s">
        <v>26</v>
      </c>
      <c r="P82" t="s">
        <v>462</v>
      </c>
      <c r="Q82">
        <f>-0.00976827840548132 - 0.00544772008462037</f>
        <v>-1.521599849010169E-2</v>
      </c>
      <c r="R82" t="s">
        <v>33</v>
      </c>
      <c r="S82" t="s">
        <v>43</v>
      </c>
      <c r="T82" t="s">
        <v>26</v>
      </c>
      <c r="U82" t="s">
        <v>44</v>
      </c>
      <c r="V82">
        <v>4.8647772859989402</v>
      </c>
      <c r="W82">
        <v>3.8816322678829999E-3</v>
      </c>
      <c r="X82" t="s">
        <v>371</v>
      </c>
      <c r="Y82" t="s">
        <v>31</v>
      </c>
    </row>
    <row r="83" spans="1:25" x14ac:dyDescent="0.2">
      <c r="A83" t="s">
        <v>368</v>
      </c>
      <c r="B83" t="s">
        <v>140</v>
      </c>
      <c r="C83" t="s">
        <v>24</v>
      </c>
      <c r="D83">
        <v>0.17451278099767001</v>
      </c>
      <c r="E83">
        <v>0.40983021492666399</v>
      </c>
      <c r="F83" t="s">
        <v>35</v>
      </c>
      <c r="G83">
        <v>55</v>
      </c>
      <c r="H83">
        <v>-1.02023247303425E-2</v>
      </c>
      <c r="I83" t="s">
        <v>25</v>
      </c>
      <c r="J83" t="b">
        <v>0</v>
      </c>
      <c r="K83">
        <v>38.202554836135398</v>
      </c>
      <c r="L83">
        <v>42.202554836135398</v>
      </c>
      <c r="M83">
        <v>0</v>
      </c>
      <c r="N83" t="s">
        <v>26</v>
      </c>
      <c r="O83" t="s">
        <v>26</v>
      </c>
      <c r="P83" t="s">
        <v>389</v>
      </c>
      <c r="Q83">
        <f>-0.031947693413347 - 0.011543043952662</f>
        <v>-4.3490737366009002E-2</v>
      </c>
      <c r="R83" t="s">
        <v>34</v>
      </c>
      <c r="S83" t="s">
        <v>28</v>
      </c>
      <c r="T83" t="s">
        <v>29</v>
      </c>
      <c r="U83" t="s">
        <v>501</v>
      </c>
      <c r="V83">
        <v>6.7061543627550604</v>
      </c>
      <c r="W83">
        <v>1.1094575858675799E-2</v>
      </c>
      <c r="X83" t="s">
        <v>371</v>
      </c>
      <c r="Y83" t="s">
        <v>31</v>
      </c>
    </row>
    <row r="84" spans="1:25" x14ac:dyDescent="0.2">
      <c r="A84" t="s">
        <v>368</v>
      </c>
      <c r="B84" t="s">
        <v>124</v>
      </c>
      <c r="C84" t="s">
        <v>24</v>
      </c>
      <c r="D84">
        <v>0.12999315523858401</v>
      </c>
      <c r="E84">
        <v>2.4146729657101899E-2</v>
      </c>
      <c r="F84" t="s">
        <v>35</v>
      </c>
      <c r="G84">
        <v>23</v>
      </c>
      <c r="H84">
        <v>-3.1498506681020201E-2</v>
      </c>
      <c r="I84" t="s">
        <v>36</v>
      </c>
      <c r="J84" t="b">
        <v>0</v>
      </c>
      <c r="K84">
        <v>243.78225837692199</v>
      </c>
      <c r="L84">
        <v>244.11559171025499</v>
      </c>
      <c r="M84">
        <v>12.3109187920499</v>
      </c>
      <c r="N84" t="s">
        <v>26</v>
      </c>
      <c r="O84" t="s">
        <v>26</v>
      </c>
      <c r="P84" t="s">
        <v>440</v>
      </c>
      <c r="Q84">
        <f>-0.0577555769336044 - -0.00524143642843593</f>
        <v>-5.251414050516847E-2</v>
      </c>
      <c r="R84" t="s">
        <v>33</v>
      </c>
      <c r="S84" t="s">
        <v>37</v>
      </c>
      <c r="T84" t="s">
        <v>38</v>
      </c>
      <c r="U84" t="s">
        <v>502</v>
      </c>
      <c r="V84">
        <v>5.3095912980875601</v>
      </c>
      <c r="W84">
        <v>1.33964644145838E-2</v>
      </c>
      <c r="X84" t="s">
        <v>371</v>
      </c>
      <c r="Y84" t="s">
        <v>31</v>
      </c>
    </row>
    <row r="85" spans="1:25" x14ac:dyDescent="0.2">
      <c r="A85" t="s">
        <v>368</v>
      </c>
      <c r="B85" t="s">
        <v>168</v>
      </c>
      <c r="C85" t="s">
        <v>24</v>
      </c>
      <c r="D85">
        <v>2.98858860832809E-2</v>
      </c>
      <c r="E85">
        <v>0.41919950621142299</v>
      </c>
      <c r="F85" t="s">
        <v>35</v>
      </c>
      <c r="G85">
        <v>39</v>
      </c>
      <c r="H85">
        <v>-0.66976117784386202</v>
      </c>
      <c r="I85" t="s">
        <v>36</v>
      </c>
      <c r="J85" t="b">
        <v>0</v>
      </c>
      <c r="K85">
        <v>160.023574467152</v>
      </c>
      <c r="L85">
        <v>160.59500303857999</v>
      </c>
      <c r="M85">
        <v>8.0567816069929794</v>
      </c>
      <c r="N85" t="s">
        <v>26</v>
      </c>
      <c r="O85" t="s">
        <v>26</v>
      </c>
      <c r="P85" t="s">
        <v>400</v>
      </c>
      <c r="Q85">
        <f>-2.26432917845073 - 0.92480682276301</f>
        <v>-3.1891360012137397</v>
      </c>
      <c r="R85" t="s">
        <v>27</v>
      </c>
      <c r="S85" t="s">
        <v>37</v>
      </c>
      <c r="T85" t="s">
        <v>38</v>
      </c>
      <c r="U85" t="s">
        <v>503</v>
      </c>
      <c r="V85">
        <v>4.97896806677449</v>
      </c>
      <c r="W85">
        <v>0.81355510235044504</v>
      </c>
      <c r="X85" t="s">
        <v>371</v>
      </c>
      <c r="Y85" t="s">
        <v>31</v>
      </c>
    </row>
    <row r="86" spans="1:25" x14ac:dyDescent="0.2">
      <c r="A86" t="s">
        <v>368</v>
      </c>
      <c r="B86" t="s">
        <v>105</v>
      </c>
      <c r="C86" t="s">
        <v>24</v>
      </c>
      <c r="D86">
        <v>0.158315627615608</v>
      </c>
      <c r="E86">
        <v>0.17815476239233799</v>
      </c>
      <c r="F86" t="s">
        <v>35</v>
      </c>
      <c r="G86">
        <v>55</v>
      </c>
      <c r="H86">
        <v>-0.108312821273714</v>
      </c>
      <c r="I86" t="s">
        <v>42</v>
      </c>
      <c r="J86" t="b">
        <v>0</v>
      </c>
      <c r="K86">
        <v>97.117672258372295</v>
      </c>
      <c r="L86">
        <v>98.317672258372298</v>
      </c>
      <c r="M86">
        <v>8.9876506674312893</v>
      </c>
      <c r="N86" t="s">
        <v>26</v>
      </c>
      <c r="O86" t="s">
        <v>26</v>
      </c>
      <c r="P86" t="s">
        <v>434</v>
      </c>
      <c r="Q86">
        <f>-0.255901258922158 - 0.0392756163747298</f>
        <v>-0.2951768752968878</v>
      </c>
      <c r="R86" t="s">
        <v>32</v>
      </c>
      <c r="S86" t="s">
        <v>43</v>
      </c>
      <c r="T86" t="s">
        <v>26</v>
      </c>
      <c r="U86" t="s">
        <v>44</v>
      </c>
      <c r="V86">
        <v>9.4301477694942104</v>
      </c>
      <c r="W86">
        <v>7.5300223290022394E-2</v>
      </c>
      <c r="X86" t="s">
        <v>371</v>
      </c>
      <c r="Y86" t="s">
        <v>31</v>
      </c>
    </row>
    <row r="87" spans="1:25" x14ac:dyDescent="0.2">
      <c r="A87" t="s">
        <v>368</v>
      </c>
      <c r="B87" t="s">
        <v>155</v>
      </c>
      <c r="C87" t="s">
        <v>24</v>
      </c>
      <c r="D87">
        <v>1.108017884135E-3</v>
      </c>
      <c r="E87">
        <v>0.83842734825200904</v>
      </c>
      <c r="F87" t="s">
        <v>35</v>
      </c>
      <c r="G87">
        <v>17</v>
      </c>
      <c r="H87">
        <v>-4.9125457075837996E-3</v>
      </c>
      <c r="I87" t="s">
        <v>39</v>
      </c>
      <c r="J87" t="b">
        <v>0</v>
      </c>
      <c r="K87">
        <v>256.12460347722902</v>
      </c>
      <c r="L87">
        <v>256.448927801553</v>
      </c>
      <c r="M87">
        <v>18.7022933582269</v>
      </c>
      <c r="N87" t="s">
        <v>26</v>
      </c>
      <c r="O87" t="s">
        <v>26</v>
      </c>
      <c r="P87" t="s">
        <v>424</v>
      </c>
      <c r="Q87">
        <f>-0.0518108084822857 - 0.0419857170671181</f>
        <v>-9.3796525549403792E-2</v>
      </c>
      <c r="R87" t="s">
        <v>27</v>
      </c>
      <c r="S87" t="s">
        <v>40</v>
      </c>
      <c r="T87" t="s">
        <v>41</v>
      </c>
      <c r="U87" t="s">
        <v>504</v>
      </c>
      <c r="V87">
        <v>3.7446152942121902</v>
      </c>
      <c r="W87">
        <v>2.39276850891336E-2</v>
      </c>
      <c r="X87" t="s">
        <v>371</v>
      </c>
      <c r="Y87" t="s">
        <v>31</v>
      </c>
    </row>
    <row r="88" spans="1:25" x14ac:dyDescent="0.2">
      <c r="A88" t="s">
        <v>368</v>
      </c>
      <c r="B88" t="s">
        <v>93</v>
      </c>
      <c r="C88" t="s">
        <v>24</v>
      </c>
      <c r="D88">
        <v>0.22200087819473699</v>
      </c>
      <c r="E88">
        <v>0.14349980847354901</v>
      </c>
      <c r="F88" t="s">
        <v>35</v>
      </c>
      <c r="G88">
        <v>27</v>
      </c>
      <c r="H88">
        <v>0.34874925926084099</v>
      </c>
      <c r="I88" t="s">
        <v>39</v>
      </c>
      <c r="J88" t="b">
        <v>0</v>
      </c>
      <c r="K88">
        <v>72.400432263646707</v>
      </c>
      <c r="L88">
        <v>73.900432263646707</v>
      </c>
      <c r="M88">
        <v>8.6024443586053092</v>
      </c>
      <c r="N88" t="s">
        <v>26</v>
      </c>
      <c r="O88" t="s">
        <v>26</v>
      </c>
      <c r="P88" t="s">
        <v>446</v>
      </c>
      <c r="Q88">
        <f>-0.0777912838968236 - 0.775289802418506</f>
        <v>-0.85308108631532953</v>
      </c>
      <c r="R88" t="s">
        <v>32</v>
      </c>
      <c r="S88" t="s">
        <v>40</v>
      </c>
      <c r="T88" t="s">
        <v>41</v>
      </c>
      <c r="U88" t="s">
        <v>505</v>
      </c>
      <c r="V88">
        <v>2.9680078427164198</v>
      </c>
      <c r="W88">
        <v>0.21762272610084901</v>
      </c>
      <c r="X88" t="s">
        <v>371</v>
      </c>
      <c r="Y88" t="s">
        <v>31</v>
      </c>
    </row>
    <row r="89" spans="1:25" x14ac:dyDescent="0.2">
      <c r="A89" t="s">
        <v>368</v>
      </c>
      <c r="B89" t="s">
        <v>103</v>
      </c>
      <c r="C89" t="s">
        <v>24</v>
      </c>
      <c r="D89">
        <v>1.8127123368432E-3</v>
      </c>
      <c r="E89">
        <v>0.78632547644813</v>
      </c>
      <c r="F89" t="s">
        <v>35</v>
      </c>
      <c r="G89">
        <v>57</v>
      </c>
      <c r="H89">
        <v>3.1741726430954999E-3</v>
      </c>
      <c r="I89" t="s">
        <v>42</v>
      </c>
      <c r="J89" t="b">
        <v>0</v>
      </c>
      <c r="K89">
        <v>269.38295374574801</v>
      </c>
      <c r="L89">
        <v>269.68295374574802</v>
      </c>
      <c r="M89">
        <v>16.095367241344999</v>
      </c>
      <c r="N89" t="s">
        <v>26</v>
      </c>
      <c r="O89" t="s">
        <v>26</v>
      </c>
      <c r="P89" t="s">
        <v>382</v>
      </c>
      <c r="Q89">
        <f>-0.0196259015069213 - 0.0259742467931125</f>
        <v>-4.5600148300033796E-2</v>
      </c>
      <c r="R89" t="s">
        <v>27</v>
      </c>
      <c r="S89" t="s">
        <v>43</v>
      </c>
      <c r="T89" t="s">
        <v>26</v>
      </c>
      <c r="U89" t="s">
        <v>44</v>
      </c>
      <c r="V89">
        <v>3.2955379540630099</v>
      </c>
      <c r="W89">
        <v>1.16326908928658E-2</v>
      </c>
      <c r="X89" t="s">
        <v>371</v>
      </c>
      <c r="Y89" t="s">
        <v>31</v>
      </c>
    </row>
    <row r="90" spans="1:25" x14ac:dyDescent="0.2">
      <c r="A90" t="s">
        <v>368</v>
      </c>
      <c r="B90" t="s">
        <v>47</v>
      </c>
      <c r="C90" t="s">
        <v>24</v>
      </c>
      <c r="D90">
        <v>4.6920632324281397E-2</v>
      </c>
      <c r="E90">
        <v>0.78338829134997801</v>
      </c>
      <c r="F90" t="s">
        <v>35</v>
      </c>
      <c r="G90">
        <v>36</v>
      </c>
      <c r="H90">
        <v>-2.7220879908792001E-3</v>
      </c>
      <c r="I90" t="s">
        <v>42</v>
      </c>
      <c r="J90" t="b">
        <v>0</v>
      </c>
      <c r="K90">
        <v>27.455939849765201</v>
      </c>
      <c r="L90">
        <v>39.455939849765201</v>
      </c>
      <c r="M90">
        <v>1.8590720678306001</v>
      </c>
      <c r="N90" t="s">
        <v>26</v>
      </c>
      <c r="O90" t="s">
        <v>26</v>
      </c>
      <c r="P90" t="s">
        <v>444</v>
      </c>
      <c r="Q90">
        <f>-0.0197250991159197 - 0.0142809231341612</f>
        <v>-3.4006022250080897E-2</v>
      </c>
      <c r="R90" t="s">
        <v>33</v>
      </c>
      <c r="S90" t="s">
        <v>43</v>
      </c>
      <c r="T90" t="s">
        <v>26</v>
      </c>
      <c r="U90" t="s">
        <v>44</v>
      </c>
      <c r="V90">
        <v>8.4069365465736308</v>
      </c>
      <c r="W90">
        <v>8.6750056760410005E-3</v>
      </c>
      <c r="X90" t="s">
        <v>371</v>
      </c>
      <c r="Y90" t="s">
        <v>31</v>
      </c>
    </row>
    <row r="91" spans="1:25" x14ac:dyDescent="0.2">
      <c r="A91" t="s">
        <v>368</v>
      </c>
      <c r="B91" t="s">
        <v>103</v>
      </c>
      <c r="C91" t="s">
        <v>24</v>
      </c>
      <c r="D91">
        <v>1.8127123368432E-3</v>
      </c>
      <c r="E91">
        <v>0.78632547644813</v>
      </c>
      <c r="F91" t="s">
        <v>35</v>
      </c>
      <c r="G91">
        <v>57</v>
      </c>
      <c r="H91">
        <v>3.1741726430954999E-3</v>
      </c>
      <c r="I91" t="s">
        <v>39</v>
      </c>
      <c r="J91" t="b">
        <v>0</v>
      </c>
      <c r="K91">
        <v>269.38295374574801</v>
      </c>
      <c r="L91">
        <v>269.68295374574802</v>
      </c>
      <c r="M91">
        <v>16.095367241344999</v>
      </c>
      <c r="N91" t="s">
        <v>26</v>
      </c>
      <c r="O91" t="s">
        <v>26</v>
      </c>
      <c r="P91" t="s">
        <v>382</v>
      </c>
      <c r="Q91">
        <f>-0.0196259015069213 - 0.0259742467931125</f>
        <v>-4.5600148300033796E-2</v>
      </c>
      <c r="R91" t="s">
        <v>27</v>
      </c>
      <c r="S91" t="s">
        <v>40</v>
      </c>
      <c r="T91" t="s">
        <v>41</v>
      </c>
      <c r="U91" t="s">
        <v>506</v>
      </c>
      <c r="V91">
        <v>3.2955379540630099</v>
      </c>
      <c r="W91">
        <v>1.16326908928658E-2</v>
      </c>
      <c r="X91" t="s">
        <v>371</v>
      </c>
      <c r="Y91" t="s">
        <v>31</v>
      </c>
    </row>
    <row r="92" spans="1:25" x14ac:dyDescent="0.2">
      <c r="A92" t="s">
        <v>368</v>
      </c>
      <c r="B92" t="s">
        <v>109</v>
      </c>
      <c r="C92" t="s">
        <v>24</v>
      </c>
      <c r="D92">
        <v>2.7810313606338701E-2</v>
      </c>
      <c r="E92">
        <v>0.72081240507757305</v>
      </c>
      <c r="F92" t="s">
        <v>35</v>
      </c>
      <c r="G92">
        <v>49</v>
      </c>
      <c r="H92">
        <v>-2.6707313619715998E-3</v>
      </c>
      <c r="I92" t="s">
        <v>36</v>
      </c>
      <c r="J92" t="b">
        <v>0</v>
      </c>
      <c r="K92">
        <v>44.258469523915203</v>
      </c>
      <c r="L92">
        <v>47.258469523915203</v>
      </c>
      <c r="M92">
        <v>0</v>
      </c>
      <c r="N92" t="s">
        <v>26</v>
      </c>
      <c r="O92" t="s">
        <v>26</v>
      </c>
      <c r="P92" t="s">
        <v>475</v>
      </c>
      <c r="Q92">
        <f>-0.0165119343265941 - 0.0111704716026507</f>
        <v>-2.7682405929244799E-2</v>
      </c>
      <c r="R92" t="s">
        <v>27</v>
      </c>
      <c r="S92" t="s">
        <v>37</v>
      </c>
      <c r="T92" t="s">
        <v>38</v>
      </c>
      <c r="U92" t="s">
        <v>495</v>
      </c>
      <c r="V92">
        <v>6.0248581692253502</v>
      </c>
      <c r="W92">
        <v>7.0618382472562996E-3</v>
      </c>
      <c r="X92" t="s">
        <v>371</v>
      </c>
      <c r="Y92" t="s">
        <v>31</v>
      </c>
    </row>
    <row r="93" spans="1:25" x14ac:dyDescent="0.2">
      <c r="A93" t="s">
        <v>368</v>
      </c>
      <c r="B93" t="s">
        <v>47</v>
      </c>
      <c r="C93" t="s">
        <v>24</v>
      </c>
      <c r="D93">
        <v>4.6920632324281397E-2</v>
      </c>
      <c r="E93">
        <v>0.78338829134997801</v>
      </c>
      <c r="F93" t="s">
        <v>35</v>
      </c>
      <c r="G93">
        <v>36</v>
      </c>
      <c r="H93">
        <v>-2.7220879908792001E-3</v>
      </c>
      <c r="I93" t="s">
        <v>25</v>
      </c>
      <c r="J93" t="b">
        <v>0</v>
      </c>
      <c r="K93">
        <v>27.455939849765201</v>
      </c>
      <c r="L93">
        <v>39.455939849765201</v>
      </c>
      <c r="M93">
        <v>1.8590720678306001</v>
      </c>
      <c r="N93" t="s">
        <v>26</v>
      </c>
      <c r="O93" t="s">
        <v>26</v>
      </c>
      <c r="P93" t="s">
        <v>444</v>
      </c>
      <c r="Q93">
        <f>-0.0197250991159197 - 0.0142809231341612</f>
        <v>-3.4006022250080897E-2</v>
      </c>
      <c r="R93" t="s">
        <v>33</v>
      </c>
      <c r="S93" t="s">
        <v>28</v>
      </c>
      <c r="T93" t="s">
        <v>29</v>
      </c>
      <c r="U93" t="s">
        <v>501</v>
      </c>
      <c r="V93">
        <v>8.4069365465736308</v>
      </c>
      <c r="W93">
        <v>8.6750056760410005E-3</v>
      </c>
      <c r="X93" t="s">
        <v>371</v>
      </c>
      <c r="Y93" t="s">
        <v>31</v>
      </c>
    </row>
    <row r="94" spans="1:25" x14ac:dyDescent="0.2">
      <c r="A94" t="s">
        <v>368</v>
      </c>
      <c r="B94" t="s">
        <v>153</v>
      </c>
      <c r="C94" t="s">
        <v>24</v>
      </c>
      <c r="D94">
        <v>7.6350068384181999E-2</v>
      </c>
      <c r="E94">
        <v>0.12580239999238699</v>
      </c>
      <c r="F94" t="s">
        <v>35</v>
      </c>
      <c r="G94">
        <v>6</v>
      </c>
      <c r="H94">
        <v>-2.24973737730805E-2</v>
      </c>
      <c r="I94" t="s">
        <v>42</v>
      </c>
      <c r="J94" t="b">
        <v>0</v>
      </c>
      <c r="K94">
        <v>176.03563075774599</v>
      </c>
      <c r="L94">
        <v>176.44942386119399</v>
      </c>
      <c r="M94">
        <v>0.65174847126698399</v>
      </c>
      <c r="N94" t="s">
        <v>26</v>
      </c>
      <c r="O94" t="s">
        <v>26</v>
      </c>
      <c r="P94" t="s">
        <v>478</v>
      </c>
      <c r="Q94">
        <f>-0.0504985486428924 - 0.00550380109673132</f>
        <v>-5.6002349739623723E-2</v>
      </c>
      <c r="R94" t="s">
        <v>33</v>
      </c>
      <c r="S94" t="s">
        <v>43</v>
      </c>
      <c r="T94" t="s">
        <v>26</v>
      </c>
      <c r="U94" t="s">
        <v>44</v>
      </c>
      <c r="V94">
        <v>4.8316045571999098</v>
      </c>
      <c r="W94">
        <v>1.42863137090877E-2</v>
      </c>
      <c r="X94" t="s">
        <v>371</v>
      </c>
      <c r="Y94" t="s">
        <v>31</v>
      </c>
    </row>
    <row r="95" spans="1:25" x14ac:dyDescent="0.2">
      <c r="A95" t="s">
        <v>368</v>
      </c>
      <c r="B95" t="s">
        <v>126</v>
      </c>
      <c r="C95" t="s">
        <v>24</v>
      </c>
      <c r="D95">
        <v>7.6735203379030406E-2</v>
      </c>
      <c r="E95">
        <v>0.43843488837051198</v>
      </c>
      <c r="F95" t="s">
        <v>35</v>
      </c>
      <c r="G95">
        <v>10</v>
      </c>
      <c r="H95">
        <v>2.3691936213899301E-2</v>
      </c>
      <c r="I95" t="s">
        <v>25</v>
      </c>
      <c r="J95" t="b">
        <v>0</v>
      </c>
      <c r="K95">
        <v>56.035406861980199</v>
      </c>
      <c r="L95">
        <v>57.749692576266</v>
      </c>
      <c r="M95">
        <v>6.4794414742600198E-2</v>
      </c>
      <c r="N95" t="s">
        <v>26</v>
      </c>
      <c r="O95" t="s">
        <v>26</v>
      </c>
      <c r="P95" t="s">
        <v>452</v>
      </c>
      <c r="Q95">
        <f>-0.0332559287555507 - 0.0806398011833493</f>
        <v>-0.11389572993890001</v>
      </c>
      <c r="R95" t="s">
        <v>27</v>
      </c>
      <c r="S95" t="s">
        <v>28</v>
      </c>
      <c r="T95" t="s">
        <v>29</v>
      </c>
      <c r="U95" t="s">
        <v>507</v>
      </c>
      <c r="V95">
        <v>5.9078575279889298</v>
      </c>
      <c r="W95">
        <v>2.9055033147678599E-2</v>
      </c>
      <c r="X95" t="s">
        <v>371</v>
      </c>
      <c r="Y95" t="s">
        <v>31</v>
      </c>
    </row>
    <row r="96" spans="1:25" x14ac:dyDescent="0.2">
      <c r="A96" t="s">
        <v>368</v>
      </c>
      <c r="B96" t="s">
        <v>159</v>
      </c>
      <c r="C96" t="s">
        <v>24</v>
      </c>
      <c r="D96">
        <v>1.2278422633375599E-2</v>
      </c>
      <c r="E96">
        <v>0.49606785457011299</v>
      </c>
      <c r="F96" t="s">
        <v>35</v>
      </c>
      <c r="G96">
        <v>31</v>
      </c>
      <c r="H96">
        <v>-4.6490794494898E-3</v>
      </c>
      <c r="I96" t="s">
        <v>42</v>
      </c>
      <c r="J96" t="b">
        <v>0</v>
      </c>
      <c r="K96">
        <v>254.20922740780699</v>
      </c>
      <c r="L96">
        <v>254.533551732132</v>
      </c>
      <c r="M96">
        <v>16.537052970075901</v>
      </c>
      <c r="N96" t="s">
        <v>26</v>
      </c>
      <c r="O96" t="s">
        <v>26</v>
      </c>
      <c r="P96" t="s">
        <v>483</v>
      </c>
      <c r="Q96">
        <f>-0.0179070552718913 - 0.00860889637291153</f>
        <v>-2.6515951644802829E-2</v>
      </c>
      <c r="R96" t="s">
        <v>32</v>
      </c>
      <c r="S96" t="s">
        <v>43</v>
      </c>
      <c r="T96" t="s">
        <v>26</v>
      </c>
      <c r="U96" t="s">
        <v>44</v>
      </c>
      <c r="V96">
        <v>4.0279502450191904</v>
      </c>
      <c r="W96">
        <v>6.7642733787762E-3</v>
      </c>
      <c r="X96" t="s">
        <v>371</v>
      </c>
      <c r="Y96" t="s">
        <v>31</v>
      </c>
    </row>
    <row r="97" spans="1:25" x14ac:dyDescent="0.2">
      <c r="A97" t="s">
        <v>368</v>
      </c>
      <c r="B97" t="s">
        <v>84</v>
      </c>
      <c r="C97" t="s">
        <v>24</v>
      </c>
      <c r="D97">
        <v>1.39376364436415E-2</v>
      </c>
      <c r="E97">
        <v>0.46812733112998201</v>
      </c>
      <c r="F97" t="s">
        <v>35</v>
      </c>
      <c r="G97">
        <v>13</v>
      </c>
      <c r="H97">
        <v>-8.6264305586088007E-3</v>
      </c>
      <c r="I97" t="s">
        <v>36</v>
      </c>
      <c r="J97" t="b">
        <v>0</v>
      </c>
      <c r="K97">
        <v>254.12851766548599</v>
      </c>
      <c r="L97">
        <v>254.45284198981</v>
      </c>
      <c r="M97">
        <v>16.300960755413001</v>
      </c>
      <c r="N97" t="s">
        <v>26</v>
      </c>
      <c r="O97" t="s">
        <v>26</v>
      </c>
      <c r="P97" t="s">
        <v>378</v>
      </c>
      <c r="Q97">
        <f>-0.0316967192496862 - 0.0144438581324685</f>
        <v>-4.6140577382154699E-2</v>
      </c>
      <c r="R97" t="s">
        <v>34</v>
      </c>
      <c r="S97" t="s">
        <v>37</v>
      </c>
      <c r="T97" t="s">
        <v>38</v>
      </c>
      <c r="U97" t="s">
        <v>508</v>
      </c>
      <c r="V97">
        <v>3.8697883842151199</v>
      </c>
      <c r="W97">
        <v>1.17705554546313E-2</v>
      </c>
      <c r="X97" t="s">
        <v>371</v>
      </c>
      <c r="Y97" t="s">
        <v>31</v>
      </c>
    </row>
    <row r="98" spans="1:25" x14ac:dyDescent="0.2">
      <c r="A98" t="s">
        <v>368</v>
      </c>
      <c r="B98" t="s">
        <v>120</v>
      </c>
      <c r="C98" t="s">
        <v>24</v>
      </c>
      <c r="D98">
        <v>1.4232762617719999E-3</v>
      </c>
      <c r="E98">
        <v>0.86430263997126</v>
      </c>
      <c r="F98" t="s">
        <v>35</v>
      </c>
      <c r="G98">
        <v>10</v>
      </c>
      <c r="H98">
        <v>-3.2898698842534001E-3</v>
      </c>
      <c r="I98" t="s">
        <v>42</v>
      </c>
      <c r="J98" t="b">
        <v>0</v>
      </c>
      <c r="K98">
        <v>158.43447842970099</v>
      </c>
      <c r="L98">
        <v>159.03447842970101</v>
      </c>
      <c r="M98">
        <v>13.653652547754</v>
      </c>
      <c r="N98" t="s">
        <v>26</v>
      </c>
      <c r="O98" t="s">
        <v>26</v>
      </c>
      <c r="P98" t="s">
        <v>412</v>
      </c>
      <c r="Q98">
        <f>-0.0405608884928493 - 0.0339811487243424</f>
        <v>-7.4542037217191701E-2</v>
      </c>
      <c r="R98" t="s">
        <v>32</v>
      </c>
      <c r="S98" t="s">
        <v>43</v>
      </c>
      <c r="T98" t="s">
        <v>26</v>
      </c>
      <c r="U98" t="s">
        <v>44</v>
      </c>
      <c r="V98">
        <v>3.6943823586983102</v>
      </c>
      <c r="W98">
        <v>1.90158258207122E-2</v>
      </c>
      <c r="X98" t="s">
        <v>371</v>
      </c>
      <c r="Y98" t="s">
        <v>31</v>
      </c>
    </row>
    <row r="99" spans="1:25" x14ac:dyDescent="0.2">
      <c r="A99" t="s">
        <v>368</v>
      </c>
      <c r="B99" t="s">
        <v>147</v>
      </c>
      <c r="C99" t="s">
        <v>24</v>
      </c>
      <c r="D99">
        <v>9.6242886961661993E-3</v>
      </c>
      <c r="E99">
        <v>0.569204612119939</v>
      </c>
      <c r="F99" t="s">
        <v>35</v>
      </c>
      <c r="G99">
        <v>45</v>
      </c>
      <c r="H99">
        <v>-1.54234123179022E-2</v>
      </c>
      <c r="I99" t="s">
        <v>42</v>
      </c>
      <c r="J99" t="b">
        <v>0</v>
      </c>
      <c r="K99">
        <v>232.183189915068</v>
      </c>
      <c r="L99">
        <v>232.546826278704</v>
      </c>
      <c r="M99">
        <v>16.193035185421898</v>
      </c>
      <c r="N99" t="s">
        <v>26</v>
      </c>
      <c r="O99" t="s">
        <v>26</v>
      </c>
      <c r="P99" t="s">
        <v>396</v>
      </c>
      <c r="Q99">
        <f>-0.0680145724428317 - 0.0371677478070273</f>
        <v>-0.10518232024985899</v>
      </c>
      <c r="R99" t="s">
        <v>32</v>
      </c>
      <c r="S99" t="s">
        <v>43</v>
      </c>
      <c r="T99" t="s">
        <v>26</v>
      </c>
      <c r="U99" t="s">
        <v>44</v>
      </c>
      <c r="V99">
        <v>4.2771777170726502</v>
      </c>
      <c r="W99">
        <v>2.68322245535355E-2</v>
      </c>
      <c r="X99" t="s">
        <v>371</v>
      </c>
      <c r="Y99" t="s">
        <v>31</v>
      </c>
    </row>
    <row r="100" spans="1:25" x14ac:dyDescent="0.2">
      <c r="A100" t="s">
        <v>368</v>
      </c>
      <c r="B100" t="s">
        <v>51</v>
      </c>
      <c r="C100" t="s">
        <v>24</v>
      </c>
      <c r="D100">
        <v>1.1093876672445E-3</v>
      </c>
      <c r="E100">
        <v>0.86638072923976095</v>
      </c>
      <c r="F100" t="s">
        <v>35</v>
      </c>
      <c r="G100">
        <v>61</v>
      </c>
      <c r="H100">
        <v>-3.4831510348641999E-3</v>
      </c>
      <c r="I100" t="s">
        <v>42</v>
      </c>
      <c r="J100" t="b">
        <v>0</v>
      </c>
      <c r="K100">
        <v>192.83662968853</v>
      </c>
      <c r="L100">
        <v>193.31662968853001</v>
      </c>
      <c r="M100">
        <v>18.898795632873998</v>
      </c>
      <c r="N100" t="s">
        <v>26</v>
      </c>
      <c r="O100" t="s">
        <v>26</v>
      </c>
      <c r="P100" t="s">
        <v>407</v>
      </c>
      <c r="Q100">
        <f>-0.0436584394220242 - 0.0366921373522957</f>
        <v>-8.0350576774319893E-2</v>
      </c>
      <c r="R100" t="s">
        <v>27</v>
      </c>
      <c r="S100" t="s">
        <v>43</v>
      </c>
      <c r="T100" t="s">
        <v>26</v>
      </c>
      <c r="U100" t="s">
        <v>44</v>
      </c>
      <c r="V100">
        <v>4.0310464882066697</v>
      </c>
      <c r="W100">
        <v>2.0497596115897899E-2</v>
      </c>
      <c r="X100" t="s">
        <v>371</v>
      </c>
      <c r="Y100" t="s">
        <v>31</v>
      </c>
    </row>
    <row r="101" spans="1:25" x14ac:dyDescent="0.2">
      <c r="A101" t="s">
        <v>368</v>
      </c>
      <c r="B101" t="s">
        <v>113</v>
      </c>
      <c r="C101" t="s">
        <v>24</v>
      </c>
      <c r="D101">
        <v>1.244385982008E-4</v>
      </c>
      <c r="E101">
        <v>0.948515555683481</v>
      </c>
      <c r="F101" t="s">
        <v>35</v>
      </c>
      <c r="G101">
        <v>57</v>
      </c>
      <c r="H101">
        <v>-7.2763500356709998E-4</v>
      </c>
      <c r="I101" t="s">
        <v>42</v>
      </c>
      <c r="J101" t="b">
        <v>0</v>
      </c>
      <c r="K101">
        <v>232.497039026761</v>
      </c>
      <c r="L101">
        <v>232.86067539039701</v>
      </c>
      <c r="M101">
        <v>15.745262021436</v>
      </c>
      <c r="N101" t="s">
        <v>26</v>
      </c>
      <c r="O101" t="s">
        <v>26</v>
      </c>
      <c r="P101" t="s">
        <v>426</v>
      </c>
      <c r="Q101">
        <f>-0.0226519290232189 - 0.0211966590160847</f>
        <v>-4.3848588039303596E-2</v>
      </c>
      <c r="R101" t="s">
        <v>34</v>
      </c>
      <c r="S101" t="s">
        <v>43</v>
      </c>
      <c r="T101" t="s">
        <v>26</v>
      </c>
      <c r="U101" t="s">
        <v>44</v>
      </c>
      <c r="V101">
        <v>4.6700042125785401</v>
      </c>
      <c r="W101">
        <v>1.11858642957407E-2</v>
      </c>
      <c r="X101" t="s">
        <v>371</v>
      </c>
      <c r="Y101" t="s">
        <v>31</v>
      </c>
    </row>
    <row r="102" spans="1:25" x14ac:dyDescent="0.2">
      <c r="A102" t="s">
        <v>368</v>
      </c>
      <c r="B102" t="s">
        <v>99</v>
      </c>
      <c r="C102" t="s">
        <v>24</v>
      </c>
      <c r="D102">
        <v>3.0766742889534E-3</v>
      </c>
      <c r="E102">
        <v>0.78783091557501095</v>
      </c>
      <c r="F102" t="s">
        <v>35</v>
      </c>
      <c r="G102">
        <v>57</v>
      </c>
      <c r="H102">
        <v>1.25392305712445E-2</v>
      </c>
      <c r="I102" t="s">
        <v>42</v>
      </c>
      <c r="J102" t="b">
        <v>0</v>
      </c>
      <c r="K102">
        <v>159.89389661979899</v>
      </c>
      <c r="L102">
        <v>160.41563575023301</v>
      </c>
      <c r="M102">
        <v>14.138622145708</v>
      </c>
      <c r="N102" t="s">
        <v>26</v>
      </c>
      <c r="O102" t="s">
        <v>26</v>
      </c>
      <c r="P102" t="s">
        <v>390</v>
      </c>
      <c r="Q102">
        <f>-0.077765698621884 - 0.102844159764373</f>
        <v>-0.18060985838625698</v>
      </c>
      <c r="R102" t="s">
        <v>33</v>
      </c>
      <c r="S102" t="s">
        <v>43</v>
      </c>
      <c r="T102" t="s">
        <v>26</v>
      </c>
      <c r="U102" t="s">
        <v>44</v>
      </c>
      <c r="V102">
        <v>4.2870761055862596</v>
      </c>
      <c r="W102">
        <v>4.6073943465881902E-2</v>
      </c>
      <c r="X102" t="s">
        <v>371</v>
      </c>
      <c r="Y102" t="s">
        <v>31</v>
      </c>
    </row>
    <row r="103" spans="1:25" x14ac:dyDescent="0.2">
      <c r="A103" t="s">
        <v>368</v>
      </c>
      <c r="B103" t="s">
        <v>153</v>
      </c>
      <c r="C103" t="s">
        <v>24</v>
      </c>
      <c r="D103">
        <v>7.6174216877534798E-2</v>
      </c>
      <c r="E103">
        <v>0.12625689229572601</v>
      </c>
      <c r="F103" t="s">
        <v>35</v>
      </c>
      <c r="G103">
        <v>6</v>
      </c>
      <c r="H103">
        <v>-2.2496148817251298E-2</v>
      </c>
      <c r="I103" t="s">
        <v>36</v>
      </c>
      <c r="J103" t="b">
        <v>0</v>
      </c>
      <c r="K103">
        <v>176.03556551052301</v>
      </c>
      <c r="L103">
        <v>176.44935861397099</v>
      </c>
      <c r="M103">
        <v>0.65168322404397805</v>
      </c>
      <c r="N103" t="s">
        <v>26</v>
      </c>
      <c r="O103" t="s">
        <v>26</v>
      </c>
      <c r="P103" t="s">
        <v>478</v>
      </c>
      <c r="Q103">
        <f>-0.0505307679734516 - 0.00553847033894905</f>
        <v>-5.6069238312400654E-2</v>
      </c>
      <c r="R103" t="s">
        <v>33</v>
      </c>
      <c r="S103" t="s">
        <v>37</v>
      </c>
      <c r="T103" t="s">
        <v>38</v>
      </c>
      <c r="U103" t="s">
        <v>509</v>
      </c>
      <c r="V103">
        <v>4.8326888438136102</v>
      </c>
      <c r="W103">
        <v>1.4303377120510399E-2</v>
      </c>
      <c r="X103" t="s">
        <v>371</v>
      </c>
      <c r="Y103" t="s">
        <v>31</v>
      </c>
    </row>
    <row r="104" spans="1:25" x14ac:dyDescent="0.2">
      <c r="A104" t="s">
        <v>368</v>
      </c>
      <c r="B104" t="s">
        <v>65</v>
      </c>
      <c r="C104" t="s">
        <v>24</v>
      </c>
      <c r="D104">
        <v>1.3522452098364999E-3</v>
      </c>
      <c r="E104">
        <v>0.82892820056321803</v>
      </c>
      <c r="F104" t="s">
        <v>35</v>
      </c>
      <c r="G104">
        <v>39</v>
      </c>
      <c r="H104">
        <v>-3.5985740333748998E-3</v>
      </c>
      <c r="I104" t="s">
        <v>42</v>
      </c>
      <c r="J104" t="b">
        <v>0</v>
      </c>
      <c r="K104">
        <v>238.14803562112601</v>
      </c>
      <c r="L104">
        <v>238.500976797596</v>
      </c>
      <c r="M104">
        <v>15.6477179222169</v>
      </c>
      <c r="N104" t="s">
        <v>26</v>
      </c>
      <c r="O104" t="s">
        <v>26</v>
      </c>
      <c r="P104" t="s">
        <v>481</v>
      </c>
      <c r="Q104">
        <f>-0.0359975236257157 - 0.0288003755589658</f>
        <v>-6.4797899184681498E-2</v>
      </c>
      <c r="R104" t="s">
        <v>27</v>
      </c>
      <c r="S104" t="s">
        <v>43</v>
      </c>
      <c r="T104" t="s">
        <v>26</v>
      </c>
      <c r="U104" t="s">
        <v>44</v>
      </c>
      <c r="V104">
        <v>4.3882900996813596</v>
      </c>
      <c r="W104">
        <v>1.6530076322622801E-2</v>
      </c>
      <c r="X104" t="s">
        <v>371</v>
      </c>
      <c r="Y104" t="s">
        <v>31</v>
      </c>
    </row>
    <row r="105" spans="1:25" x14ac:dyDescent="0.2">
      <c r="A105" t="s">
        <v>368</v>
      </c>
      <c r="B105" t="s">
        <v>51</v>
      </c>
      <c r="C105" t="s">
        <v>24</v>
      </c>
      <c r="D105">
        <v>4.4439609226883999E-3</v>
      </c>
      <c r="E105">
        <v>0.73608649255464598</v>
      </c>
      <c r="F105" t="s">
        <v>35</v>
      </c>
      <c r="G105">
        <v>61</v>
      </c>
      <c r="H105">
        <v>-3.4038349511178001E-3</v>
      </c>
      <c r="I105" t="s">
        <v>36</v>
      </c>
      <c r="J105" t="b">
        <v>0</v>
      </c>
      <c r="K105">
        <v>188.207090981601</v>
      </c>
      <c r="L105">
        <v>188.68709098160099</v>
      </c>
      <c r="M105">
        <v>14.269256925944999</v>
      </c>
      <c r="N105" t="s">
        <v>26</v>
      </c>
      <c r="O105" t="s">
        <v>26</v>
      </c>
      <c r="P105" t="s">
        <v>407</v>
      </c>
      <c r="Q105">
        <f>-0.0229871238418855 - 0.0161794539396499</f>
        <v>-3.91665777815354E-2</v>
      </c>
      <c r="R105" t="s">
        <v>27</v>
      </c>
      <c r="S105" t="s">
        <v>37</v>
      </c>
      <c r="T105" t="s">
        <v>38</v>
      </c>
      <c r="U105" t="s">
        <v>510</v>
      </c>
      <c r="V105">
        <v>4.0812405109787004</v>
      </c>
      <c r="W105">
        <v>9.9914739238610006E-3</v>
      </c>
      <c r="X105" t="s">
        <v>371</v>
      </c>
      <c r="Y105" t="s">
        <v>31</v>
      </c>
    </row>
    <row r="106" spans="1:25" x14ac:dyDescent="0.2">
      <c r="A106" t="s">
        <v>368</v>
      </c>
      <c r="B106" t="s">
        <v>136</v>
      </c>
      <c r="C106" t="s">
        <v>24</v>
      </c>
      <c r="D106">
        <v>1.0838104851186999E-3</v>
      </c>
      <c r="E106">
        <v>0.84017896810577297</v>
      </c>
      <c r="F106" t="s">
        <v>35</v>
      </c>
      <c r="G106">
        <v>59</v>
      </c>
      <c r="H106">
        <v>1.2249220891075001E-3</v>
      </c>
      <c r="I106" t="s">
        <v>39</v>
      </c>
      <c r="J106" t="b">
        <v>0</v>
      </c>
      <c r="K106">
        <v>254.66002848784501</v>
      </c>
      <c r="L106">
        <v>254.98435281216899</v>
      </c>
      <c r="M106">
        <v>17.282099113237901</v>
      </c>
      <c r="N106" t="s">
        <v>26</v>
      </c>
      <c r="O106" t="s">
        <v>26</v>
      </c>
      <c r="P106" t="s">
        <v>369</v>
      </c>
      <c r="Q106">
        <f>-0.0105989736418872 - 0.0130488178201024</f>
        <v>-2.3647791461989601E-2</v>
      </c>
      <c r="R106" t="s">
        <v>32</v>
      </c>
      <c r="S106" t="s">
        <v>40</v>
      </c>
      <c r="T106" t="s">
        <v>41</v>
      </c>
      <c r="U106" t="s">
        <v>511</v>
      </c>
      <c r="V106">
        <v>3.5394965423230502</v>
      </c>
      <c r="W106">
        <v>6.0325998627524004E-3</v>
      </c>
      <c r="X106" t="s">
        <v>371</v>
      </c>
      <c r="Y106" t="s">
        <v>31</v>
      </c>
    </row>
    <row r="107" spans="1:25" x14ac:dyDescent="0.2">
      <c r="A107" t="s">
        <v>368</v>
      </c>
      <c r="B107" t="s">
        <v>113</v>
      </c>
      <c r="C107" t="s">
        <v>24</v>
      </c>
      <c r="D107">
        <v>5.743984214641E-4</v>
      </c>
      <c r="E107">
        <v>0.88965206387113005</v>
      </c>
      <c r="F107" t="s">
        <v>35</v>
      </c>
      <c r="G107">
        <v>57</v>
      </c>
      <c r="H107">
        <v>1.8113247257455999E-3</v>
      </c>
      <c r="I107" t="s">
        <v>36</v>
      </c>
      <c r="J107" t="b">
        <v>0</v>
      </c>
      <c r="K107">
        <v>229.69030952854101</v>
      </c>
      <c r="L107">
        <v>230.05394589217701</v>
      </c>
      <c r="M107">
        <v>12.938532523216001</v>
      </c>
      <c r="N107" t="s">
        <v>26</v>
      </c>
      <c r="O107" t="s">
        <v>26</v>
      </c>
      <c r="P107" t="s">
        <v>426</v>
      </c>
      <c r="Q107">
        <f>-0.0235856241460452 - 0.0272082735975366</f>
        <v>-5.0793897743581798E-2</v>
      </c>
      <c r="R107" t="s">
        <v>34</v>
      </c>
      <c r="S107" t="s">
        <v>37</v>
      </c>
      <c r="T107" t="s">
        <v>38</v>
      </c>
      <c r="U107" t="s">
        <v>512</v>
      </c>
      <c r="V107">
        <v>4.7048474627561996</v>
      </c>
      <c r="W107">
        <v>1.2957626975403499E-2</v>
      </c>
      <c r="X107" t="s">
        <v>371</v>
      </c>
      <c r="Y107" t="s">
        <v>31</v>
      </c>
    </row>
    <row r="108" spans="1:25" x14ac:dyDescent="0.2">
      <c r="A108" t="s">
        <v>368</v>
      </c>
      <c r="B108" t="s">
        <v>145</v>
      </c>
      <c r="C108" t="s">
        <v>24</v>
      </c>
      <c r="D108">
        <v>7.2580390464359996E-4</v>
      </c>
      <c r="E108">
        <v>0.87978512534364295</v>
      </c>
      <c r="F108" t="s">
        <v>35</v>
      </c>
      <c r="G108">
        <v>66</v>
      </c>
      <c r="H108">
        <v>-2.7401032649623999E-3</v>
      </c>
      <c r="I108" t="s">
        <v>39</v>
      </c>
      <c r="J108" t="b">
        <v>0</v>
      </c>
      <c r="K108">
        <v>219.30267572685699</v>
      </c>
      <c r="L108">
        <v>219.68977250105101</v>
      </c>
      <c r="M108">
        <v>13.618907487757999</v>
      </c>
      <c r="N108" t="s">
        <v>26</v>
      </c>
      <c r="O108" t="s">
        <v>26</v>
      </c>
      <c r="P108" t="s">
        <v>384</v>
      </c>
      <c r="Q108">
        <f>-0.0379675120217722 - 0.0324873054918473</f>
        <v>-7.0454817513619497E-2</v>
      </c>
      <c r="R108" t="s">
        <v>34</v>
      </c>
      <c r="S108" t="s">
        <v>40</v>
      </c>
      <c r="T108" t="s">
        <v>41</v>
      </c>
      <c r="U108" t="s">
        <v>513</v>
      </c>
      <c r="V108">
        <v>4.2878918655368699</v>
      </c>
      <c r="W108">
        <v>1.79731677330662E-2</v>
      </c>
      <c r="X108" t="s">
        <v>371</v>
      </c>
      <c r="Y108" t="s">
        <v>31</v>
      </c>
    </row>
    <row r="109" spans="1:25" x14ac:dyDescent="0.2">
      <c r="A109" t="s">
        <v>368</v>
      </c>
      <c r="B109" t="s">
        <v>77</v>
      </c>
      <c r="C109" t="s">
        <v>24</v>
      </c>
      <c r="D109">
        <v>1.08308888288928E-2</v>
      </c>
      <c r="E109">
        <v>0.54581967753522198</v>
      </c>
      <c r="F109" t="s">
        <v>35</v>
      </c>
      <c r="G109">
        <v>10</v>
      </c>
      <c r="H109">
        <v>-1.6909452299221299E-2</v>
      </c>
      <c r="I109" t="s">
        <v>36</v>
      </c>
      <c r="J109" t="b">
        <v>0</v>
      </c>
      <c r="K109">
        <v>230.12561113270601</v>
      </c>
      <c r="L109">
        <v>230.48924749634199</v>
      </c>
      <c r="M109">
        <v>16.848208649478899</v>
      </c>
      <c r="N109" t="s">
        <v>26</v>
      </c>
      <c r="O109" t="s">
        <v>26</v>
      </c>
      <c r="P109" t="s">
        <v>403</v>
      </c>
      <c r="Q109">
        <f>-0.0712281535848553 - 0.0374092489864128</f>
        <v>-0.10863740257126811</v>
      </c>
      <c r="R109" t="s">
        <v>34</v>
      </c>
      <c r="S109" t="s">
        <v>37</v>
      </c>
      <c r="T109" t="s">
        <v>38</v>
      </c>
      <c r="U109" t="s">
        <v>514</v>
      </c>
      <c r="V109">
        <v>4.2610224475222402</v>
      </c>
      <c r="W109">
        <v>2.7713623104915298E-2</v>
      </c>
      <c r="X109" t="s">
        <v>371</v>
      </c>
      <c r="Y109" t="s">
        <v>31</v>
      </c>
    </row>
    <row r="110" spans="1:25" x14ac:dyDescent="0.2">
      <c r="A110" t="s">
        <v>368</v>
      </c>
      <c r="B110" t="s">
        <v>73</v>
      </c>
      <c r="C110" t="s">
        <v>24</v>
      </c>
      <c r="D110">
        <v>5.2993735002577003E-3</v>
      </c>
      <c r="E110">
        <v>0.64271190837289005</v>
      </c>
      <c r="F110" t="s">
        <v>35</v>
      </c>
      <c r="G110">
        <v>20</v>
      </c>
      <c r="H110">
        <v>-3.9453670596537004E-3</v>
      </c>
      <c r="I110" t="s">
        <v>39</v>
      </c>
      <c r="J110" t="b">
        <v>0</v>
      </c>
      <c r="K110">
        <v>269.232492114732</v>
      </c>
      <c r="L110">
        <v>269.53249211473201</v>
      </c>
      <c r="M110">
        <v>15.94910520486</v>
      </c>
      <c r="N110" t="s">
        <v>26</v>
      </c>
      <c r="O110" t="s">
        <v>26</v>
      </c>
      <c r="P110" t="s">
        <v>418</v>
      </c>
      <c r="Q110">
        <f>-0.0204910801102544 - 0.0126003459909468</f>
        <v>-3.30914261012012E-2</v>
      </c>
      <c r="R110" t="s">
        <v>27</v>
      </c>
      <c r="S110" t="s">
        <v>40</v>
      </c>
      <c r="T110" t="s">
        <v>41</v>
      </c>
      <c r="U110" t="s">
        <v>515</v>
      </c>
      <c r="V110">
        <v>3.7476366399021201</v>
      </c>
      <c r="W110">
        <v>8.4416903319390005E-3</v>
      </c>
      <c r="X110" t="s">
        <v>371</v>
      </c>
      <c r="Y110" t="s">
        <v>31</v>
      </c>
    </row>
    <row r="111" spans="1:25" x14ac:dyDescent="0.2">
      <c r="A111" t="s">
        <v>368</v>
      </c>
      <c r="B111" t="s">
        <v>128</v>
      </c>
      <c r="C111" t="s">
        <v>24</v>
      </c>
      <c r="D111">
        <v>5.6837225599285897E-2</v>
      </c>
      <c r="E111">
        <v>0.41175968330648699</v>
      </c>
      <c r="F111" t="s">
        <v>35</v>
      </c>
      <c r="G111">
        <v>67</v>
      </c>
      <c r="H111">
        <v>-7.2278152846229002E-3</v>
      </c>
      <c r="I111" t="s">
        <v>25</v>
      </c>
      <c r="J111" t="b">
        <v>0</v>
      </c>
      <c r="K111">
        <v>80.928942787803805</v>
      </c>
      <c r="L111">
        <v>82.019851878712899</v>
      </c>
      <c r="M111">
        <v>0</v>
      </c>
      <c r="N111" t="s">
        <v>26</v>
      </c>
      <c r="O111" t="s">
        <v>26</v>
      </c>
      <c r="P111" t="s">
        <v>388</v>
      </c>
      <c r="Q111">
        <f>-0.0238868327629078 - 0.00943120219366198</f>
        <v>-3.3318034956569778E-2</v>
      </c>
      <c r="R111" t="s">
        <v>33</v>
      </c>
      <c r="S111" t="s">
        <v>28</v>
      </c>
      <c r="T111" t="s">
        <v>29</v>
      </c>
      <c r="U111" t="s">
        <v>516</v>
      </c>
      <c r="V111">
        <v>6.9569697604077803</v>
      </c>
      <c r="W111">
        <v>8.4994987134106009E-3</v>
      </c>
      <c r="X111" t="s">
        <v>371</v>
      </c>
      <c r="Y111" t="s">
        <v>31</v>
      </c>
    </row>
    <row r="112" spans="1:25" x14ac:dyDescent="0.2">
      <c r="A112" t="s">
        <v>368</v>
      </c>
      <c r="B112" t="s">
        <v>63</v>
      </c>
      <c r="C112" t="s">
        <v>24</v>
      </c>
      <c r="D112">
        <v>2.9595351207228799E-2</v>
      </c>
      <c r="E112">
        <v>0.44395009146888398</v>
      </c>
      <c r="F112" t="s">
        <v>35</v>
      </c>
      <c r="G112">
        <v>59</v>
      </c>
      <c r="H112">
        <v>-1.0364597567385499E-2</v>
      </c>
      <c r="I112" t="s">
        <v>39</v>
      </c>
      <c r="J112" t="b">
        <v>0</v>
      </c>
      <c r="K112">
        <v>135.26270768927799</v>
      </c>
      <c r="L112">
        <v>135.894286636646</v>
      </c>
      <c r="M112">
        <v>9.5313580316230002</v>
      </c>
      <c r="N112" t="s">
        <v>26</v>
      </c>
      <c r="O112" t="s">
        <v>26</v>
      </c>
      <c r="P112" t="s">
        <v>479</v>
      </c>
      <c r="Q112">
        <f>-0.0363756666665199 - 0.015646471531749</f>
        <v>-5.2022138198268904E-2</v>
      </c>
      <c r="R112" t="s">
        <v>33</v>
      </c>
      <c r="S112" t="s">
        <v>40</v>
      </c>
      <c r="T112" t="s">
        <v>41</v>
      </c>
      <c r="U112" t="s">
        <v>517</v>
      </c>
      <c r="V112">
        <v>4.8133865114650396</v>
      </c>
      <c r="W112">
        <v>1.3270953622007401E-2</v>
      </c>
      <c r="X112" t="s">
        <v>371</v>
      </c>
      <c r="Y112" t="s">
        <v>31</v>
      </c>
    </row>
    <row r="113" spans="1:25" x14ac:dyDescent="0.2">
      <c r="A113" t="s">
        <v>368</v>
      </c>
      <c r="B113" t="s">
        <v>57</v>
      </c>
      <c r="C113" t="s">
        <v>24</v>
      </c>
      <c r="D113">
        <v>0.139078166969899</v>
      </c>
      <c r="E113">
        <v>0.115819242517178</v>
      </c>
      <c r="F113" t="s">
        <v>35</v>
      </c>
      <c r="G113">
        <v>22</v>
      </c>
      <c r="H113">
        <v>-2.9465739099605402E-2</v>
      </c>
      <c r="I113" t="s">
        <v>36</v>
      </c>
      <c r="J113" t="b">
        <v>0</v>
      </c>
      <c r="K113">
        <v>82.285308328463302</v>
      </c>
      <c r="L113">
        <v>83.035308328463302</v>
      </c>
      <c r="M113">
        <v>7.7818682141730999</v>
      </c>
      <c r="N113" t="s">
        <v>26</v>
      </c>
      <c r="O113" t="s">
        <v>26</v>
      </c>
      <c r="P113" t="s">
        <v>416</v>
      </c>
      <c r="Q113">
        <f>-0.0643156226765846 - 0.0053841444773737</f>
        <v>-6.96997671539583E-2</v>
      </c>
      <c r="R113" t="s">
        <v>34</v>
      </c>
      <c r="S113" t="s">
        <v>37</v>
      </c>
      <c r="T113" t="s">
        <v>38</v>
      </c>
      <c r="U113" t="s">
        <v>518</v>
      </c>
      <c r="V113">
        <v>3.03387763995919</v>
      </c>
      <c r="W113">
        <v>1.77805528453975E-2</v>
      </c>
      <c r="X113" t="s">
        <v>371</v>
      </c>
      <c r="Y113" t="s">
        <v>31</v>
      </c>
    </row>
    <row r="114" spans="1:25" x14ac:dyDescent="0.2">
      <c r="A114" t="s">
        <v>368</v>
      </c>
      <c r="B114" t="s">
        <v>122</v>
      </c>
      <c r="C114" t="s">
        <v>24</v>
      </c>
      <c r="D114">
        <v>3.0399886731303999E-3</v>
      </c>
      <c r="E114">
        <v>0.80269005847153196</v>
      </c>
      <c r="F114" t="s">
        <v>35</v>
      </c>
      <c r="G114">
        <v>45</v>
      </c>
      <c r="H114">
        <v>5.6139313982509998E-3</v>
      </c>
      <c r="I114" t="s">
        <v>36</v>
      </c>
      <c r="J114" t="b">
        <v>0</v>
      </c>
      <c r="K114">
        <v>129.314690325507</v>
      </c>
      <c r="L114">
        <v>129.914690325507</v>
      </c>
      <c r="M114">
        <v>4.8789413752899904</v>
      </c>
      <c r="N114" t="s">
        <v>26</v>
      </c>
      <c r="O114" t="s">
        <v>26</v>
      </c>
      <c r="P114" t="s">
        <v>392</v>
      </c>
      <c r="Q114">
        <f>-0.0378687594698088 - 0.0490966222663108</f>
        <v>-8.696538173611959E-2</v>
      </c>
      <c r="R114" t="s">
        <v>32</v>
      </c>
      <c r="S114" t="s">
        <v>37</v>
      </c>
      <c r="T114" t="s">
        <v>38</v>
      </c>
      <c r="U114" t="s">
        <v>519</v>
      </c>
      <c r="V114">
        <v>3.1272970665306299</v>
      </c>
      <c r="W114">
        <v>2.2185046361255002E-2</v>
      </c>
      <c r="X114" t="s">
        <v>371</v>
      </c>
      <c r="Y114" t="s">
        <v>31</v>
      </c>
    </row>
    <row r="115" spans="1:25" x14ac:dyDescent="0.2">
      <c r="A115" t="s">
        <v>368</v>
      </c>
      <c r="B115" t="s">
        <v>130</v>
      </c>
      <c r="C115" t="s">
        <v>24</v>
      </c>
      <c r="D115">
        <v>2.5974484365939E-3</v>
      </c>
      <c r="E115">
        <v>0.82634419013884397</v>
      </c>
      <c r="F115" t="s">
        <v>35</v>
      </c>
      <c r="G115">
        <v>63</v>
      </c>
      <c r="H115">
        <v>3.02613488849592E-2</v>
      </c>
      <c r="I115" t="s">
        <v>42</v>
      </c>
      <c r="J115" t="b">
        <v>0</v>
      </c>
      <c r="K115">
        <v>148.93934588890301</v>
      </c>
      <c r="L115">
        <v>149.60601255557</v>
      </c>
      <c r="M115">
        <v>15.458315139364901</v>
      </c>
      <c r="N115" t="s">
        <v>26</v>
      </c>
      <c r="O115" t="s">
        <v>26</v>
      </c>
      <c r="P115" t="s">
        <v>471</v>
      </c>
      <c r="Q115">
        <f>-0.236381120979942 - 0.29690381874986</f>
        <v>-0.53328493972980195</v>
      </c>
      <c r="R115" t="s">
        <v>34</v>
      </c>
      <c r="S115" t="s">
        <v>43</v>
      </c>
      <c r="T115" t="s">
        <v>26</v>
      </c>
      <c r="U115" t="s">
        <v>44</v>
      </c>
      <c r="V115">
        <v>3.4370981351441299</v>
      </c>
      <c r="W115">
        <v>0.13604207646168401</v>
      </c>
      <c r="X115" t="s">
        <v>371</v>
      </c>
      <c r="Y115" t="s">
        <v>31</v>
      </c>
    </row>
    <row r="116" spans="1:25" x14ac:dyDescent="0.2">
      <c r="A116" t="s">
        <v>368</v>
      </c>
      <c r="B116" t="s">
        <v>67</v>
      </c>
      <c r="C116" t="s">
        <v>24</v>
      </c>
      <c r="D116">
        <v>7.3743435464848198E-2</v>
      </c>
      <c r="E116">
        <v>0.47966605005589802</v>
      </c>
      <c r="F116" t="s">
        <v>35</v>
      </c>
      <c r="G116">
        <v>57</v>
      </c>
      <c r="H116">
        <v>-9.3641447927595E-3</v>
      </c>
      <c r="I116" t="s">
        <v>36</v>
      </c>
      <c r="J116" t="b">
        <v>0</v>
      </c>
      <c r="K116">
        <v>51.461689190780298</v>
      </c>
      <c r="L116">
        <v>53.461689190780298</v>
      </c>
      <c r="M116">
        <v>4.53506829386967E-2</v>
      </c>
      <c r="N116" t="s">
        <v>26</v>
      </c>
      <c r="O116" t="s">
        <v>26</v>
      </c>
      <c r="P116" t="s">
        <v>405</v>
      </c>
      <c r="Q116">
        <f>-0.0339496500604919 - 0.0152213604749729</f>
        <v>-4.9171010535464799E-2</v>
      </c>
      <c r="R116" t="s">
        <v>33</v>
      </c>
      <c r="S116" t="s">
        <v>37</v>
      </c>
      <c r="T116" t="s">
        <v>38</v>
      </c>
      <c r="U116" t="s">
        <v>520</v>
      </c>
      <c r="V116">
        <v>6.8631768097111703</v>
      </c>
      <c r="W116">
        <v>1.2543625136598201E-2</v>
      </c>
      <c r="X116" t="s">
        <v>371</v>
      </c>
      <c r="Y116" t="s">
        <v>31</v>
      </c>
    </row>
    <row r="117" spans="1:25" x14ac:dyDescent="0.2">
      <c r="A117" t="s">
        <v>368</v>
      </c>
      <c r="B117" t="s">
        <v>120</v>
      </c>
      <c r="C117" t="s">
        <v>24</v>
      </c>
      <c r="D117">
        <v>1.4232762617719999E-3</v>
      </c>
      <c r="E117">
        <v>0.86430263997126</v>
      </c>
      <c r="F117" t="s">
        <v>35</v>
      </c>
      <c r="G117">
        <v>10</v>
      </c>
      <c r="H117">
        <v>-3.2898698842534001E-3</v>
      </c>
      <c r="I117" t="s">
        <v>39</v>
      </c>
      <c r="J117" t="b">
        <v>0</v>
      </c>
      <c r="K117">
        <v>158.43447842970099</v>
      </c>
      <c r="L117">
        <v>159.03447842970101</v>
      </c>
      <c r="M117">
        <v>13.653652547754</v>
      </c>
      <c r="N117" t="s">
        <v>26</v>
      </c>
      <c r="O117" t="s">
        <v>26</v>
      </c>
      <c r="P117" t="s">
        <v>412</v>
      </c>
      <c r="Q117">
        <f>-0.0405608884928493 - 0.0339811487243424</f>
        <v>-7.4542037217191701E-2</v>
      </c>
      <c r="R117" t="s">
        <v>32</v>
      </c>
      <c r="S117" t="s">
        <v>40</v>
      </c>
      <c r="T117" t="s">
        <v>41</v>
      </c>
      <c r="U117" t="s">
        <v>521</v>
      </c>
      <c r="V117">
        <v>3.6943823586983102</v>
      </c>
      <c r="W117">
        <v>1.90158258207122E-2</v>
      </c>
      <c r="X117" t="s">
        <v>371</v>
      </c>
      <c r="Y117" t="s">
        <v>31</v>
      </c>
    </row>
    <row r="118" spans="1:25" x14ac:dyDescent="0.2">
      <c r="A118" t="s">
        <v>368</v>
      </c>
      <c r="B118" t="s">
        <v>118</v>
      </c>
      <c r="C118" t="s">
        <v>24</v>
      </c>
      <c r="D118">
        <v>3.9562425759699801E-2</v>
      </c>
      <c r="E118">
        <v>0.37486658090143399</v>
      </c>
      <c r="F118" t="s">
        <v>35</v>
      </c>
      <c r="G118">
        <v>32</v>
      </c>
      <c r="H118">
        <v>-6.8087742895529E-3</v>
      </c>
      <c r="I118" t="s">
        <v>36</v>
      </c>
      <c r="J118" t="b">
        <v>0</v>
      </c>
      <c r="K118">
        <v>135.877442470727</v>
      </c>
      <c r="L118">
        <v>136.50902141809601</v>
      </c>
      <c r="M118">
        <v>8.2082380685109992</v>
      </c>
      <c r="N118" t="s">
        <v>26</v>
      </c>
      <c r="O118" t="s">
        <v>26</v>
      </c>
      <c r="P118" t="s">
        <v>420</v>
      </c>
      <c r="Q118">
        <f>-0.0215116784388569 - 0.00789412985975099</f>
        <v>-2.9405808298607894E-2</v>
      </c>
      <c r="R118" t="s">
        <v>32</v>
      </c>
      <c r="S118" t="s">
        <v>37</v>
      </c>
      <c r="T118" t="s">
        <v>38</v>
      </c>
      <c r="U118" t="s">
        <v>522</v>
      </c>
      <c r="V118">
        <v>4.06116947127164</v>
      </c>
      <c r="W118">
        <v>7.5014817088285002E-3</v>
      </c>
      <c r="X118" t="s">
        <v>371</v>
      </c>
      <c r="Y118" t="s">
        <v>31</v>
      </c>
    </row>
    <row r="119" spans="1:25" x14ac:dyDescent="0.2">
      <c r="A119" t="s">
        <v>368</v>
      </c>
      <c r="B119" t="s">
        <v>55</v>
      </c>
      <c r="C119" t="s">
        <v>24</v>
      </c>
      <c r="D119">
        <v>1.7214927163755101E-2</v>
      </c>
      <c r="E119">
        <v>0.48171145205557903</v>
      </c>
      <c r="F119" t="s">
        <v>35</v>
      </c>
      <c r="G119">
        <v>48</v>
      </c>
      <c r="H119">
        <v>-2.8989379021289698E-2</v>
      </c>
      <c r="I119" t="s">
        <v>42</v>
      </c>
      <c r="J119" t="b">
        <v>0</v>
      </c>
      <c r="K119">
        <v>208.73103756386101</v>
      </c>
      <c r="L119">
        <v>209.159608992432</v>
      </c>
      <c r="M119">
        <v>18.004671559863901</v>
      </c>
      <c r="N119" t="s">
        <v>26</v>
      </c>
      <c r="O119" t="s">
        <v>26</v>
      </c>
      <c r="P119" t="s">
        <v>414</v>
      </c>
      <c r="Q119">
        <f>-0.108710365827394 - 0.0507316077848146</f>
        <v>-0.1594419736122086</v>
      </c>
      <c r="R119" t="s">
        <v>33</v>
      </c>
      <c r="S119" t="s">
        <v>43</v>
      </c>
      <c r="T119" t="s">
        <v>26</v>
      </c>
      <c r="U119" t="s">
        <v>44</v>
      </c>
      <c r="V119">
        <v>5.2708526821637101</v>
      </c>
      <c r="W119">
        <v>4.0673972860257299E-2</v>
      </c>
      <c r="X119" t="s">
        <v>371</v>
      </c>
      <c r="Y119" t="s">
        <v>31</v>
      </c>
    </row>
    <row r="120" spans="1:25" x14ac:dyDescent="0.2">
      <c r="A120" t="s">
        <v>368</v>
      </c>
      <c r="B120" t="s">
        <v>151</v>
      </c>
      <c r="C120" t="s">
        <v>24</v>
      </c>
      <c r="D120">
        <v>1.8743737535521301E-2</v>
      </c>
      <c r="E120">
        <v>0.478829840057233</v>
      </c>
      <c r="F120" t="s">
        <v>35</v>
      </c>
      <c r="G120">
        <v>6</v>
      </c>
      <c r="H120">
        <v>-2.35719269942135E-2</v>
      </c>
      <c r="I120" t="s">
        <v>42</v>
      </c>
      <c r="J120" t="b">
        <v>0</v>
      </c>
      <c r="K120">
        <v>186.50392447505601</v>
      </c>
      <c r="L120">
        <v>186.965462936595</v>
      </c>
      <c r="M120">
        <v>9.6853677365880007</v>
      </c>
      <c r="N120" t="s">
        <v>26</v>
      </c>
      <c r="O120" t="s">
        <v>26</v>
      </c>
      <c r="P120" t="s">
        <v>428</v>
      </c>
      <c r="Q120">
        <f>-0.0879047190405132 - 0.0407608650520863</f>
        <v>-0.12866558409259948</v>
      </c>
      <c r="R120" t="s">
        <v>27</v>
      </c>
      <c r="S120" t="s">
        <v>43</v>
      </c>
      <c r="T120" t="s">
        <v>26</v>
      </c>
      <c r="U120" t="s">
        <v>44</v>
      </c>
      <c r="V120">
        <v>4.2470360659532203</v>
      </c>
      <c r="W120">
        <v>3.2822853084846802E-2</v>
      </c>
      <c r="X120" t="s">
        <v>371</v>
      </c>
      <c r="Y120" t="s">
        <v>31</v>
      </c>
    </row>
    <row r="121" spans="1:25" x14ac:dyDescent="0.2">
      <c r="A121" t="s">
        <v>368</v>
      </c>
      <c r="B121" t="s">
        <v>151</v>
      </c>
      <c r="C121" t="s">
        <v>24</v>
      </c>
      <c r="D121">
        <v>8.5582666383533998E-3</v>
      </c>
      <c r="E121">
        <v>0.63314969122090503</v>
      </c>
      <c r="F121" t="s">
        <v>35</v>
      </c>
      <c r="G121">
        <v>6</v>
      </c>
      <c r="H121">
        <v>-1.85132131752067E-2</v>
      </c>
      <c r="I121" t="s">
        <v>36</v>
      </c>
      <c r="J121" t="b">
        <v>0</v>
      </c>
      <c r="K121">
        <v>185.80369597778699</v>
      </c>
      <c r="L121">
        <v>186.26523443932601</v>
      </c>
      <c r="M121">
        <v>8.9851392393190093</v>
      </c>
      <c r="N121" t="s">
        <v>26</v>
      </c>
      <c r="O121" t="s">
        <v>26</v>
      </c>
      <c r="P121" t="s">
        <v>428</v>
      </c>
      <c r="Q121">
        <f>-0.0936749284590943 - 0.0566485021086808</f>
        <v>-0.15032343056777508</v>
      </c>
      <c r="R121" t="s">
        <v>27</v>
      </c>
      <c r="S121" t="s">
        <v>37</v>
      </c>
      <c r="T121" t="s">
        <v>38</v>
      </c>
      <c r="U121" t="s">
        <v>523</v>
      </c>
      <c r="V121">
        <v>4.32145875252903</v>
      </c>
      <c r="W121">
        <v>3.8347813920350797E-2</v>
      </c>
      <c r="X121" t="s">
        <v>371</v>
      </c>
      <c r="Y121" t="s">
        <v>31</v>
      </c>
    </row>
    <row r="122" spans="1:25" x14ac:dyDescent="0.2">
      <c r="A122" t="s">
        <v>368</v>
      </c>
      <c r="B122" t="s">
        <v>161</v>
      </c>
      <c r="C122" t="s">
        <v>24</v>
      </c>
      <c r="D122">
        <v>0.203386383110991</v>
      </c>
      <c r="E122">
        <v>1.23753405598093E-2</v>
      </c>
      <c r="F122" t="s">
        <v>35</v>
      </c>
      <c r="G122">
        <v>45</v>
      </c>
      <c r="H122">
        <v>0.35828261370303199</v>
      </c>
      <c r="I122" t="s">
        <v>39</v>
      </c>
      <c r="J122" t="b">
        <v>0</v>
      </c>
      <c r="K122">
        <v>197.507133942839</v>
      </c>
      <c r="L122">
        <v>197.95157838728301</v>
      </c>
      <c r="M122">
        <v>12.692528743627999</v>
      </c>
      <c r="N122" t="s">
        <v>26</v>
      </c>
      <c r="O122" t="s">
        <v>26</v>
      </c>
      <c r="P122" t="s">
        <v>430</v>
      </c>
      <c r="Q122" t="s">
        <v>524</v>
      </c>
      <c r="R122" t="s">
        <v>34</v>
      </c>
      <c r="S122" t="s">
        <v>40</v>
      </c>
      <c r="T122" t="s">
        <v>41</v>
      </c>
      <c r="U122" t="s">
        <v>525</v>
      </c>
      <c r="V122">
        <v>0.623967261100287</v>
      </c>
      <c r="W122">
        <v>0.13400149522790999</v>
      </c>
      <c r="X122" t="s">
        <v>371</v>
      </c>
      <c r="Y122" t="s">
        <v>31</v>
      </c>
    </row>
    <row r="123" spans="1:25" x14ac:dyDescent="0.2">
      <c r="A123" t="s">
        <v>368</v>
      </c>
      <c r="B123" t="s">
        <v>107</v>
      </c>
      <c r="C123" t="s">
        <v>24</v>
      </c>
      <c r="D123">
        <v>8.3309904615726099E-2</v>
      </c>
      <c r="E123">
        <v>0.29680296527852201</v>
      </c>
      <c r="F123" t="s">
        <v>35</v>
      </c>
      <c r="G123">
        <v>42</v>
      </c>
      <c r="H123">
        <v>-0.42758476007316498</v>
      </c>
      <c r="I123" t="s">
        <v>42</v>
      </c>
      <c r="J123" t="b">
        <v>0</v>
      </c>
      <c r="K123">
        <v>91.830205070765302</v>
      </c>
      <c r="L123">
        <v>92.830205070765302</v>
      </c>
      <c r="M123">
        <v>0.408172260296709</v>
      </c>
      <c r="N123" t="s">
        <v>26</v>
      </c>
      <c r="O123" t="s">
        <v>26</v>
      </c>
      <c r="P123" t="s">
        <v>402</v>
      </c>
      <c r="Q123">
        <f>-1.19861171968186 - 0.343442199535527</f>
        <v>-1.542053919217387</v>
      </c>
      <c r="R123" t="s">
        <v>27</v>
      </c>
      <c r="S123" t="s">
        <v>43</v>
      </c>
      <c r="T123" t="s">
        <v>26</v>
      </c>
      <c r="U123" t="s">
        <v>44</v>
      </c>
      <c r="V123">
        <v>5.1165879048635103</v>
      </c>
      <c r="W123">
        <v>0.39338110184116898</v>
      </c>
      <c r="X123" t="s">
        <v>371</v>
      </c>
      <c r="Y123" t="s">
        <v>31</v>
      </c>
    </row>
    <row r="124" spans="1:25" x14ac:dyDescent="0.2">
      <c r="A124" t="s">
        <v>368</v>
      </c>
      <c r="B124" t="s">
        <v>107</v>
      </c>
      <c r="C124" t="s">
        <v>24</v>
      </c>
      <c r="D124">
        <v>8.3309904615726404E-2</v>
      </c>
      <c r="E124">
        <v>0.29680296527852201</v>
      </c>
      <c r="F124" t="s">
        <v>35</v>
      </c>
      <c r="G124">
        <v>42</v>
      </c>
      <c r="H124">
        <v>-0.42758476007316598</v>
      </c>
      <c r="I124" t="s">
        <v>36</v>
      </c>
      <c r="J124" t="b">
        <v>0</v>
      </c>
      <c r="K124">
        <v>91.830205070765302</v>
      </c>
      <c r="L124">
        <v>92.830205070765302</v>
      </c>
      <c r="M124">
        <v>0.408172260296709</v>
      </c>
      <c r="N124" t="s">
        <v>26</v>
      </c>
      <c r="O124" t="s">
        <v>26</v>
      </c>
      <c r="P124" t="s">
        <v>402</v>
      </c>
      <c r="Q124">
        <f>-1.19861171968186 - 0.343442199535528</f>
        <v>-1.5420539192173881</v>
      </c>
      <c r="R124" t="s">
        <v>27</v>
      </c>
      <c r="S124" t="s">
        <v>37</v>
      </c>
      <c r="T124" t="s">
        <v>38</v>
      </c>
      <c r="U124" t="s">
        <v>526</v>
      </c>
      <c r="V124">
        <v>5.1165879048635396</v>
      </c>
      <c r="W124">
        <v>0.39338110184116998</v>
      </c>
      <c r="X124" t="s">
        <v>371</v>
      </c>
      <c r="Y124" t="s">
        <v>31</v>
      </c>
    </row>
    <row r="125" spans="1:25" x14ac:dyDescent="0.2">
      <c r="A125" t="s">
        <v>368</v>
      </c>
      <c r="B125" t="s">
        <v>166</v>
      </c>
      <c r="C125" t="s">
        <v>24</v>
      </c>
      <c r="D125">
        <v>2.88843466287514E-2</v>
      </c>
      <c r="E125">
        <v>0.41667756699491298</v>
      </c>
      <c r="F125" t="s">
        <v>35</v>
      </c>
      <c r="G125">
        <v>48</v>
      </c>
      <c r="H125">
        <v>2.2986663626449501E-2</v>
      </c>
      <c r="I125" t="s">
        <v>36</v>
      </c>
      <c r="J125" t="b">
        <v>0</v>
      </c>
      <c r="K125">
        <v>169.53304044873599</v>
      </c>
      <c r="L125">
        <v>170.07849499419001</v>
      </c>
      <c r="M125">
        <v>11.194718948164001</v>
      </c>
      <c r="N125" t="s">
        <v>26</v>
      </c>
      <c r="O125" t="s">
        <v>26</v>
      </c>
      <c r="P125" t="s">
        <v>376</v>
      </c>
      <c r="Q125">
        <f>-0.0314852079423599 - 0.0774585351952589</f>
        <v>-0.1089437431376188</v>
      </c>
      <c r="R125" t="s">
        <v>34</v>
      </c>
      <c r="S125" t="s">
        <v>37</v>
      </c>
      <c r="T125" t="s">
        <v>38</v>
      </c>
      <c r="U125" t="s">
        <v>527</v>
      </c>
      <c r="V125">
        <v>5.2892403838494504</v>
      </c>
      <c r="W125">
        <v>2.7791771208576201E-2</v>
      </c>
      <c r="X125" t="s">
        <v>371</v>
      </c>
      <c r="Y125" t="s">
        <v>31</v>
      </c>
    </row>
    <row r="126" spans="1:25" x14ac:dyDescent="0.2">
      <c r="A126" t="s">
        <v>368</v>
      </c>
      <c r="B126" t="s">
        <v>90</v>
      </c>
      <c r="C126" t="s">
        <v>24</v>
      </c>
      <c r="D126">
        <v>0.196937044128592</v>
      </c>
      <c r="E126">
        <v>4.1264551975829997E-3</v>
      </c>
      <c r="F126" t="s">
        <v>35</v>
      </c>
      <c r="G126">
        <v>53</v>
      </c>
      <c r="H126">
        <v>2.7960238383664699E-2</v>
      </c>
      <c r="I126" t="s">
        <v>39</v>
      </c>
      <c r="J126" t="b">
        <v>0</v>
      </c>
      <c r="K126">
        <v>247.70225681999699</v>
      </c>
      <c r="L126">
        <v>248.026581144321</v>
      </c>
      <c r="M126">
        <v>22.207539395119898</v>
      </c>
      <c r="N126" t="s">
        <v>26</v>
      </c>
      <c r="O126" t="s">
        <v>26</v>
      </c>
      <c r="P126" t="s">
        <v>466</v>
      </c>
      <c r="Q126" t="s">
        <v>528</v>
      </c>
      <c r="R126" t="s">
        <v>27</v>
      </c>
      <c r="S126" t="s">
        <v>40</v>
      </c>
      <c r="T126" t="s">
        <v>41</v>
      </c>
      <c r="U126" t="s">
        <v>529</v>
      </c>
      <c r="V126">
        <v>2.1450344132619699</v>
      </c>
      <c r="W126">
        <v>9.1592552138337006E-3</v>
      </c>
      <c r="X126" t="s">
        <v>371</v>
      </c>
      <c r="Y126" t="s">
        <v>31</v>
      </c>
    </row>
    <row r="127" spans="1:25" x14ac:dyDescent="0.2">
      <c r="A127" t="s">
        <v>368</v>
      </c>
      <c r="B127" t="s">
        <v>101</v>
      </c>
      <c r="C127" t="s">
        <v>24</v>
      </c>
      <c r="D127">
        <v>1.16108524988635E-2</v>
      </c>
      <c r="E127">
        <v>0.51379957073419702</v>
      </c>
      <c r="F127" t="s">
        <v>35</v>
      </c>
      <c r="G127">
        <v>47</v>
      </c>
      <c r="H127">
        <v>-3.9925138466670998E-3</v>
      </c>
      <c r="I127" t="s">
        <v>42</v>
      </c>
      <c r="J127" t="b">
        <v>0</v>
      </c>
      <c r="K127">
        <v>251.22706626724801</v>
      </c>
      <c r="L127">
        <v>251.56039960058101</v>
      </c>
      <c r="M127">
        <v>20.103996525467998</v>
      </c>
      <c r="N127" t="s">
        <v>26</v>
      </c>
      <c r="O127" t="s">
        <v>26</v>
      </c>
      <c r="P127" t="s">
        <v>422</v>
      </c>
      <c r="Q127">
        <f>-0.0158620451590717 - 0.00787701746573737</f>
        <v>-2.3739062624809071E-2</v>
      </c>
      <c r="R127" t="s">
        <v>33</v>
      </c>
      <c r="S127" t="s">
        <v>43</v>
      </c>
      <c r="T127" t="s">
        <v>26</v>
      </c>
      <c r="U127" t="s">
        <v>44</v>
      </c>
      <c r="V127">
        <v>3.74693750965793</v>
      </c>
      <c r="W127">
        <v>6.0558833226552998E-3</v>
      </c>
      <c r="X127" t="s">
        <v>371</v>
      </c>
      <c r="Y127" t="s">
        <v>31</v>
      </c>
    </row>
    <row r="128" spans="1:25" x14ac:dyDescent="0.2">
      <c r="A128" t="s">
        <v>368</v>
      </c>
      <c r="B128" t="s">
        <v>101</v>
      </c>
      <c r="C128" t="s">
        <v>24</v>
      </c>
      <c r="D128">
        <v>6.0698428769815398E-2</v>
      </c>
      <c r="E128">
        <v>0.13054935803609499</v>
      </c>
      <c r="F128" t="s">
        <v>35</v>
      </c>
      <c r="G128">
        <v>47</v>
      </c>
      <c r="H128">
        <v>-1.8042381626677598E-2</v>
      </c>
      <c r="I128" t="s">
        <v>36</v>
      </c>
      <c r="J128" t="b">
        <v>0</v>
      </c>
      <c r="K128">
        <v>246.83485962488399</v>
      </c>
      <c r="L128">
        <v>247.16819295821699</v>
      </c>
      <c r="M128">
        <v>15.711789883103901</v>
      </c>
      <c r="N128" t="s">
        <v>26</v>
      </c>
      <c r="O128" t="s">
        <v>26</v>
      </c>
      <c r="P128" t="s">
        <v>422</v>
      </c>
      <c r="Q128">
        <f>-0.0409122083328687 - 0.00482744507951349</f>
        <v>-4.5739653412382196E-2</v>
      </c>
      <c r="R128" t="s">
        <v>33</v>
      </c>
      <c r="S128" t="s">
        <v>37</v>
      </c>
      <c r="T128" t="s">
        <v>38</v>
      </c>
      <c r="U128" t="s">
        <v>530</v>
      </c>
      <c r="V128">
        <v>4.4154349730750102</v>
      </c>
      <c r="W128">
        <v>1.1668278931730201E-2</v>
      </c>
      <c r="X128" t="s">
        <v>371</v>
      </c>
      <c r="Y128" t="s">
        <v>31</v>
      </c>
    </row>
    <row r="129" spans="1:25" x14ac:dyDescent="0.2">
      <c r="A129" t="s">
        <v>368</v>
      </c>
      <c r="B129" t="s">
        <v>132</v>
      </c>
      <c r="C129" t="s">
        <v>24</v>
      </c>
      <c r="D129">
        <v>5.2354540418063401E-2</v>
      </c>
      <c r="E129">
        <v>0.37704400560246998</v>
      </c>
      <c r="F129" t="s">
        <v>35</v>
      </c>
      <c r="G129">
        <v>46</v>
      </c>
      <c r="H129">
        <v>-2.41140074914451E-2</v>
      </c>
      <c r="I129" t="s">
        <v>36</v>
      </c>
      <c r="J129" t="b">
        <v>0</v>
      </c>
      <c r="K129">
        <v>116.749971910771</v>
      </c>
      <c r="L129">
        <v>117.607114767914</v>
      </c>
      <c r="M129">
        <v>3.9398530415829902</v>
      </c>
      <c r="N129" t="s">
        <v>26</v>
      </c>
      <c r="O129" t="s">
        <v>26</v>
      </c>
      <c r="P129" t="s">
        <v>485</v>
      </c>
      <c r="Q129">
        <f>-0.0760329216043989 - 0.0278049066215088</f>
        <v>-0.1038378282259077</v>
      </c>
      <c r="R129" t="s">
        <v>34</v>
      </c>
      <c r="S129" t="s">
        <v>37</v>
      </c>
      <c r="T129" t="s">
        <v>38</v>
      </c>
      <c r="U129" t="s">
        <v>531</v>
      </c>
      <c r="V129">
        <v>6.3051195982561996</v>
      </c>
      <c r="W129">
        <v>2.6489241894364201E-2</v>
      </c>
      <c r="X129" t="s">
        <v>371</v>
      </c>
      <c r="Y129" t="s">
        <v>31</v>
      </c>
    </row>
    <row r="130" spans="1:25" x14ac:dyDescent="0.2">
      <c r="A130" t="s">
        <v>368</v>
      </c>
      <c r="B130" t="s">
        <v>118</v>
      </c>
      <c r="C130" t="s">
        <v>24</v>
      </c>
      <c r="D130">
        <v>5.23208230284989E-2</v>
      </c>
      <c r="E130">
        <v>0.30588057108907102</v>
      </c>
      <c r="F130" t="s">
        <v>35</v>
      </c>
      <c r="G130">
        <v>32</v>
      </c>
      <c r="H130">
        <v>-6.7199257284356996E-3</v>
      </c>
      <c r="I130" t="s">
        <v>42</v>
      </c>
      <c r="J130" t="b">
        <v>0</v>
      </c>
      <c r="K130">
        <v>136.95289896563401</v>
      </c>
      <c r="L130">
        <v>137.58447791300199</v>
      </c>
      <c r="M130">
        <v>9.2836945634169794</v>
      </c>
      <c r="N130" t="s">
        <v>26</v>
      </c>
      <c r="O130" t="s">
        <v>26</v>
      </c>
      <c r="P130" t="s">
        <v>420</v>
      </c>
      <c r="Q130">
        <f>-0.0192541924548624 - 0.00581434099799104</f>
        <v>-2.5068533452853439E-2</v>
      </c>
      <c r="R130" t="s">
        <v>32</v>
      </c>
      <c r="S130" t="s">
        <v>43</v>
      </c>
      <c r="T130" t="s">
        <v>26</v>
      </c>
      <c r="U130" t="s">
        <v>44</v>
      </c>
      <c r="V130">
        <v>4.2225657121638402</v>
      </c>
      <c r="W130">
        <v>6.3950340440951997E-3</v>
      </c>
      <c r="X130" t="s">
        <v>371</v>
      </c>
      <c r="Y130" t="s">
        <v>31</v>
      </c>
    </row>
    <row r="131" spans="1:25" x14ac:dyDescent="0.2">
      <c r="A131" t="s">
        <v>368</v>
      </c>
      <c r="B131" t="s">
        <v>130</v>
      </c>
      <c r="C131" t="s">
        <v>24</v>
      </c>
      <c r="D131">
        <v>2.5974484365939E-3</v>
      </c>
      <c r="E131">
        <v>0.82634419013884397</v>
      </c>
      <c r="F131" t="s">
        <v>35</v>
      </c>
      <c r="G131">
        <v>63</v>
      </c>
      <c r="H131">
        <v>3.02613488849592E-2</v>
      </c>
      <c r="I131" t="s">
        <v>39</v>
      </c>
      <c r="J131" t="b">
        <v>0</v>
      </c>
      <c r="K131">
        <v>148.93934588890301</v>
      </c>
      <c r="L131">
        <v>149.60601255557</v>
      </c>
      <c r="M131">
        <v>15.458315139364901</v>
      </c>
      <c r="N131" t="s">
        <v>26</v>
      </c>
      <c r="O131" t="s">
        <v>26</v>
      </c>
      <c r="P131" t="s">
        <v>471</v>
      </c>
      <c r="Q131">
        <f>-0.236381120979942 - 0.29690381874986</f>
        <v>-0.53328493972980195</v>
      </c>
      <c r="R131" t="s">
        <v>34</v>
      </c>
      <c r="S131" t="s">
        <v>40</v>
      </c>
      <c r="T131" t="s">
        <v>41</v>
      </c>
      <c r="U131" t="s">
        <v>532</v>
      </c>
      <c r="V131">
        <v>3.4370981351441299</v>
      </c>
      <c r="W131">
        <v>0.13604207646168401</v>
      </c>
      <c r="X131" t="s">
        <v>371</v>
      </c>
      <c r="Y131" t="s">
        <v>31</v>
      </c>
    </row>
    <row r="132" spans="1:25" x14ac:dyDescent="0.2">
      <c r="A132" t="s">
        <v>368</v>
      </c>
      <c r="B132" t="s">
        <v>140</v>
      </c>
      <c r="C132" t="s">
        <v>24</v>
      </c>
      <c r="D132">
        <v>0.17451278099767001</v>
      </c>
      <c r="E132">
        <v>0.40983021492666399</v>
      </c>
      <c r="F132" t="s">
        <v>35</v>
      </c>
      <c r="G132">
        <v>55</v>
      </c>
      <c r="H132">
        <v>-1.02023247303425E-2</v>
      </c>
      <c r="I132" t="s">
        <v>39</v>
      </c>
      <c r="J132" t="b">
        <v>0</v>
      </c>
      <c r="K132">
        <v>38.202554836135398</v>
      </c>
      <c r="L132">
        <v>42.202554836135398</v>
      </c>
      <c r="M132">
        <v>0</v>
      </c>
      <c r="N132" t="s">
        <v>26</v>
      </c>
      <c r="O132" t="s">
        <v>26</v>
      </c>
      <c r="P132" t="s">
        <v>389</v>
      </c>
      <c r="Q132">
        <f>-0.031947693413347 - 0.011543043952662</f>
        <v>-4.3490737366009002E-2</v>
      </c>
      <c r="R132" t="s">
        <v>34</v>
      </c>
      <c r="S132" t="s">
        <v>40</v>
      </c>
      <c r="T132" t="s">
        <v>41</v>
      </c>
      <c r="U132" t="s">
        <v>533</v>
      </c>
      <c r="V132">
        <v>6.7061543627550604</v>
      </c>
      <c r="W132">
        <v>1.1094575858675799E-2</v>
      </c>
      <c r="X132" t="s">
        <v>371</v>
      </c>
      <c r="Y132" t="s">
        <v>31</v>
      </c>
    </row>
    <row r="133" spans="1:25" x14ac:dyDescent="0.2">
      <c r="A133" t="s">
        <v>368</v>
      </c>
      <c r="B133" t="s">
        <v>73</v>
      </c>
      <c r="C133" t="s">
        <v>24</v>
      </c>
      <c r="D133">
        <v>5.2993735002577003E-3</v>
      </c>
      <c r="E133">
        <v>0.64271190837289005</v>
      </c>
      <c r="F133" t="s">
        <v>35</v>
      </c>
      <c r="G133">
        <v>20</v>
      </c>
      <c r="H133">
        <v>-3.9453670596537004E-3</v>
      </c>
      <c r="I133" t="s">
        <v>42</v>
      </c>
      <c r="J133" t="b">
        <v>0</v>
      </c>
      <c r="K133">
        <v>269.232492114732</v>
      </c>
      <c r="L133">
        <v>269.53249211473201</v>
      </c>
      <c r="M133">
        <v>15.94910520486</v>
      </c>
      <c r="N133" t="s">
        <v>26</v>
      </c>
      <c r="O133" t="s">
        <v>26</v>
      </c>
      <c r="P133" t="s">
        <v>418</v>
      </c>
      <c r="Q133">
        <f>-0.0204910801102544 - 0.0126003459909468</f>
        <v>-3.30914261012012E-2</v>
      </c>
      <c r="R133" t="s">
        <v>27</v>
      </c>
      <c r="S133" t="s">
        <v>43</v>
      </c>
      <c r="T133" t="s">
        <v>26</v>
      </c>
      <c r="U133" t="s">
        <v>44</v>
      </c>
      <c r="V133">
        <v>3.7476366399021201</v>
      </c>
      <c r="W133">
        <v>8.4416903319390005E-3</v>
      </c>
      <c r="X133" t="s">
        <v>371</v>
      </c>
      <c r="Y133" t="s">
        <v>31</v>
      </c>
    </row>
    <row r="134" spans="1:25" x14ac:dyDescent="0.2">
      <c r="A134" t="s">
        <v>368</v>
      </c>
      <c r="B134" t="s">
        <v>128</v>
      </c>
      <c r="C134" t="s">
        <v>24</v>
      </c>
      <c r="D134">
        <v>5.68372255992853E-2</v>
      </c>
      <c r="E134">
        <v>0.41175968330648699</v>
      </c>
      <c r="F134" t="s">
        <v>35</v>
      </c>
      <c r="G134">
        <v>67</v>
      </c>
      <c r="H134">
        <v>-7.2278152846229002E-3</v>
      </c>
      <c r="I134" t="s">
        <v>36</v>
      </c>
      <c r="J134" t="b">
        <v>0</v>
      </c>
      <c r="K134">
        <v>80.928942787803805</v>
      </c>
      <c r="L134">
        <v>82.019851878712899</v>
      </c>
      <c r="M134">
        <v>0</v>
      </c>
      <c r="N134" t="s">
        <v>26</v>
      </c>
      <c r="O134" t="s">
        <v>26</v>
      </c>
      <c r="P134" t="s">
        <v>388</v>
      </c>
      <c r="Q134">
        <f>-0.0238868327629078 - 0.00943120219366198</f>
        <v>-3.3318034956569778E-2</v>
      </c>
      <c r="R134" t="s">
        <v>33</v>
      </c>
      <c r="S134" t="s">
        <v>37</v>
      </c>
      <c r="T134" t="s">
        <v>38</v>
      </c>
      <c r="U134" t="s">
        <v>534</v>
      </c>
      <c r="V134">
        <v>6.95696976040779</v>
      </c>
      <c r="W134">
        <v>8.4994987134106009E-3</v>
      </c>
      <c r="X134" t="s">
        <v>371</v>
      </c>
      <c r="Y134" t="s">
        <v>31</v>
      </c>
    </row>
    <row r="135" spans="1:25" x14ac:dyDescent="0.2">
      <c r="A135" t="s">
        <v>368</v>
      </c>
      <c r="B135" t="s">
        <v>79</v>
      </c>
      <c r="C135" t="s">
        <v>24</v>
      </c>
      <c r="D135">
        <v>2.0456156450778E-3</v>
      </c>
      <c r="E135">
        <v>0.78168705464247201</v>
      </c>
      <c r="F135" t="s">
        <v>35</v>
      </c>
      <c r="G135">
        <v>59</v>
      </c>
      <c r="H135">
        <v>1.51521754836677E-2</v>
      </c>
      <c r="I135" t="s">
        <v>42</v>
      </c>
      <c r="J135" t="b">
        <v>0</v>
      </c>
      <c r="K135">
        <v>257.136176304983</v>
      </c>
      <c r="L135">
        <v>257.46050062930698</v>
      </c>
      <c r="M135">
        <v>18.854567343261898</v>
      </c>
      <c r="N135" t="s">
        <v>26</v>
      </c>
      <c r="O135" t="s">
        <v>26</v>
      </c>
      <c r="P135" t="s">
        <v>380</v>
      </c>
      <c r="Q135">
        <f>-0.0912578608441038 - 0.121562211811439</f>
        <v>-0.21282007265554281</v>
      </c>
      <c r="R135" t="s">
        <v>27</v>
      </c>
      <c r="S135" t="s">
        <v>43</v>
      </c>
      <c r="T135" t="s">
        <v>26</v>
      </c>
      <c r="U135" t="s">
        <v>44</v>
      </c>
      <c r="V135">
        <v>3.53972283275789</v>
      </c>
      <c r="W135">
        <v>5.4290834861107903E-2</v>
      </c>
      <c r="X135" t="s">
        <v>371</v>
      </c>
      <c r="Y135" t="s">
        <v>31</v>
      </c>
    </row>
    <row r="136" spans="1:25" x14ac:dyDescent="0.2">
      <c r="A136" t="s">
        <v>368</v>
      </c>
      <c r="B136" t="s">
        <v>170</v>
      </c>
      <c r="C136" t="s">
        <v>24</v>
      </c>
      <c r="D136">
        <v>6.5060419127779996E-4</v>
      </c>
      <c r="E136">
        <v>0.87585180493171699</v>
      </c>
      <c r="F136" t="s">
        <v>35</v>
      </c>
      <c r="G136">
        <v>41</v>
      </c>
      <c r="H136">
        <v>1.0937923325807001E-3</v>
      </c>
      <c r="I136" t="s">
        <v>42</v>
      </c>
      <c r="J136" t="b">
        <v>0</v>
      </c>
      <c r="K136">
        <v>254.6773717801</v>
      </c>
      <c r="L136">
        <v>255.00169610442501</v>
      </c>
      <c r="M136">
        <v>17.059748816566</v>
      </c>
      <c r="N136" t="s">
        <v>26</v>
      </c>
      <c r="O136" t="s">
        <v>26</v>
      </c>
      <c r="P136" t="s">
        <v>432</v>
      </c>
      <c r="Q136">
        <f>-0.0125363187879338 - 0.0147239034530953</f>
        <v>-2.72602222410291E-2</v>
      </c>
      <c r="R136" t="s">
        <v>32</v>
      </c>
      <c r="S136" t="s">
        <v>43</v>
      </c>
      <c r="T136" t="s">
        <v>26</v>
      </c>
      <c r="U136" t="s">
        <v>44</v>
      </c>
      <c r="V136">
        <v>3.51385580910063</v>
      </c>
      <c r="W136">
        <v>6.9541383267930999E-3</v>
      </c>
      <c r="X136" t="s">
        <v>371</v>
      </c>
      <c r="Y136" t="s">
        <v>31</v>
      </c>
    </row>
    <row r="137" spans="1:25" x14ac:dyDescent="0.2">
      <c r="A137" t="s">
        <v>368</v>
      </c>
      <c r="B137" t="s">
        <v>81</v>
      </c>
      <c r="C137" t="s">
        <v>24</v>
      </c>
      <c r="D137">
        <v>0.327684300097146</v>
      </c>
      <c r="E137">
        <v>2.6421323635409999E-4</v>
      </c>
      <c r="F137" t="s">
        <v>35</v>
      </c>
      <c r="G137">
        <v>4</v>
      </c>
      <c r="H137">
        <v>1.49551030366642E-2</v>
      </c>
      <c r="I137" t="s">
        <v>36</v>
      </c>
      <c r="J137" t="b">
        <v>0</v>
      </c>
      <c r="K137">
        <v>218.56854108317901</v>
      </c>
      <c r="L137">
        <v>218.93217744681601</v>
      </c>
      <c r="M137">
        <v>17.904820125261001</v>
      </c>
      <c r="N137" t="s">
        <v>26</v>
      </c>
      <c r="O137" t="s">
        <v>26</v>
      </c>
      <c r="P137" t="s">
        <v>409</v>
      </c>
      <c r="Q137" t="s">
        <v>535</v>
      </c>
      <c r="R137" t="s">
        <v>33</v>
      </c>
      <c r="S137" t="s">
        <v>37</v>
      </c>
      <c r="T137" t="s">
        <v>38</v>
      </c>
      <c r="U137" t="s">
        <v>536</v>
      </c>
      <c r="V137">
        <v>2.01521778617276</v>
      </c>
      <c r="W137">
        <v>3.6737429061912E-3</v>
      </c>
      <c r="X137" t="s">
        <v>371</v>
      </c>
      <c r="Y137" t="s">
        <v>31</v>
      </c>
    </row>
    <row r="138" spans="1:25" x14ac:dyDescent="0.2">
      <c r="A138" t="s">
        <v>368</v>
      </c>
      <c r="B138" t="s">
        <v>65</v>
      </c>
      <c r="C138" t="s">
        <v>24</v>
      </c>
      <c r="D138">
        <v>1.4250826573076001E-3</v>
      </c>
      <c r="E138">
        <v>0.82445128220020503</v>
      </c>
      <c r="F138" t="s">
        <v>35</v>
      </c>
      <c r="G138">
        <v>39</v>
      </c>
      <c r="H138">
        <v>-4.3149356873511003E-3</v>
      </c>
      <c r="I138" t="s">
        <v>36</v>
      </c>
      <c r="J138" t="b">
        <v>0</v>
      </c>
      <c r="K138">
        <v>235.67483962882801</v>
      </c>
      <c r="L138">
        <v>236.02778080529899</v>
      </c>
      <c r="M138">
        <v>13.1745219299199</v>
      </c>
      <c r="N138" t="s">
        <v>26</v>
      </c>
      <c r="O138" t="s">
        <v>26</v>
      </c>
      <c r="P138" t="s">
        <v>481</v>
      </c>
      <c r="Q138">
        <f>-0.0421562903715514 - 0.033526418996849</f>
        <v>-7.5682709368400408E-2</v>
      </c>
      <c r="R138" t="s">
        <v>27</v>
      </c>
      <c r="S138" t="s">
        <v>37</v>
      </c>
      <c r="T138" t="s">
        <v>38</v>
      </c>
      <c r="U138" t="s">
        <v>537</v>
      </c>
      <c r="V138">
        <v>4.64180882925712</v>
      </c>
      <c r="W138">
        <v>1.9306813614387901E-2</v>
      </c>
      <c r="X138" t="s">
        <v>371</v>
      </c>
      <c r="Y138" t="s">
        <v>31</v>
      </c>
    </row>
    <row r="139" spans="1:25" x14ac:dyDescent="0.2">
      <c r="A139" t="s">
        <v>368</v>
      </c>
      <c r="B139" t="s">
        <v>79</v>
      </c>
      <c r="C139" t="s">
        <v>24</v>
      </c>
      <c r="D139">
        <v>1.1561176732028001E-3</v>
      </c>
      <c r="E139">
        <v>0.83500501413293804</v>
      </c>
      <c r="F139" t="s">
        <v>35</v>
      </c>
      <c r="G139">
        <v>59</v>
      </c>
      <c r="H139">
        <v>1.5746235675856601E-2</v>
      </c>
      <c r="I139" t="s">
        <v>36</v>
      </c>
      <c r="J139" t="b">
        <v>0</v>
      </c>
      <c r="K139">
        <v>254.77332476254301</v>
      </c>
      <c r="L139">
        <v>255.09764908686699</v>
      </c>
      <c r="M139">
        <v>16.4917158008219</v>
      </c>
      <c r="N139" t="s">
        <v>26</v>
      </c>
      <c r="O139" t="s">
        <v>26</v>
      </c>
      <c r="P139" t="s">
        <v>380</v>
      </c>
      <c r="Q139">
        <f>-0.1314134350005 - 0.162905906352213</f>
        <v>-0.29431934135271298</v>
      </c>
      <c r="R139" t="s">
        <v>27</v>
      </c>
      <c r="S139" t="s">
        <v>37</v>
      </c>
      <c r="T139" t="s">
        <v>38</v>
      </c>
      <c r="U139" t="s">
        <v>538</v>
      </c>
      <c r="V139">
        <v>3.5132917707395501</v>
      </c>
      <c r="W139">
        <v>7.5081464630794195E-2</v>
      </c>
      <c r="X139" t="s">
        <v>371</v>
      </c>
      <c r="Y139" t="s">
        <v>31</v>
      </c>
    </row>
    <row r="140" spans="1:25" x14ac:dyDescent="0.2">
      <c r="A140" t="s">
        <v>368</v>
      </c>
      <c r="B140" t="s">
        <v>61</v>
      </c>
      <c r="C140" t="s">
        <v>24</v>
      </c>
      <c r="D140">
        <v>2.3351652782455799E-2</v>
      </c>
      <c r="E140">
        <v>0.32792988751547802</v>
      </c>
      <c r="F140" t="s">
        <v>35</v>
      </c>
      <c r="G140">
        <v>12</v>
      </c>
      <c r="H140">
        <v>-9.5609127248734004E-3</v>
      </c>
      <c r="I140" t="s">
        <v>39</v>
      </c>
      <c r="J140" t="b">
        <v>0</v>
      </c>
      <c r="K140">
        <v>268.44494032313497</v>
      </c>
      <c r="L140">
        <v>268.74494032313498</v>
      </c>
      <c r="M140">
        <v>15.2327865234399</v>
      </c>
      <c r="N140" t="s">
        <v>26</v>
      </c>
      <c r="O140" t="s">
        <v>26</v>
      </c>
      <c r="P140" t="s">
        <v>394</v>
      </c>
      <c r="Q140">
        <f>-0.0284875646110769 - 0.00936573916132988</f>
        <v>-3.7853303772406782E-2</v>
      </c>
      <c r="R140" t="s">
        <v>27</v>
      </c>
      <c r="S140" t="s">
        <v>40</v>
      </c>
      <c r="T140" t="s">
        <v>41</v>
      </c>
      <c r="U140" t="s">
        <v>539</v>
      </c>
      <c r="V140">
        <v>4.0238695702939697</v>
      </c>
      <c r="W140">
        <v>9.6564550439813008E-3</v>
      </c>
      <c r="X140" t="s">
        <v>371</v>
      </c>
      <c r="Y140" t="s">
        <v>31</v>
      </c>
    </row>
    <row r="141" spans="1:25" x14ac:dyDescent="0.2">
      <c r="A141" t="s">
        <v>368</v>
      </c>
      <c r="B141" t="s">
        <v>157</v>
      </c>
      <c r="C141" t="s">
        <v>24</v>
      </c>
      <c r="D141">
        <v>8.3707581879707994E-3</v>
      </c>
      <c r="E141">
        <v>0.67070331882133205</v>
      </c>
      <c r="F141" t="s">
        <v>35</v>
      </c>
      <c r="G141">
        <v>43</v>
      </c>
      <c r="H141">
        <v>2.7813279164273E-3</v>
      </c>
      <c r="I141" t="s">
        <v>42</v>
      </c>
      <c r="J141" t="b">
        <v>0</v>
      </c>
      <c r="K141">
        <v>138.22059478263401</v>
      </c>
      <c r="L141">
        <v>138.79202335406299</v>
      </c>
      <c r="M141">
        <v>7.266124686165</v>
      </c>
      <c r="N141" t="s">
        <v>26</v>
      </c>
      <c r="O141" t="s">
        <v>26</v>
      </c>
      <c r="P141" t="s">
        <v>476</v>
      </c>
      <c r="Q141">
        <f>-0.00986863318813579 - 0.0154312890209905</f>
        <v>-2.5299922209126288E-2</v>
      </c>
      <c r="R141" t="s">
        <v>34</v>
      </c>
      <c r="S141" t="s">
        <v>43</v>
      </c>
      <c r="T141" t="s">
        <v>26</v>
      </c>
      <c r="U141" t="s">
        <v>44</v>
      </c>
      <c r="V141">
        <v>2.9769266156049898</v>
      </c>
      <c r="W141">
        <v>6.4540617880424001E-3</v>
      </c>
      <c r="X141" t="s">
        <v>371</v>
      </c>
      <c r="Y141" t="s">
        <v>31</v>
      </c>
    </row>
    <row r="142" spans="1:25" x14ac:dyDescent="0.2">
      <c r="A142" t="s">
        <v>368</v>
      </c>
      <c r="B142" t="s">
        <v>47</v>
      </c>
      <c r="C142" t="s">
        <v>24</v>
      </c>
      <c r="D142">
        <v>-0.224133002873978</v>
      </c>
      <c r="E142">
        <v>0.79013848143467902</v>
      </c>
      <c r="F142" t="s">
        <v>35</v>
      </c>
      <c r="G142">
        <v>36</v>
      </c>
      <c r="H142">
        <v>-3.7402974975258999E-3</v>
      </c>
      <c r="I142" t="s">
        <v>36</v>
      </c>
      <c r="J142" t="b">
        <v>0</v>
      </c>
      <c r="K142">
        <v>29.6648896755718</v>
      </c>
      <c r="L142">
        <v>41.6648896755718</v>
      </c>
      <c r="M142">
        <v>4.0680218936371997</v>
      </c>
      <c r="N142" t="s">
        <v>26</v>
      </c>
      <c r="O142" t="s">
        <v>26</v>
      </c>
      <c r="P142" t="s">
        <v>444</v>
      </c>
      <c r="Q142">
        <f>-0.0278912268543351 - 0.0204106318592833</f>
        <v>-4.8301858713618404E-2</v>
      </c>
      <c r="R142" t="s">
        <v>33</v>
      </c>
      <c r="S142" t="s">
        <v>37</v>
      </c>
      <c r="T142" t="s">
        <v>38</v>
      </c>
      <c r="U142" t="s">
        <v>495</v>
      </c>
      <c r="V142">
        <v>14.0899170501276</v>
      </c>
      <c r="W142">
        <v>1.2321902733065901E-2</v>
      </c>
      <c r="X142" t="s">
        <v>371</v>
      </c>
      <c r="Y142" t="s">
        <v>31</v>
      </c>
    </row>
    <row r="143" spans="1:25" x14ac:dyDescent="0.2">
      <c r="A143" t="s">
        <v>368</v>
      </c>
      <c r="B143" t="s">
        <v>49</v>
      </c>
      <c r="C143" t="s">
        <v>24</v>
      </c>
      <c r="D143">
        <v>3.5638022891145002E-3</v>
      </c>
      <c r="E143">
        <v>0.74972061784018895</v>
      </c>
      <c r="F143" t="s">
        <v>35</v>
      </c>
      <c r="G143">
        <v>62</v>
      </c>
      <c r="H143">
        <v>5.8979409827135997E-3</v>
      </c>
      <c r="I143" t="s">
        <v>39</v>
      </c>
      <c r="J143" t="b">
        <v>0</v>
      </c>
      <c r="K143">
        <v>207.36685476958201</v>
      </c>
      <c r="L143">
        <v>207.795426198153</v>
      </c>
      <c r="M143">
        <v>17.8058890838549</v>
      </c>
      <c r="N143" t="s">
        <v>26</v>
      </c>
      <c r="O143" t="s">
        <v>26</v>
      </c>
      <c r="P143" t="s">
        <v>450</v>
      </c>
      <c r="Q143">
        <f>-0.0299963551603943 - 0.0417922371258217</f>
        <v>-7.1788592286216008E-2</v>
      </c>
      <c r="R143" t="s">
        <v>32</v>
      </c>
      <c r="S143" t="s">
        <v>40</v>
      </c>
      <c r="T143" t="s">
        <v>41</v>
      </c>
      <c r="U143" t="s">
        <v>540</v>
      </c>
      <c r="V143">
        <v>3.5896185186583298</v>
      </c>
      <c r="W143">
        <v>1.83134163995449E-2</v>
      </c>
      <c r="X143" t="s">
        <v>371</v>
      </c>
      <c r="Y143" t="s">
        <v>31</v>
      </c>
    </row>
    <row r="144" spans="1:25" x14ac:dyDescent="0.2">
      <c r="A144" t="s">
        <v>368</v>
      </c>
      <c r="B144" t="s">
        <v>67</v>
      </c>
      <c r="C144" t="s">
        <v>24</v>
      </c>
      <c r="D144">
        <v>7.3743435464848003E-2</v>
      </c>
      <c r="E144">
        <v>0.47966605005589802</v>
      </c>
      <c r="F144" t="s">
        <v>35</v>
      </c>
      <c r="G144">
        <v>57</v>
      </c>
      <c r="H144">
        <v>-9.3641447927595E-3</v>
      </c>
      <c r="I144" t="s">
        <v>39</v>
      </c>
      <c r="J144" t="b">
        <v>0</v>
      </c>
      <c r="K144">
        <v>51.461689190780298</v>
      </c>
      <c r="L144">
        <v>53.461689190780298</v>
      </c>
      <c r="M144">
        <v>4.53506829386967E-2</v>
      </c>
      <c r="N144" t="s">
        <v>26</v>
      </c>
      <c r="O144" t="s">
        <v>26</v>
      </c>
      <c r="P144" t="s">
        <v>405</v>
      </c>
      <c r="Q144">
        <f>-0.0339496500604919 - 0.0152213604749729</f>
        <v>-4.9171010535464799E-2</v>
      </c>
      <c r="R144" t="s">
        <v>33</v>
      </c>
      <c r="S144" t="s">
        <v>40</v>
      </c>
      <c r="T144" t="s">
        <v>41</v>
      </c>
      <c r="U144" t="s">
        <v>541</v>
      </c>
      <c r="V144">
        <v>6.8631768097111703</v>
      </c>
      <c r="W144">
        <v>1.2543625136598201E-2</v>
      </c>
      <c r="X144" t="s">
        <v>371</v>
      </c>
      <c r="Y144" t="s">
        <v>31</v>
      </c>
    </row>
    <row r="145" spans="1:25" x14ac:dyDescent="0.2">
      <c r="A145" t="s">
        <v>368</v>
      </c>
      <c r="B145" t="s">
        <v>71</v>
      </c>
      <c r="C145" t="s">
        <v>24</v>
      </c>
      <c r="D145">
        <v>5.2233667057173996E-3</v>
      </c>
      <c r="E145">
        <v>0.68460402674787002</v>
      </c>
      <c r="F145" t="s">
        <v>35</v>
      </c>
      <c r="G145">
        <v>8</v>
      </c>
      <c r="H145">
        <v>-7.4698502462922003E-3</v>
      </c>
      <c r="I145" t="s">
        <v>42</v>
      </c>
      <c r="J145" t="b">
        <v>0</v>
      </c>
      <c r="K145">
        <v>218.66215255575801</v>
      </c>
      <c r="L145">
        <v>219.04924932995101</v>
      </c>
      <c r="M145">
        <v>15.738161690362</v>
      </c>
      <c r="N145" t="s">
        <v>26</v>
      </c>
      <c r="O145" t="s">
        <v>26</v>
      </c>
      <c r="P145" t="s">
        <v>473</v>
      </c>
      <c r="Q145">
        <f>-0.0431873053027511 - 0.0282476048101666</f>
        <v>-7.1434910112917693E-2</v>
      </c>
      <c r="R145" t="s">
        <v>34</v>
      </c>
      <c r="S145" t="s">
        <v>43</v>
      </c>
      <c r="T145" t="s">
        <v>26</v>
      </c>
      <c r="U145" t="s">
        <v>44</v>
      </c>
      <c r="V145">
        <v>4.2770627805084498</v>
      </c>
      <c r="W145">
        <v>1.8223191355336101E-2</v>
      </c>
      <c r="X145" t="s">
        <v>371</v>
      </c>
      <c r="Y145" t="s">
        <v>31</v>
      </c>
    </row>
    <row r="146" spans="1:25" x14ac:dyDescent="0.2">
      <c r="A146" t="s">
        <v>368</v>
      </c>
      <c r="B146" t="s">
        <v>84</v>
      </c>
      <c r="C146" t="s">
        <v>24</v>
      </c>
      <c r="D146">
        <v>6.7272000216324996E-3</v>
      </c>
      <c r="E146">
        <v>0.61486801831632099</v>
      </c>
      <c r="F146" t="s">
        <v>35</v>
      </c>
      <c r="G146">
        <v>13</v>
      </c>
      <c r="H146">
        <v>-6.7552292207505998E-3</v>
      </c>
      <c r="I146" t="s">
        <v>39</v>
      </c>
      <c r="J146" t="b">
        <v>0</v>
      </c>
      <c r="K146">
        <v>257.62598226173401</v>
      </c>
      <c r="L146">
        <v>257.95030658605901</v>
      </c>
      <c r="M146">
        <v>19.798425351662001</v>
      </c>
      <c r="N146" t="s">
        <v>26</v>
      </c>
      <c r="O146" t="s">
        <v>26</v>
      </c>
      <c r="P146" t="s">
        <v>378</v>
      </c>
      <c r="Q146">
        <f>-0.0328540848047514 - 0.01934362636325</f>
        <v>-5.2197711168001398E-2</v>
      </c>
      <c r="R146" t="s">
        <v>34</v>
      </c>
      <c r="S146" t="s">
        <v>40</v>
      </c>
      <c r="T146" t="s">
        <v>41</v>
      </c>
      <c r="U146" t="s">
        <v>542</v>
      </c>
      <c r="V146">
        <v>3.8524229576818101</v>
      </c>
      <c r="W146">
        <v>1.33157426448983E-2</v>
      </c>
      <c r="X146" t="s">
        <v>371</v>
      </c>
      <c r="Y146" t="s">
        <v>31</v>
      </c>
    </row>
    <row r="147" spans="1:25" x14ac:dyDescent="0.2">
      <c r="A147" t="s">
        <v>368</v>
      </c>
      <c r="B147" t="s">
        <v>93</v>
      </c>
      <c r="C147" t="s">
        <v>24</v>
      </c>
      <c r="D147">
        <v>0.304137345840504</v>
      </c>
      <c r="E147">
        <v>7.8637224303643297E-2</v>
      </c>
      <c r="F147" t="s">
        <v>35</v>
      </c>
      <c r="G147">
        <v>27</v>
      </c>
      <c r="H147">
        <v>0.47286570741135803</v>
      </c>
      <c r="I147" t="s">
        <v>36</v>
      </c>
      <c r="J147" t="b">
        <v>0</v>
      </c>
      <c r="K147">
        <v>69.059098819186005</v>
      </c>
      <c r="L147">
        <v>70.559098819186005</v>
      </c>
      <c r="M147">
        <v>5.2611109141446004</v>
      </c>
      <c r="N147" t="s">
        <v>26</v>
      </c>
      <c r="O147" t="s">
        <v>26</v>
      </c>
      <c r="P147" t="s">
        <v>446</v>
      </c>
      <c r="Q147" t="s">
        <v>543</v>
      </c>
      <c r="R147" t="s">
        <v>32</v>
      </c>
      <c r="S147" t="s">
        <v>37</v>
      </c>
      <c r="T147" t="s">
        <v>38</v>
      </c>
      <c r="U147" t="s">
        <v>544</v>
      </c>
      <c r="V147">
        <v>2.9913409722880799</v>
      </c>
      <c r="W147">
        <v>0.23842042284614501</v>
      </c>
      <c r="X147" t="s">
        <v>371</v>
      </c>
      <c r="Y147" t="s">
        <v>31</v>
      </c>
    </row>
    <row r="148" spans="1:25" x14ac:dyDescent="0.2">
      <c r="A148" t="s">
        <v>368</v>
      </c>
      <c r="B148" t="s">
        <v>149</v>
      </c>
      <c r="C148" t="s">
        <v>24</v>
      </c>
      <c r="D148">
        <v>5.1473656376490001E-4</v>
      </c>
      <c r="E148">
        <v>0.953800601140255</v>
      </c>
      <c r="F148" t="s">
        <v>35</v>
      </c>
      <c r="G148">
        <v>66</v>
      </c>
      <c r="H148">
        <v>1.034687172079E-3</v>
      </c>
      <c r="I148" t="s">
        <v>39</v>
      </c>
      <c r="J148" t="b">
        <v>0</v>
      </c>
      <c r="K148">
        <v>74.846143393244503</v>
      </c>
      <c r="L148">
        <v>76.846143393244503</v>
      </c>
      <c r="M148">
        <v>9.0988161353125996</v>
      </c>
      <c r="N148" t="s">
        <v>26</v>
      </c>
      <c r="O148" t="s">
        <v>26</v>
      </c>
      <c r="P148" t="s">
        <v>448</v>
      </c>
      <c r="Q148">
        <f>-0.0327415918972045 - 0.0348109662413626</f>
        <v>-6.7552558138567101E-2</v>
      </c>
      <c r="R148" t="s">
        <v>32</v>
      </c>
      <c r="S148" t="s">
        <v>40</v>
      </c>
      <c r="T148" t="s">
        <v>41</v>
      </c>
      <c r="U148" t="s">
        <v>545</v>
      </c>
      <c r="V148">
        <v>6.3140575568775397</v>
      </c>
      <c r="W148">
        <v>1.7232795443512E-2</v>
      </c>
      <c r="X148" t="s">
        <v>371</v>
      </c>
      <c r="Y148" t="s">
        <v>31</v>
      </c>
    </row>
    <row r="149" spans="1:25" x14ac:dyDescent="0.2">
      <c r="A149" t="s">
        <v>368</v>
      </c>
      <c r="B149" t="s">
        <v>151</v>
      </c>
      <c r="C149" t="s">
        <v>24</v>
      </c>
      <c r="D149">
        <v>1.8743737535521301E-2</v>
      </c>
      <c r="E149">
        <v>0.478829840057233</v>
      </c>
      <c r="F149" t="s">
        <v>35</v>
      </c>
      <c r="G149">
        <v>6</v>
      </c>
      <c r="H149">
        <v>-2.35719269942135E-2</v>
      </c>
      <c r="I149" t="s">
        <v>39</v>
      </c>
      <c r="J149" t="b">
        <v>0</v>
      </c>
      <c r="K149">
        <v>186.50392447505601</v>
      </c>
      <c r="L149">
        <v>186.965462936595</v>
      </c>
      <c r="M149">
        <v>9.6853677365880007</v>
      </c>
      <c r="N149" t="s">
        <v>26</v>
      </c>
      <c r="O149" t="s">
        <v>26</v>
      </c>
      <c r="P149" t="s">
        <v>428</v>
      </c>
      <c r="Q149">
        <f>-0.0879047190405132 - 0.0407608650520863</f>
        <v>-0.12866558409259948</v>
      </c>
      <c r="R149" t="s">
        <v>27</v>
      </c>
      <c r="S149" t="s">
        <v>40</v>
      </c>
      <c r="T149" t="s">
        <v>41</v>
      </c>
      <c r="U149" t="s">
        <v>546</v>
      </c>
      <c r="V149">
        <v>4.2470360659532203</v>
      </c>
      <c r="W149">
        <v>3.2822853084846802E-2</v>
      </c>
      <c r="X149" t="s">
        <v>371</v>
      </c>
      <c r="Y149" t="s">
        <v>31</v>
      </c>
    </row>
    <row r="150" spans="1:25" x14ac:dyDescent="0.2">
      <c r="A150" t="s">
        <v>368</v>
      </c>
      <c r="B150" t="s">
        <v>97</v>
      </c>
      <c r="C150" t="s">
        <v>24</v>
      </c>
      <c r="D150">
        <v>9.1750656034760403E-2</v>
      </c>
      <c r="E150">
        <v>0.16004338078483599</v>
      </c>
      <c r="F150" t="s">
        <v>35</v>
      </c>
      <c r="G150">
        <v>32</v>
      </c>
      <c r="H150">
        <v>-3.8070003025136002E-3</v>
      </c>
      <c r="I150" t="s">
        <v>39</v>
      </c>
      <c r="J150" t="b">
        <v>0</v>
      </c>
      <c r="K150">
        <v>114.58041727609999</v>
      </c>
      <c r="L150">
        <v>115.1804172761</v>
      </c>
      <c r="M150">
        <v>0</v>
      </c>
      <c r="N150" t="s">
        <v>26</v>
      </c>
      <c r="O150" t="s">
        <v>26</v>
      </c>
      <c r="P150" t="s">
        <v>457</v>
      </c>
      <c r="Q150">
        <f>-0.00893003494490977 - 0.00131603433988252</f>
        <v>-1.024606928479229E-2</v>
      </c>
      <c r="R150" t="s">
        <v>32</v>
      </c>
      <c r="S150" t="s">
        <v>40</v>
      </c>
      <c r="T150" t="s">
        <v>41</v>
      </c>
      <c r="U150" t="s">
        <v>547</v>
      </c>
      <c r="V150">
        <v>3.8817096111901499</v>
      </c>
      <c r="W150">
        <v>2.6137931848958999E-3</v>
      </c>
      <c r="X150" t="s">
        <v>371</v>
      </c>
      <c r="Y150" t="s">
        <v>31</v>
      </c>
    </row>
    <row r="151" spans="1:25" x14ac:dyDescent="0.2">
      <c r="A151" t="s">
        <v>368</v>
      </c>
      <c r="B151" t="s">
        <v>95</v>
      </c>
      <c r="C151" t="s">
        <v>24</v>
      </c>
      <c r="D151">
        <v>5.433510802367E-3</v>
      </c>
      <c r="E151">
        <v>0.67865386259551297</v>
      </c>
      <c r="F151" t="s">
        <v>35</v>
      </c>
      <c r="G151">
        <v>51</v>
      </c>
      <c r="H151">
        <v>1.6327124438491099E-2</v>
      </c>
      <c r="I151" t="s">
        <v>39</v>
      </c>
      <c r="J151" t="b">
        <v>0</v>
      </c>
      <c r="K151">
        <v>222.51921932277301</v>
      </c>
      <c r="L151">
        <v>222.906316096967</v>
      </c>
      <c r="M151">
        <v>18.362798938498901</v>
      </c>
      <c r="N151" t="s">
        <v>26</v>
      </c>
      <c r="O151" t="s">
        <v>26</v>
      </c>
      <c r="P151" t="s">
        <v>442</v>
      </c>
      <c r="Q151">
        <f>-0.0602091694521479 - 0.0928634183291302</f>
        <v>-0.15307258778127811</v>
      </c>
      <c r="R151" t="s">
        <v>34</v>
      </c>
      <c r="S151" t="s">
        <v>40</v>
      </c>
      <c r="T151" t="s">
        <v>41</v>
      </c>
      <c r="U151" t="s">
        <v>548</v>
      </c>
      <c r="V151">
        <v>3.43528794367184</v>
      </c>
      <c r="W151">
        <v>3.9049129536040297E-2</v>
      </c>
      <c r="X151" t="s">
        <v>371</v>
      </c>
      <c r="Y151" t="s">
        <v>31</v>
      </c>
    </row>
    <row r="152" spans="1:25" x14ac:dyDescent="0.2">
      <c r="A152" t="s">
        <v>368</v>
      </c>
      <c r="B152" t="s">
        <v>130</v>
      </c>
      <c r="C152" t="s">
        <v>24</v>
      </c>
      <c r="D152" s="1">
        <v>1.6139894006256099E-5</v>
      </c>
      <c r="E152">
        <v>0.98621091115985504</v>
      </c>
      <c r="F152" t="s">
        <v>35</v>
      </c>
      <c r="G152">
        <v>63</v>
      </c>
      <c r="H152">
        <v>2.1472473985660002E-3</v>
      </c>
      <c r="I152" t="s">
        <v>36</v>
      </c>
      <c r="J152" t="b">
        <v>0</v>
      </c>
      <c r="K152">
        <v>143.610581338407</v>
      </c>
      <c r="L152">
        <v>144.277248005074</v>
      </c>
      <c r="M152">
        <v>10.1295505888689</v>
      </c>
      <c r="N152" t="s">
        <v>26</v>
      </c>
      <c r="O152" t="s">
        <v>26</v>
      </c>
      <c r="P152" t="s">
        <v>471</v>
      </c>
      <c r="Q152">
        <f>-0.2381824901726 - 0.242476984969732</f>
        <v>-0.48065947514233198</v>
      </c>
      <c r="R152" t="s">
        <v>34</v>
      </c>
      <c r="S152" t="s">
        <v>37</v>
      </c>
      <c r="T152" t="s">
        <v>38</v>
      </c>
      <c r="U152" t="s">
        <v>549</v>
      </c>
      <c r="V152">
        <v>3.6855923485900499</v>
      </c>
      <c r="W152">
        <v>0.122617213046513</v>
      </c>
      <c r="X152" t="s">
        <v>371</v>
      </c>
      <c r="Y152" t="s">
        <v>31</v>
      </c>
    </row>
    <row r="153" spans="1:25" x14ac:dyDescent="0.2">
      <c r="A153" t="s">
        <v>368</v>
      </c>
      <c r="B153" t="s">
        <v>107</v>
      </c>
      <c r="C153" t="s">
        <v>24</v>
      </c>
      <c r="D153">
        <v>8.3309904615726099E-2</v>
      </c>
      <c r="E153">
        <v>0.29680296527852201</v>
      </c>
      <c r="F153" t="s">
        <v>35</v>
      </c>
      <c r="G153">
        <v>42</v>
      </c>
      <c r="H153">
        <v>-0.42758476007316498</v>
      </c>
      <c r="I153" t="s">
        <v>39</v>
      </c>
      <c r="J153" t="b">
        <v>0</v>
      </c>
      <c r="K153">
        <v>91.830205070765302</v>
      </c>
      <c r="L153">
        <v>92.830205070765302</v>
      </c>
      <c r="M153">
        <v>0.408172260296709</v>
      </c>
      <c r="N153" t="s">
        <v>26</v>
      </c>
      <c r="O153" t="s">
        <v>26</v>
      </c>
      <c r="P153" t="s">
        <v>402</v>
      </c>
      <c r="Q153">
        <f>-1.19861171968186 - 0.343442199535527</f>
        <v>-1.542053919217387</v>
      </c>
      <c r="R153" t="s">
        <v>27</v>
      </c>
      <c r="S153" t="s">
        <v>40</v>
      </c>
      <c r="T153" t="s">
        <v>41</v>
      </c>
      <c r="U153" t="s">
        <v>550</v>
      </c>
      <c r="V153">
        <v>5.1165879048635103</v>
      </c>
      <c r="W153">
        <v>0.39338110184116898</v>
      </c>
      <c r="X153" t="s">
        <v>371</v>
      </c>
      <c r="Y153" t="s">
        <v>31</v>
      </c>
    </row>
    <row r="154" spans="1:25" x14ac:dyDescent="0.2">
      <c r="A154" t="s">
        <v>368</v>
      </c>
      <c r="B154" t="s">
        <v>134</v>
      </c>
      <c r="C154" t="s">
        <v>24</v>
      </c>
      <c r="D154">
        <v>8.7708240847593294E-2</v>
      </c>
      <c r="E154">
        <v>0.265387089050863</v>
      </c>
      <c r="F154" t="s">
        <v>35</v>
      </c>
      <c r="G154">
        <v>22</v>
      </c>
      <c r="H154">
        <v>4.8907126943107899E-2</v>
      </c>
      <c r="I154" t="s">
        <v>36</v>
      </c>
      <c r="J154" t="b">
        <v>0</v>
      </c>
      <c r="K154">
        <v>111.182099587908</v>
      </c>
      <c r="L154">
        <v>112.105176510985</v>
      </c>
      <c r="M154">
        <v>5.2181039285860003</v>
      </c>
      <c r="N154" t="s">
        <v>26</v>
      </c>
      <c r="O154" t="s">
        <v>26</v>
      </c>
      <c r="P154" t="s">
        <v>372</v>
      </c>
      <c r="Q154">
        <f>-0.0337177603453056 - 0.131532014231521</f>
        <v>-0.1652497745768266</v>
      </c>
      <c r="R154" t="s">
        <v>27</v>
      </c>
      <c r="S154" t="s">
        <v>37</v>
      </c>
      <c r="T154" t="s">
        <v>38</v>
      </c>
      <c r="U154" t="s">
        <v>551</v>
      </c>
      <c r="V154">
        <v>5.1336521479171902</v>
      </c>
      <c r="W154">
        <v>4.2155554738986398E-2</v>
      </c>
      <c r="X154" t="s">
        <v>371</v>
      </c>
      <c r="Y154" t="s">
        <v>31</v>
      </c>
    </row>
    <row r="155" spans="1:25" x14ac:dyDescent="0.2">
      <c r="A155" t="s">
        <v>368</v>
      </c>
      <c r="B155" t="s">
        <v>132</v>
      </c>
      <c r="C155" t="s">
        <v>24</v>
      </c>
      <c r="D155">
        <v>9.0966431714667395E-2</v>
      </c>
      <c r="E155">
        <v>0.239402256370156</v>
      </c>
      <c r="F155" t="s">
        <v>35</v>
      </c>
      <c r="G155">
        <v>46</v>
      </c>
      <c r="H155">
        <v>-2.56117723905958E-2</v>
      </c>
      <c r="I155" t="s">
        <v>42</v>
      </c>
      <c r="J155" t="b">
        <v>0</v>
      </c>
      <c r="K155">
        <v>117.351118680274</v>
      </c>
      <c r="L155">
        <v>118.208261537417</v>
      </c>
      <c r="M155">
        <v>4.5409998110859897</v>
      </c>
      <c r="N155" t="s">
        <v>26</v>
      </c>
      <c r="O155" t="s">
        <v>26</v>
      </c>
      <c r="P155" t="s">
        <v>485</v>
      </c>
      <c r="Q155">
        <f>-0.0665849320766645 - 0.0153613872954729</f>
        <v>-8.1946319372137394E-2</v>
      </c>
      <c r="R155" t="s">
        <v>34</v>
      </c>
      <c r="S155" t="s">
        <v>43</v>
      </c>
      <c r="T155" t="s">
        <v>26</v>
      </c>
      <c r="U155" t="s">
        <v>44</v>
      </c>
      <c r="V155">
        <v>6.3369721187797596</v>
      </c>
      <c r="W155">
        <v>2.0904673309218701E-2</v>
      </c>
      <c r="X155" t="s">
        <v>371</v>
      </c>
      <c r="Y155" t="s">
        <v>31</v>
      </c>
    </row>
    <row r="156" spans="1:25" x14ac:dyDescent="0.2">
      <c r="A156" t="s">
        <v>368</v>
      </c>
      <c r="B156" t="s">
        <v>136</v>
      </c>
      <c r="C156" t="s">
        <v>24</v>
      </c>
      <c r="D156">
        <v>1.0838104851186999E-3</v>
      </c>
      <c r="E156">
        <v>0.84017896810577297</v>
      </c>
      <c r="F156" t="s">
        <v>35</v>
      </c>
      <c r="G156">
        <v>59</v>
      </c>
      <c r="H156">
        <v>1.2249220891075001E-3</v>
      </c>
      <c r="I156" t="s">
        <v>42</v>
      </c>
      <c r="J156" t="b">
        <v>0</v>
      </c>
      <c r="K156">
        <v>254.66002848784501</v>
      </c>
      <c r="L156">
        <v>254.98435281216899</v>
      </c>
      <c r="M156">
        <v>17.282099113237901</v>
      </c>
      <c r="N156" t="s">
        <v>26</v>
      </c>
      <c r="O156" t="s">
        <v>26</v>
      </c>
      <c r="P156" t="s">
        <v>369</v>
      </c>
      <c r="Q156">
        <f>-0.0105989736418872 - 0.0130488178201024</f>
        <v>-2.3647791461989601E-2</v>
      </c>
      <c r="R156" t="s">
        <v>32</v>
      </c>
      <c r="S156" t="s">
        <v>43</v>
      </c>
      <c r="T156" t="s">
        <v>26</v>
      </c>
      <c r="U156" t="s">
        <v>44</v>
      </c>
      <c r="V156">
        <v>3.5394965423230502</v>
      </c>
      <c r="W156">
        <v>6.0325998627524004E-3</v>
      </c>
      <c r="X156" t="s">
        <v>371</v>
      </c>
      <c r="Y156" t="s">
        <v>31</v>
      </c>
    </row>
    <row r="157" spans="1:25" x14ac:dyDescent="0.2">
      <c r="A157" t="s">
        <v>368</v>
      </c>
      <c r="B157" t="s">
        <v>111</v>
      </c>
      <c r="C157" t="s">
        <v>24</v>
      </c>
      <c r="D157">
        <v>6.1495742995842997E-3</v>
      </c>
      <c r="E157">
        <v>0.61718259751658999</v>
      </c>
      <c r="F157" t="s">
        <v>35</v>
      </c>
      <c r="G157">
        <v>11</v>
      </c>
      <c r="H157">
        <v>-2.8171740665786999E-2</v>
      </c>
      <c r="I157" t="s">
        <v>36</v>
      </c>
      <c r="J157" t="b">
        <v>0</v>
      </c>
      <c r="K157">
        <v>268.73499639767903</v>
      </c>
      <c r="L157">
        <v>269.03499639767898</v>
      </c>
      <c r="M157">
        <v>16.280714556628901</v>
      </c>
      <c r="N157" t="s">
        <v>26</v>
      </c>
      <c r="O157" t="s">
        <v>26</v>
      </c>
      <c r="P157" t="s">
        <v>438</v>
      </c>
      <c r="Q157">
        <f>-0.137798307197853 - 0.0814548258662789</f>
        <v>-0.21925313306413191</v>
      </c>
      <c r="R157" t="s">
        <v>27</v>
      </c>
      <c r="S157" t="s">
        <v>37</v>
      </c>
      <c r="T157" t="s">
        <v>38</v>
      </c>
      <c r="U157" t="s">
        <v>552</v>
      </c>
      <c r="V157">
        <v>3.8560106530879699</v>
      </c>
      <c r="W157">
        <v>5.5931921700033603E-2</v>
      </c>
      <c r="X157" t="s">
        <v>371</v>
      </c>
      <c r="Y157" t="s">
        <v>31</v>
      </c>
    </row>
    <row r="158" spans="1:25" x14ac:dyDescent="0.2">
      <c r="A158" t="s">
        <v>368</v>
      </c>
      <c r="B158" t="s">
        <v>142</v>
      </c>
      <c r="C158" t="s">
        <v>24</v>
      </c>
      <c r="D158">
        <v>0.408109688454181</v>
      </c>
      <c r="E158">
        <v>1.0980978249000001E-4</v>
      </c>
      <c r="F158" t="s">
        <v>35</v>
      </c>
      <c r="G158">
        <v>31</v>
      </c>
      <c r="H158">
        <v>5.5075053634597401E-2</v>
      </c>
      <c r="I158" t="s">
        <v>39</v>
      </c>
      <c r="J158" t="b">
        <v>0</v>
      </c>
      <c r="K158">
        <v>192.36605948453601</v>
      </c>
      <c r="L158">
        <v>192.794630913107</v>
      </c>
      <c r="M158">
        <v>18.546817995571999</v>
      </c>
      <c r="N158" t="s">
        <v>26</v>
      </c>
      <c r="O158" t="s">
        <v>26</v>
      </c>
      <c r="P158" t="s">
        <v>454</v>
      </c>
      <c r="Q158" t="s">
        <v>553</v>
      </c>
      <c r="R158" t="s">
        <v>32</v>
      </c>
      <c r="S158" t="s">
        <v>40</v>
      </c>
      <c r="T158" t="s">
        <v>41</v>
      </c>
      <c r="U158" t="s">
        <v>554</v>
      </c>
      <c r="V158">
        <v>0.89440163149542395</v>
      </c>
      <c r="W158">
        <v>1.23165221700652E-2</v>
      </c>
      <c r="X158" t="s">
        <v>371</v>
      </c>
      <c r="Y158" t="s">
        <v>31</v>
      </c>
    </row>
    <row r="159" spans="1:25" x14ac:dyDescent="0.2">
      <c r="A159" t="s">
        <v>368</v>
      </c>
      <c r="B159" t="s">
        <v>149</v>
      </c>
      <c r="C159" t="s">
        <v>24</v>
      </c>
      <c r="D159">
        <v>3.4345388997033398E-2</v>
      </c>
      <c r="E159">
        <v>0.63309817114736</v>
      </c>
      <c r="F159" t="s">
        <v>35</v>
      </c>
      <c r="G159">
        <v>66</v>
      </c>
      <c r="H159">
        <v>9.6074478048095002E-3</v>
      </c>
      <c r="I159" t="s">
        <v>36</v>
      </c>
      <c r="J159" t="b">
        <v>0</v>
      </c>
      <c r="K159">
        <v>69.664973649622894</v>
      </c>
      <c r="L159">
        <v>71.664973649622894</v>
      </c>
      <c r="M159">
        <v>3.9176463916909898</v>
      </c>
      <c r="N159" t="s">
        <v>26</v>
      </c>
      <c r="O159" t="s">
        <v>26</v>
      </c>
      <c r="P159" t="s">
        <v>448</v>
      </c>
      <c r="Q159">
        <f>-0.0281316726727049 - 0.047346568282324</f>
        <v>-7.5478240955028905E-2</v>
      </c>
      <c r="R159" t="s">
        <v>32</v>
      </c>
      <c r="S159" t="s">
        <v>37</v>
      </c>
      <c r="T159" t="s">
        <v>38</v>
      </c>
      <c r="U159" t="s">
        <v>555</v>
      </c>
      <c r="V159">
        <v>6.2703212493495197</v>
      </c>
      <c r="W159">
        <v>1.9254653304854302E-2</v>
      </c>
      <c r="X159" t="s">
        <v>371</v>
      </c>
      <c r="Y159" t="s">
        <v>31</v>
      </c>
    </row>
    <row r="160" spans="1:25" x14ac:dyDescent="0.2">
      <c r="A160" t="s">
        <v>368</v>
      </c>
      <c r="B160" t="s">
        <v>126</v>
      </c>
      <c r="C160" t="s">
        <v>24</v>
      </c>
      <c r="D160">
        <v>7.6735203379030406E-2</v>
      </c>
      <c r="E160">
        <v>0.43843488837051198</v>
      </c>
      <c r="F160" t="s">
        <v>35</v>
      </c>
      <c r="G160">
        <v>10</v>
      </c>
      <c r="H160">
        <v>2.3691936213899301E-2</v>
      </c>
      <c r="I160" t="s">
        <v>42</v>
      </c>
      <c r="J160" t="b">
        <v>0</v>
      </c>
      <c r="K160">
        <v>56.035406861980199</v>
      </c>
      <c r="L160">
        <v>57.749692576266</v>
      </c>
      <c r="M160">
        <v>6.4794414742600198E-2</v>
      </c>
      <c r="N160" t="s">
        <v>26</v>
      </c>
      <c r="O160" t="s">
        <v>26</v>
      </c>
      <c r="P160" t="s">
        <v>452</v>
      </c>
      <c r="Q160">
        <f>-0.0332559287555507 - 0.0806398011833493</f>
        <v>-0.11389572993890001</v>
      </c>
      <c r="R160" t="s">
        <v>27</v>
      </c>
      <c r="S160" t="s">
        <v>43</v>
      </c>
      <c r="T160" t="s">
        <v>26</v>
      </c>
      <c r="U160" t="s">
        <v>44</v>
      </c>
      <c r="V160">
        <v>5.9078575279889298</v>
      </c>
      <c r="W160">
        <v>2.9055033147678599E-2</v>
      </c>
      <c r="X160" t="s">
        <v>371</v>
      </c>
      <c r="Y160" t="s">
        <v>31</v>
      </c>
    </row>
    <row r="161" spans="1:25" x14ac:dyDescent="0.2">
      <c r="A161" t="s">
        <v>368</v>
      </c>
      <c r="B161" t="s">
        <v>147</v>
      </c>
      <c r="C161" t="s">
        <v>24</v>
      </c>
      <c r="D161">
        <v>9.6242886961661993E-3</v>
      </c>
      <c r="E161">
        <v>0.569204612119939</v>
      </c>
      <c r="F161" t="s">
        <v>35</v>
      </c>
      <c r="G161">
        <v>45</v>
      </c>
      <c r="H161">
        <v>-1.54234123179022E-2</v>
      </c>
      <c r="I161" t="s">
        <v>39</v>
      </c>
      <c r="J161" t="b">
        <v>0</v>
      </c>
      <c r="K161">
        <v>232.183189915068</v>
      </c>
      <c r="L161">
        <v>232.546826278704</v>
      </c>
      <c r="M161">
        <v>16.193035185421898</v>
      </c>
      <c r="N161" t="s">
        <v>26</v>
      </c>
      <c r="O161" t="s">
        <v>26</v>
      </c>
      <c r="P161" t="s">
        <v>396</v>
      </c>
      <c r="Q161">
        <f>-0.0680145724428317 - 0.0371677478070273</f>
        <v>-0.10518232024985899</v>
      </c>
      <c r="R161" t="s">
        <v>32</v>
      </c>
      <c r="S161" t="s">
        <v>40</v>
      </c>
      <c r="T161" t="s">
        <v>41</v>
      </c>
      <c r="U161" t="s">
        <v>556</v>
      </c>
      <c r="V161">
        <v>4.2771777170726502</v>
      </c>
      <c r="W161">
        <v>2.68322245535355E-2</v>
      </c>
      <c r="X161" t="s">
        <v>371</v>
      </c>
      <c r="Y161" t="s">
        <v>31</v>
      </c>
    </row>
    <row r="162" spans="1:25" x14ac:dyDescent="0.2">
      <c r="A162" t="s">
        <v>368</v>
      </c>
      <c r="B162" t="s">
        <v>138</v>
      </c>
      <c r="C162" t="s">
        <v>24</v>
      </c>
      <c r="D162">
        <v>3.8948402252001899E-2</v>
      </c>
      <c r="E162">
        <v>0.241674943305908</v>
      </c>
      <c r="F162" t="s">
        <v>35</v>
      </c>
      <c r="G162">
        <v>45</v>
      </c>
      <c r="H162">
        <v>0.198252628155732</v>
      </c>
      <c r="I162" t="s">
        <v>42</v>
      </c>
      <c r="J162" t="b">
        <v>0</v>
      </c>
      <c r="K162">
        <v>240.87304125703</v>
      </c>
      <c r="L162">
        <v>241.225982433501</v>
      </c>
      <c r="M162">
        <v>18.506197596226901</v>
      </c>
      <c r="N162" t="s">
        <v>26</v>
      </c>
      <c r="O162" t="s">
        <v>26</v>
      </c>
      <c r="P162" t="s">
        <v>436</v>
      </c>
      <c r="Q162">
        <f>-0.12801165381477 - 0.524516910126235</f>
        <v>-0.652528563941005</v>
      </c>
      <c r="R162" t="s">
        <v>27</v>
      </c>
      <c r="S162" t="s">
        <v>43</v>
      </c>
      <c r="T162" t="s">
        <v>26</v>
      </c>
      <c r="U162" t="s">
        <v>44</v>
      </c>
      <c r="V162">
        <v>2.4759455335644902</v>
      </c>
      <c r="W162">
        <v>0.166461368352297</v>
      </c>
      <c r="X162" t="s">
        <v>371</v>
      </c>
      <c r="Y162" t="s">
        <v>31</v>
      </c>
    </row>
    <row r="163" spans="1:25" x14ac:dyDescent="0.2">
      <c r="A163" t="s">
        <v>368</v>
      </c>
      <c r="B163" t="s">
        <v>142</v>
      </c>
      <c r="C163" t="s">
        <v>24</v>
      </c>
      <c r="D163">
        <v>0.43543319851788598</v>
      </c>
      <c r="E163" s="1">
        <v>5.3795969823022802E-5</v>
      </c>
      <c r="F163" t="s">
        <v>35</v>
      </c>
      <c r="G163">
        <v>31</v>
      </c>
      <c r="H163">
        <v>5.8583124712782597E-2</v>
      </c>
      <c r="I163" t="s">
        <v>36</v>
      </c>
      <c r="J163" t="b">
        <v>0</v>
      </c>
      <c r="K163">
        <v>187.66645742238299</v>
      </c>
      <c r="L163">
        <v>188.095028850955</v>
      </c>
      <c r="M163">
        <v>13.847215933419999</v>
      </c>
      <c r="N163" t="s">
        <v>26</v>
      </c>
      <c r="O163" t="s">
        <v>26</v>
      </c>
      <c r="P163" t="s">
        <v>454</v>
      </c>
      <c r="Q163" t="s">
        <v>557</v>
      </c>
      <c r="R163" t="s">
        <v>32</v>
      </c>
      <c r="S163" t="s">
        <v>37</v>
      </c>
      <c r="T163" t="s">
        <v>38</v>
      </c>
      <c r="U163" t="s">
        <v>558</v>
      </c>
      <c r="V163">
        <v>0.142036661878021</v>
      </c>
      <c r="W163">
        <v>1.2387122511333001E-2</v>
      </c>
      <c r="X163" t="s">
        <v>371</v>
      </c>
      <c r="Y163" t="s">
        <v>31</v>
      </c>
    </row>
    <row r="164" spans="1:25" x14ac:dyDescent="0.2">
      <c r="A164" t="s">
        <v>368</v>
      </c>
      <c r="B164" t="s">
        <v>155</v>
      </c>
      <c r="C164" t="s">
        <v>24</v>
      </c>
      <c r="D164">
        <v>1.108017884135E-3</v>
      </c>
      <c r="E164">
        <v>0.83842734825200904</v>
      </c>
      <c r="F164" t="s">
        <v>35</v>
      </c>
      <c r="G164">
        <v>17</v>
      </c>
      <c r="H164">
        <v>-4.9125457075837996E-3</v>
      </c>
      <c r="I164" t="s">
        <v>42</v>
      </c>
      <c r="J164" t="b">
        <v>0</v>
      </c>
      <c r="K164">
        <v>256.12460347722902</v>
      </c>
      <c r="L164">
        <v>256.448927801553</v>
      </c>
      <c r="M164">
        <v>18.7022933582269</v>
      </c>
      <c r="N164" t="s">
        <v>26</v>
      </c>
      <c r="O164" t="s">
        <v>26</v>
      </c>
      <c r="P164" t="s">
        <v>424</v>
      </c>
      <c r="Q164">
        <f>-0.0518108084822857 - 0.0419857170671181</f>
        <v>-9.3796525549403792E-2</v>
      </c>
      <c r="R164" t="s">
        <v>27</v>
      </c>
      <c r="S164" t="s">
        <v>43</v>
      </c>
      <c r="T164" t="s">
        <v>26</v>
      </c>
      <c r="U164" t="s">
        <v>44</v>
      </c>
      <c r="V164">
        <v>3.7446152942121902</v>
      </c>
      <c r="W164">
        <v>2.39276850891336E-2</v>
      </c>
      <c r="X164" t="s">
        <v>371</v>
      </c>
      <c r="Y164" t="s">
        <v>31</v>
      </c>
    </row>
    <row r="165" spans="1:25" x14ac:dyDescent="0.2">
      <c r="A165" t="s">
        <v>368</v>
      </c>
      <c r="B165" t="s">
        <v>109</v>
      </c>
      <c r="C165" t="s">
        <v>24</v>
      </c>
      <c r="D165">
        <v>2.78103136063385E-2</v>
      </c>
      <c r="E165">
        <v>0.72081240507757305</v>
      </c>
      <c r="F165" t="s">
        <v>35</v>
      </c>
      <c r="G165">
        <v>49</v>
      </c>
      <c r="H165">
        <v>-2.6707313619715998E-3</v>
      </c>
      <c r="I165" t="s">
        <v>39</v>
      </c>
      <c r="J165" t="b">
        <v>0</v>
      </c>
      <c r="K165">
        <v>44.258469523915203</v>
      </c>
      <c r="L165">
        <v>47.258469523915203</v>
      </c>
      <c r="M165">
        <v>0</v>
      </c>
      <c r="N165" t="s">
        <v>26</v>
      </c>
      <c r="O165" t="s">
        <v>26</v>
      </c>
      <c r="P165" t="s">
        <v>475</v>
      </c>
      <c r="Q165">
        <f>-0.0165119343265941 - 0.0111704716026507</f>
        <v>-2.7682405929244799E-2</v>
      </c>
      <c r="R165" t="s">
        <v>27</v>
      </c>
      <c r="S165" t="s">
        <v>40</v>
      </c>
      <c r="T165" t="s">
        <v>41</v>
      </c>
      <c r="U165" t="s">
        <v>559</v>
      </c>
      <c r="V165">
        <v>6.0248581692253502</v>
      </c>
      <c r="W165">
        <v>7.0618382472562996E-3</v>
      </c>
      <c r="X165" t="s">
        <v>371</v>
      </c>
      <c r="Y165" t="s">
        <v>31</v>
      </c>
    </row>
    <row r="166" spans="1:25" x14ac:dyDescent="0.2">
      <c r="A166" t="s">
        <v>368</v>
      </c>
      <c r="B166" t="s">
        <v>86</v>
      </c>
      <c r="C166" t="s">
        <v>24</v>
      </c>
      <c r="D166">
        <v>2.8805480337227501E-2</v>
      </c>
      <c r="E166">
        <v>0.30162950872734701</v>
      </c>
      <c r="F166" t="s">
        <v>35</v>
      </c>
      <c r="G166">
        <v>28</v>
      </c>
      <c r="H166">
        <v>-1.01244133639677E-2</v>
      </c>
      <c r="I166" t="s">
        <v>39</v>
      </c>
      <c r="J166" t="b">
        <v>0</v>
      </c>
      <c r="K166">
        <v>250.54262731396199</v>
      </c>
      <c r="L166">
        <v>250.87596064729601</v>
      </c>
      <c r="M166">
        <v>19.331835954906001</v>
      </c>
      <c r="N166" t="s">
        <v>26</v>
      </c>
      <c r="O166" t="s">
        <v>26</v>
      </c>
      <c r="P166" t="s">
        <v>374</v>
      </c>
      <c r="Q166">
        <f>-0.029067058719906 - 0.00881823199197054</f>
        <v>-3.7885290711876539E-2</v>
      </c>
      <c r="R166" t="s">
        <v>33</v>
      </c>
      <c r="S166" t="s">
        <v>40</v>
      </c>
      <c r="T166" t="s">
        <v>41</v>
      </c>
      <c r="U166" t="s">
        <v>560</v>
      </c>
      <c r="V166">
        <v>4.0446014370001304</v>
      </c>
      <c r="W166">
        <v>9.6646149775194996E-3</v>
      </c>
      <c r="X166" t="s">
        <v>371</v>
      </c>
      <c r="Y166" t="s">
        <v>31</v>
      </c>
    </row>
    <row r="167" spans="1:25" x14ac:dyDescent="0.2">
      <c r="A167" t="s">
        <v>368</v>
      </c>
      <c r="B167" t="s">
        <v>63</v>
      </c>
      <c r="C167" t="s">
        <v>24</v>
      </c>
      <c r="D167">
        <v>2.9595351207228799E-2</v>
      </c>
      <c r="E167">
        <v>0.44395009146888398</v>
      </c>
      <c r="F167" t="s">
        <v>35</v>
      </c>
      <c r="G167">
        <v>59</v>
      </c>
      <c r="H167">
        <v>-1.0364597567385499E-2</v>
      </c>
      <c r="I167" t="s">
        <v>42</v>
      </c>
      <c r="J167" t="b">
        <v>0</v>
      </c>
      <c r="K167">
        <v>135.26270768927799</v>
      </c>
      <c r="L167">
        <v>135.894286636646</v>
      </c>
      <c r="M167">
        <v>9.5313580316230002</v>
      </c>
      <c r="N167" t="s">
        <v>26</v>
      </c>
      <c r="O167" t="s">
        <v>26</v>
      </c>
      <c r="P167" t="s">
        <v>479</v>
      </c>
      <c r="Q167">
        <f>-0.0363756666665199 - 0.015646471531749</f>
        <v>-5.2022138198268904E-2</v>
      </c>
      <c r="R167" t="s">
        <v>33</v>
      </c>
      <c r="S167" t="s">
        <v>43</v>
      </c>
      <c r="T167" t="s">
        <v>26</v>
      </c>
      <c r="U167" t="s">
        <v>44</v>
      </c>
      <c r="V167">
        <v>4.8133865114650396</v>
      </c>
      <c r="W167">
        <v>1.3270953622007401E-2</v>
      </c>
      <c r="X167" t="s">
        <v>371</v>
      </c>
      <c r="Y167" t="s">
        <v>31</v>
      </c>
    </row>
    <row r="168" spans="1:25" x14ac:dyDescent="0.2">
      <c r="A168" t="s">
        <v>368</v>
      </c>
      <c r="B168" t="s">
        <v>59</v>
      </c>
      <c r="C168" t="s">
        <v>24</v>
      </c>
      <c r="D168">
        <v>1.0602162809599599E-2</v>
      </c>
      <c r="E168">
        <v>0.55011390573450403</v>
      </c>
      <c r="F168" t="s">
        <v>35</v>
      </c>
      <c r="G168">
        <v>20</v>
      </c>
      <c r="H168">
        <v>-3.1271534270539002E-3</v>
      </c>
      <c r="I168" t="s">
        <v>42</v>
      </c>
      <c r="J168" t="b">
        <v>0</v>
      </c>
      <c r="K168">
        <v>208.86559766898799</v>
      </c>
      <c r="L168">
        <v>209.22923403262399</v>
      </c>
      <c r="M168">
        <v>11.967436378</v>
      </c>
      <c r="N168" t="s">
        <v>26</v>
      </c>
      <c r="O168" t="s">
        <v>26</v>
      </c>
      <c r="P168" t="s">
        <v>386</v>
      </c>
      <c r="Q168">
        <f>-0.0132815482615315 - 0.00702724140742364</f>
        <v>-2.0308789668955142E-2</v>
      </c>
      <c r="R168" t="s">
        <v>27</v>
      </c>
      <c r="S168" t="s">
        <v>43</v>
      </c>
      <c r="T168" t="s">
        <v>26</v>
      </c>
      <c r="U168" t="s">
        <v>44</v>
      </c>
      <c r="V168">
        <v>3.4325300445489701</v>
      </c>
      <c r="W168">
        <v>5.1808136910598997E-3</v>
      </c>
      <c r="X168" t="s">
        <v>371</v>
      </c>
      <c r="Y168" t="s">
        <v>31</v>
      </c>
    </row>
    <row r="169" spans="1:25" x14ac:dyDescent="0.2">
      <c r="A169" t="s">
        <v>368</v>
      </c>
      <c r="B169" t="s">
        <v>155</v>
      </c>
      <c r="C169" t="s">
        <v>24</v>
      </c>
      <c r="D169" s="1">
        <v>2.8402168615646101E-5</v>
      </c>
      <c r="E169">
        <v>0.97396385182910405</v>
      </c>
      <c r="F169" t="s">
        <v>35</v>
      </c>
      <c r="G169">
        <v>17</v>
      </c>
      <c r="H169">
        <v>-9.1716841409169995E-4</v>
      </c>
      <c r="I169" t="s">
        <v>36</v>
      </c>
      <c r="J169" t="b">
        <v>0</v>
      </c>
      <c r="K169">
        <v>254.36486081327499</v>
      </c>
      <c r="L169">
        <v>254.689185137599</v>
      </c>
      <c r="M169">
        <v>16.942550694272899</v>
      </c>
      <c r="N169" t="s">
        <v>26</v>
      </c>
      <c r="O169" t="s">
        <v>26</v>
      </c>
      <c r="P169" t="s">
        <v>424</v>
      </c>
      <c r="Q169">
        <f>-0.0556353233345459 - 0.0538009865063623</f>
        <v>-0.1094363098409082</v>
      </c>
      <c r="R169" t="s">
        <v>27</v>
      </c>
      <c r="S169" t="s">
        <v>37</v>
      </c>
      <c r="T169" t="s">
        <v>38</v>
      </c>
      <c r="U169" t="s">
        <v>561</v>
      </c>
      <c r="V169">
        <v>3.63862766082655</v>
      </c>
      <c r="W169">
        <v>2.7917425979823499E-2</v>
      </c>
      <c r="X169" t="s">
        <v>371</v>
      </c>
      <c r="Y169" t="s">
        <v>31</v>
      </c>
    </row>
    <row r="170" spans="1:25" x14ac:dyDescent="0.2">
      <c r="A170" t="s">
        <v>368</v>
      </c>
      <c r="B170" t="s">
        <v>145</v>
      </c>
      <c r="C170" t="s">
        <v>24</v>
      </c>
      <c r="D170">
        <v>7.2580390464359996E-4</v>
      </c>
      <c r="E170">
        <v>0.87978512534364295</v>
      </c>
      <c r="F170" t="s">
        <v>35</v>
      </c>
      <c r="G170">
        <v>66</v>
      </c>
      <c r="H170">
        <v>-2.7401032649623999E-3</v>
      </c>
      <c r="I170" t="s">
        <v>42</v>
      </c>
      <c r="J170" t="b">
        <v>0</v>
      </c>
      <c r="K170">
        <v>219.30267572685699</v>
      </c>
      <c r="L170">
        <v>219.68977250105101</v>
      </c>
      <c r="M170">
        <v>13.618907487757999</v>
      </c>
      <c r="N170" t="s">
        <v>26</v>
      </c>
      <c r="O170" t="s">
        <v>26</v>
      </c>
      <c r="P170" t="s">
        <v>384</v>
      </c>
      <c r="Q170">
        <f>-0.0379675120217722 - 0.0324873054918473</f>
        <v>-7.0454817513619497E-2</v>
      </c>
      <c r="R170" t="s">
        <v>34</v>
      </c>
      <c r="S170" t="s">
        <v>43</v>
      </c>
      <c r="T170" t="s">
        <v>26</v>
      </c>
      <c r="U170" t="s">
        <v>44</v>
      </c>
      <c r="V170">
        <v>4.2878918655368699</v>
      </c>
      <c r="W170">
        <v>1.79731677330662E-2</v>
      </c>
      <c r="X170" t="s">
        <v>371</v>
      </c>
      <c r="Y170" t="s">
        <v>31</v>
      </c>
    </row>
    <row r="171" spans="1:25" x14ac:dyDescent="0.2">
      <c r="A171" t="s">
        <v>368</v>
      </c>
      <c r="B171" t="s">
        <v>159</v>
      </c>
      <c r="C171" t="s">
        <v>24</v>
      </c>
      <c r="D171">
        <v>1.62128122408924E-2</v>
      </c>
      <c r="E171">
        <v>0.43364979422319799</v>
      </c>
      <c r="F171" t="s">
        <v>35</v>
      </c>
      <c r="G171">
        <v>31</v>
      </c>
      <c r="H171">
        <v>-8.3550905056475003E-3</v>
      </c>
      <c r="I171" t="s">
        <v>36</v>
      </c>
      <c r="J171" t="b">
        <v>0</v>
      </c>
      <c r="K171">
        <v>252.171086614736</v>
      </c>
      <c r="L171">
        <v>252.495410939061</v>
      </c>
      <c r="M171">
        <v>14.4989121770049</v>
      </c>
      <c r="N171" t="s">
        <v>26</v>
      </c>
      <c r="O171" t="s">
        <v>26</v>
      </c>
      <c r="P171" t="s">
        <v>483</v>
      </c>
      <c r="Q171">
        <f>-0.0290487279678475 - 0.0123385469565525</f>
        <v>-4.1387274924400003E-2</v>
      </c>
      <c r="R171" t="s">
        <v>32</v>
      </c>
      <c r="S171" t="s">
        <v>37</v>
      </c>
      <c r="T171" t="s">
        <v>38</v>
      </c>
      <c r="U171" t="s">
        <v>562</v>
      </c>
      <c r="V171">
        <v>4.24001107067118</v>
      </c>
      <c r="W171">
        <v>1.0557978297040801E-2</v>
      </c>
      <c r="X171" t="s">
        <v>371</v>
      </c>
      <c r="Y171" t="s">
        <v>31</v>
      </c>
    </row>
    <row r="172" spans="1:25" x14ac:dyDescent="0.2">
      <c r="A172" t="s">
        <v>368</v>
      </c>
      <c r="B172" t="s">
        <v>115</v>
      </c>
      <c r="C172" t="s">
        <v>24</v>
      </c>
      <c r="D172">
        <v>0.187577315887544</v>
      </c>
      <c r="E172">
        <v>1.18141433010432E-2</v>
      </c>
      <c r="F172" t="s">
        <v>35</v>
      </c>
      <c r="G172">
        <v>19</v>
      </c>
      <c r="H172">
        <v>3.8347391452757298E-2</v>
      </c>
      <c r="I172" t="s">
        <v>36</v>
      </c>
      <c r="J172" t="b">
        <v>0</v>
      </c>
      <c r="K172">
        <v>209.420092830941</v>
      </c>
      <c r="L172">
        <v>209.82009283094101</v>
      </c>
      <c r="M172">
        <v>11.526150769573</v>
      </c>
      <c r="N172" t="s">
        <v>26</v>
      </c>
      <c r="O172" t="s">
        <v>26</v>
      </c>
      <c r="P172" t="s">
        <v>458</v>
      </c>
      <c r="Q172" t="s">
        <v>563</v>
      </c>
      <c r="R172" t="s">
        <v>34</v>
      </c>
      <c r="S172" t="s">
        <v>37</v>
      </c>
      <c r="T172" t="s">
        <v>38</v>
      </c>
      <c r="U172" t="s">
        <v>564</v>
      </c>
      <c r="V172">
        <v>3.6910518098290201</v>
      </c>
      <c r="W172">
        <v>1.4333618521755199E-2</v>
      </c>
      <c r="X172" t="s">
        <v>371</v>
      </c>
      <c r="Y172" t="s">
        <v>31</v>
      </c>
    </row>
    <row r="173" spans="1:25" x14ac:dyDescent="0.2">
      <c r="A173" t="s">
        <v>368</v>
      </c>
      <c r="B173" t="s">
        <v>81</v>
      </c>
      <c r="C173" t="s">
        <v>24</v>
      </c>
      <c r="D173">
        <v>0.30020842487548299</v>
      </c>
      <c r="E173">
        <v>5.4202906456650001E-4</v>
      </c>
      <c r="F173" t="s">
        <v>35</v>
      </c>
      <c r="G173">
        <v>4</v>
      </c>
      <c r="H173">
        <v>1.34158391257715E-2</v>
      </c>
      <c r="I173" t="s">
        <v>39</v>
      </c>
      <c r="J173" t="b">
        <v>0</v>
      </c>
      <c r="K173">
        <v>223.25524474911001</v>
      </c>
      <c r="L173">
        <v>223.61888111274601</v>
      </c>
      <c r="M173">
        <v>22.591523791191001</v>
      </c>
      <c r="N173" t="s">
        <v>26</v>
      </c>
      <c r="O173" t="s">
        <v>26</v>
      </c>
      <c r="P173" t="s">
        <v>409</v>
      </c>
      <c r="Q173" t="s">
        <v>565</v>
      </c>
      <c r="R173" t="s">
        <v>33</v>
      </c>
      <c r="S173" t="s">
        <v>40</v>
      </c>
      <c r="T173" t="s">
        <v>41</v>
      </c>
      <c r="U173" t="s">
        <v>566</v>
      </c>
      <c r="V173">
        <v>2.0675529824018501</v>
      </c>
      <c r="W173">
        <v>3.5127828210072998E-3</v>
      </c>
      <c r="X173" t="s">
        <v>371</v>
      </c>
      <c r="Y173" t="s">
        <v>31</v>
      </c>
    </row>
    <row r="174" spans="1:25" x14ac:dyDescent="0.2">
      <c r="A174" t="s">
        <v>368</v>
      </c>
      <c r="B174" t="s">
        <v>45</v>
      </c>
      <c r="C174" t="s">
        <v>24</v>
      </c>
      <c r="D174">
        <v>8.7809124985114995E-3</v>
      </c>
      <c r="E174">
        <v>0.64200412079650204</v>
      </c>
      <c r="F174" t="s">
        <v>35</v>
      </c>
      <c r="G174">
        <v>28</v>
      </c>
      <c r="H174">
        <v>-2.000553826572E-3</v>
      </c>
      <c r="I174" t="s">
        <v>36</v>
      </c>
      <c r="J174" t="b">
        <v>0</v>
      </c>
      <c r="K174">
        <v>153.307634099941</v>
      </c>
      <c r="L174">
        <v>153.807634099941</v>
      </c>
      <c r="M174">
        <v>2.0366644703769898</v>
      </c>
      <c r="N174" t="s">
        <v>26</v>
      </c>
      <c r="O174" t="s">
        <v>26</v>
      </c>
      <c r="P174" t="s">
        <v>462</v>
      </c>
      <c r="Q174">
        <f>-0.010332593159847 - 0.00633148550670298</f>
        <v>-1.6664078666549981E-2</v>
      </c>
      <c r="R174" t="s">
        <v>33</v>
      </c>
      <c r="S174" t="s">
        <v>37</v>
      </c>
      <c r="T174" t="s">
        <v>38</v>
      </c>
      <c r="U174" t="s">
        <v>567</v>
      </c>
      <c r="V174">
        <v>4.8919330611976903</v>
      </c>
      <c r="W174">
        <v>4.2510404761606996E-3</v>
      </c>
      <c r="X174" t="s">
        <v>371</v>
      </c>
      <c r="Y174" t="s">
        <v>31</v>
      </c>
    </row>
    <row r="175" spans="1:25" x14ac:dyDescent="0.2">
      <c r="A175" t="s">
        <v>368</v>
      </c>
      <c r="B175" t="s">
        <v>88</v>
      </c>
      <c r="C175" t="s">
        <v>24</v>
      </c>
      <c r="D175" s="1">
        <v>1.2625291182019E-7</v>
      </c>
      <c r="E175">
        <v>0.99977371902916901</v>
      </c>
      <c r="F175" t="s">
        <v>35</v>
      </c>
      <c r="G175">
        <v>41</v>
      </c>
      <c r="H175" s="1">
        <v>-1.0457034492468399E-9</v>
      </c>
      <c r="I175" t="s">
        <v>39</v>
      </c>
      <c r="J175" t="b">
        <v>0</v>
      </c>
      <c r="K175">
        <v>1.12040784806155</v>
      </c>
      <c r="L175" t="s">
        <v>464</v>
      </c>
      <c r="N175" t="s">
        <v>26</v>
      </c>
      <c r="O175" t="s">
        <v>26</v>
      </c>
      <c r="P175" t="s">
        <v>465</v>
      </c>
      <c r="Q175">
        <f>-5.76733839802583E-06 - 5.76524699112733E-06</f>
        <v>-1.1532585389153161E-5</v>
      </c>
      <c r="R175" t="s">
        <v>34</v>
      </c>
      <c r="S175" t="s">
        <v>40</v>
      </c>
      <c r="T175" t="s">
        <v>41</v>
      </c>
      <c r="U175" t="s">
        <v>568</v>
      </c>
      <c r="V175">
        <v>1.8435754290151001</v>
      </c>
      <c r="W175" s="1">
        <v>2.9419860686615198E-6</v>
      </c>
      <c r="X175" t="s">
        <v>371</v>
      </c>
      <c r="Y175" t="s">
        <v>31</v>
      </c>
    </row>
    <row r="176" spans="1:25" x14ac:dyDescent="0.2">
      <c r="A176" t="s">
        <v>368</v>
      </c>
      <c r="B176" t="s">
        <v>138</v>
      </c>
      <c r="C176" t="s">
        <v>24</v>
      </c>
      <c r="D176">
        <v>9.2792152128357799E-2</v>
      </c>
      <c r="E176">
        <v>6.6778395775388202E-2</v>
      </c>
      <c r="F176" t="s">
        <v>35</v>
      </c>
      <c r="G176">
        <v>45</v>
      </c>
      <c r="H176">
        <v>0.35600117861782399</v>
      </c>
      <c r="I176" t="s">
        <v>36</v>
      </c>
      <c r="J176" t="b">
        <v>0</v>
      </c>
      <c r="K176">
        <v>236.21066282167499</v>
      </c>
      <c r="L176">
        <v>236.563603998145</v>
      </c>
      <c r="M176">
        <v>13.8438191608709</v>
      </c>
      <c r="N176" t="s">
        <v>26</v>
      </c>
      <c r="O176" t="s">
        <v>26</v>
      </c>
      <c r="P176" t="s">
        <v>436</v>
      </c>
      <c r="Q176">
        <f>-0.0127821335093254 - 0.724784490744974</f>
        <v>-0.73756662425429942</v>
      </c>
      <c r="R176" t="s">
        <v>27</v>
      </c>
      <c r="S176" t="s">
        <v>37</v>
      </c>
      <c r="T176" t="s">
        <v>38</v>
      </c>
      <c r="U176" t="s">
        <v>569</v>
      </c>
      <c r="V176">
        <v>1.55570487615978</v>
      </c>
      <c r="W176">
        <v>0.18815475108527999</v>
      </c>
      <c r="X176" t="s">
        <v>371</v>
      </c>
      <c r="Y176" t="s">
        <v>31</v>
      </c>
    </row>
    <row r="177" spans="1:25" x14ac:dyDescent="0.2">
      <c r="A177" t="s">
        <v>368</v>
      </c>
      <c r="B177" t="s">
        <v>145</v>
      </c>
      <c r="C177" t="s">
        <v>24</v>
      </c>
      <c r="D177">
        <v>8.1500324851890003E-4</v>
      </c>
      <c r="E177">
        <v>0.87266873871057504</v>
      </c>
      <c r="F177" t="s">
        <v>35</v>
      </c>
      <c r="G177">
        <v>66</v>
      </c>
      <c r="H177">
        <v>-3.3366837917928999E-3</v>
      </c>
      <c r="I177" t="s">
        <v>36</v>
      </c>
      <c r="J177" t="b">
        <v>0</v>
      </c>
      <c r="K177">
        <v>217.11590635859599</v>
      </c>
      <c r="L177">
        <v>217.50300313278899</v>
      </c>
      <c r="M177">
        <v>11.4321381194959</v>
      </c>
      <c r="N177" t="s">
        <v>26</v>
      </c>
      <c r="O177" t="s">
        <v>26</v>
      </c>
      <c r="P177" t="s">
        <v>384</v>
      </c>
      <c r="Q177">
        <f>-0.0438165824118462 - 0.0371432148282603</f>
        <v>-8.0959797240106504E-2</v>
      </c>
      <c r="R177" t="s">
        <v>34</v>
      </c>
      <c r="S177" t="s">
        <v>37</v>
      </c>
      <c r="T177" t="s">
        <v>38</v>
      </c>
      <c r="U177" t="s">
        <v>570</v>
      </c>
      <c r="V177">
        <v>4.6335655538354796</v>
      </c>
      <c r="W177">
        <v>2.06530095000272E-2</v>
      </c>
      <c r="X177" t="s">
        <v>371</v>
      </c>
      <c r="Y177" t="s">
        <v>31</v>
      </c>
    </row>
    <row r="178" spans="1:25" x14ac:dyDescent="0.2">
      <c r="A178" t="s">
        <v>368</v>
      </c>
      <c r="B178" t="s">
        <v>136</v>
      </c>
      <c r="C178" t="s">
        <v>24</v>
      </c>
      <c r="D178">
        <v>3.7836434358999999E-3</v>
      </c>
      <c r="E178">
        <v>0.70613422140802895</v>
      </c>
      <c r="F178" t="s">
        <v>35</v>
      </c>
      <c r="G178">
        <v>59</v>
      </c>
      <c r="H178">
        <v>3.3256168281934001E-3</v>
      </c>
      <c r="I178" t="s">
        <v>36</v>
      </c>
      <c r="J178" t="b">
        <v>0</v>
      </c>
      <c r="K178">
        <v>252.66975949342699</v>
      </c>
      <c r="L178">
        <v>252.994083817751</v>
      </c>
      <c r="M178">
        <v>15.29183011882</v>
      </c>
      <c r="N178" t="s">
        <v>26</v>
      </c>
      <c r="O178" t="s">
        <v>26</v>
      </c>
      <c r="P178" t="s">
        <v>369</v>
      </c>
      <c r="Q178">
        <f>-0.0138320493907269 - 0.0204832830471137</f>
        <v>-3.4315332437840601E-2</v>
      </c>
      <c r="R178" t="s">
        <v>32</v>
      </c>
      <c r="S178" t="s">
        <v>37</v>
      </c>
      <c r="T178" t="s">
        <v>38</v>
      </c>
      <c r="U178" t="s">
        <v>571</v>
      </c>
      <c r="V178">
        <v>3.3174699343955898</v>
      </c>
      <c r="W178">
        <v>8.7539113361837992E-3</v>
      </c>
      <c r="X178" t="s">
        <v>371</v>
      </c>
      <c r="Y178" t="s">
        <v>31</v>
      </c>
    </row>
    <row r="179" spans="1:25" x14ac:dyDescent="0.2">
      <c r="A179" t="s">
        <v>368</v>
      </c>
      <c r="B179" t="s">
        <v>122</v>
      </c>
      <c r="C179" t="s">
        <v>24</v>
      </c>
      <c r="D179">
        <v>3.0399886731300001E-3</v>
      </c>
      <c r="E179">
        <v>0.80269005847153196</v>
      </c>
      <c r="F179" t="s">
        <v>35</v>
      </c>
      <c r="G179">
        <v>45</v>
      </c>
      <c r="H179">
        <v>5.6139313982509998E-3</v>
      </c>
      <c r="I179" t="s">
        <v>39</v>
      </c>
      <c r="J179" t="b">
        <v>0</v>
      </c>
      <c r="K179">
        <v>129.314690325507</v>
      </c>
      <c r="L179">
        <v>129.914690325507</v>
      </c>
      <c r="M179">
        <v>4.8789413752899904</v>
      </c>
      <c r="N179" t="s">
        <v>26</v>
      </c>
      <c r="O179" t="s">
        <v>26</v>
      </c>
      <c r="P179" t="s">
        <v>392</v>
      </c>
      <c r="Q179">
        <f>-0.0378687594698088 - 0.0490966222663108</f>
        <v>-8.696538173611959E-2</v>
      </c>
      <c r="R179" t="s">
        <v>32</v>
      </c>
      <c r="S179" t="s">
        <v>40</v>
      </c>
      <c r="T179" t="s">
        <v>41</v>
      </c>
      <c r="U179" t="s">
        <v>572</v>
      </c>
      <c r="V179">
        <v>3.1272970665306401</v>
      </c>
      <c r="W179">
        <v>2.2185046361255002E-2</v>
      </c>
      <c r="X179" t="s">
        <v>371</v>
      </c>
      <c r="Y179" t="s">
        <v>31</v>
      </c>
    </row>
    <row r="180" spans="1:25" x14ac:dyDescent="0.2">
      <c r="A180" t="s">
        <v>368</v>
      </c>
      <c r="B180" t="s">
        <v>51</v>
      </c>
      <c r="C180" t="s">
        <v>24</v>
      </c>
      <c r="D180">
        <v>1.1093876672445E-3</v>
      </c>
      <c r="E180">
        <v>0.86638072923976095</v>
      </c>
      <c r="F180" t="s">
        <v>35</v>
      </c>
      <c r="G180">
        <v>61</v>
      </c>
      <c r="H180">
        <v>-3.4831510348641999E-3</v>
      </c>
      <c r="I180" t="s">
        <v>39</v>
      </c>
      <c r="J180" t="b">
        <v>0</v>
      </c>
      <c r="K180">
        <v>192.83662968853</v>
      </c>
      <c r="L180">
        <v>193.31662968853001</v>
      </c>
      <c r="M180">
        <v>18.898795632873998</v>
      </c>
      <c r="N180" t="s">
        <v>26</v>
      </c>
      <c r="O180" t="s">
        <v>26</v>
      </c>
      <c r="P180" t="s">
        <v>407</v>
      </c>
      <c r="Q180">
        <f>-0.0436584394220242 - 0.0366921373522957</f>
        <v>-8.0350576774319893E-2</v>
      </c>
      <c r="R180" t="s">
        <v>27</v>
      </c>
      <c r="S180" t="s">
        <v>40</v>
      </c>
      <c r="T180" t="s">
        <v>41</v>
      </c>
      <c r="U180" t="s">
        <v>573</v>
      </c>
      <c r="V180">
        <v>4.0310464882066697</v>
      </c>
      <c r="W180">
        <v>2.0497596115897899E-2</v>
      </c>
      <c r="X180" t="s">
        <v>371</v>
      </c>
      <c r="Y180" t="s">
        <v>31</v>
      </c>
    </row>
    <row r="181" spans="1:25" x14ac:dyDescent="0.2">
      <c r="A181" t="s">
        <v>368</v>
      </c>
      <c r="B181" t="s">
        <v>122</v>
      </c>
      <c r="C181" t="s">
        <v>24</v>
      </c>
      <c r="D181">
        <v>3.0399886731300001E-3</v>
      </c>
      <c r="E181">
        <v>0.80269005847153196</v>
      </c>
      <c r="F181" t="s">
        <v>35</v>
      </c>
      <c r="G181">
        <v>45</v>
      </c>
      <c r="H181">
        <v>5.6139313982509998E-3</v>
      </c>
      <c r="I181" t="s">
        <v>42</v>
      </c>
      <c r="J181" t="b">
        <v>0</v>
      </c>
      <c r="K181">
        <v>129.314690325507</v>
      </c>
      <c r="L181">
        <v>129.914690325507</v>
      </c>
      <c r="M181">
        <v>4.8789413752899904</v>
      </c>
      <c r="N181" t="s">
        <v>26</v>
      </c>
      <c r="O181" t="s">
        <v>26</v>
      </c>
      <c r="P181" t="s">
        <v>392</v>
      </c>
      <c r="Q181">
        <f>-0.0378687594698088 - 0.0490966222663108</f>
        <v>-8.696538173611959E-2</v>
      </c>
      <c r="R181" t="s">
        <v>32</v>
      </c>
      <c r="S181" t="s">
        <v>43</v>
      </c>
      <c r="T181" t="s">
        <v>26</v>
      </c>
      <c r="U181" t="s">
        <v>44</v>
      </c>
      <c r="V181">
        <v>3.1272970665306401</v>
      </c>
      <c r="W181">
        <v>2.2185046361255002E-2</v>
      </c>
      <c r="X181" t="s">
        <v>371</v>
      </c>
      <c r="Y181" t="s">
        <v>31</v>
      </c>
    </row>
    <row r="182" spans="1:25" x14ac:dyDescent="0.2">
      <c r="A182" t="s">
        <v>368</v>
      </c>
      <c r="B182" t="s">
        <v>79</v>
      </c>
      <c r="C182" t="s">
        <v>24</v>
      </c>
      <c r="D182">
        <v>2.0456156450778E-3</v>
      </c>
      <c r="E182">
        <v>0.78168705464247201</v>
      </c>
      <c r="F182" t="s">
        <v>35</v>
      </c>
      <c r="G182">
        <v>59</v>
      </c>
      <c r="H182">
        <v>1.51521754836677E-2</v>
      </c>
      <c r="I182" t="s">
        <v>39</v>
      </c>
      <c r="J182" t="b">
        <v>0</v>
      </c>
      <c r="K182">
        <v>257.136176304983</v>
      </c>
      <c r="L182">
        <v>257.46050062930698</v>
      </c>
      <c r="M182">
        <v>18.854567343261898</v>
      </c>
      <c r="N182" t="s">
        <v>26</v>
      </c>
      <c r="O182" t="s">
        <v>26</v>
      </c>
      <c r="P182" t="s">
        <v>380</v>
      </c>
      <c r="Q182">
        <f>-0.0912578608441038 - 0.121562211811439</f>
        <v>-0.21282007265554281</v>
      </c>
      <c r="R182" t="s">
        <v>27</v>
      </c>
      <c r="S182" t="s">
        <v>40</v>
      </c>
      <c r="T182" t="s">
        <v>41</v>
      </c>
      <c r="U182" t="s">
        <v>574</v>
      </c>
      <c r="V182">
        <v>3.53972283275789</v>
      </c>
      <c r="W182">
        <v>5.4290834861107903E-2</v>
      </c>
      <c r="X182" t="s">
        <v>371</v>
      </c>
      <c r="Y182" t="s">
        <v>31</v>
      </c>
    </row>
    <row r="183" spans="1:25" x14ac:dyDescent="0.2">
      <c r="A183" t="s">
        <v>368</v>
      </c>
      <c r="B183" t="s">
        <v>142</v>
      </c>
      <c r="C183" t="s">
        <v>24</v>
      </c>
      <c r="D183">
        <v>0.408109688454181</v>
      </c>
      <c r="E183">
        <v>1.0980978249000001E-4</v>
      </c>
      <c r="F183" t="s">
        <v>35</v>
      </c>
      <c r="G183">
        <v>31</v>
      </c>
      <c r="H183">
        <v>5.5075053634597401E-2</v>
      </c>
      <c r="I183" t="s">
        <v>42</v>
      </c>
      <c r="J183" t="b">
        <v>0</v>
      </c>
      <c r="K183">
        <v>192.36605948453601</v>
      </c>
      <c r="L183">
        <v>192.794630913107</v>
      </c>
      <c r="M183">
        <v>18.546817995571999</v>
      </c>
      <c r="N183" t="s">
        <v>26</v>
      </c>
      <c r="O183" t="s">
        <v>26</v>
      </c>
      <c r="P183" t="s">
        <v>454</v>
      </c>
      <c r="Q183" t="s">
        <v>553</v>
      </c>
      <c r="R183" t="s">
        <v>32</v>
      </c>
      <c r="S183" t="s">
        <v>43</v>
      </c>
      <c r="T183" t="s">
        <v>26</v>
      </c>
      <c r="U183" t="s">
        <v>44</v>
      </c>
      <c r="V183">
        <v>0.89440163149542395</v>
      </c>
      <c r="W183">
        <v>1.23165221700652E-2</v>
      </c>
      <c r="X183" t="s">
        <v>371</v>
      </c>
      <c r="Y183" t="s">
        <v>31</v>
      </c>
    </row>
    <row r="184" spans="1:25" x14ac:dyDescent="0.2">
      <c r="A184" t="s">
        <v>368</v>
      </c>
      <c r="B184" t="s">
        <v>53</v>
      </c>
      <c r="C184" t="s">
        <v>24</v>
      </c>
      <c r="D184">
        <v>0.17657961553074</v>
      </c>
      <c r="E184">
        <v>0.198164827535842</v>
      </c>
      <c r="F184" t="s">
        <v>35</v>
      </c>
      <c r="G184">
        <v>34</v>
      </c>
      <c r="H184">
        <v>-5.1050114811035403</v>
      </c>
      <c r="I184" t="s">
        <v>36</v>
      </c>
      <c r="J184" t="b">
        <v>0</v>
      </c>
      <c r="K184">
        <v>69.237701068205396</v>
      </c>
      <c r="L184">
        <v>70.737701068205396</v>
      </c>
      <c r="M184">
        <v>6.0049901844692499E-2</v>
      </c>
      <c r="N184" t="s">
        <v>26</v>
      </c>
      <c r="O184" t="s">
        <v>26</v>
      </c>
      <c r="P184" t="s">
        <v>398</v>
      </c>
      <c r="Q184">
        <f>-12.3073256796537 - 2.09730271744666</f>
        <v>-14.404628397100359</v>
      </c>
      <c r="R184" t="s">
        <v>33</v>
      </c>
      <c r="S184" t="s">
        <v>37</v>
      </c>
      <c r="T184" t="s">
        <v>38</v>
      </c>
      <c r="U184" t="s">
        <v>575</v>
      </c>
      <c r="V184">
        <v>7.7259234671236996</v>
      </c>
      <c r="W184">
        <v>3.6746501013011201</v>
      </c>
      <c r="X184" t="s">
        <v>371</v>
      </c>
      <c r="Y184" t="s">
        <v>31</v>
      </c>
    </row>
    <row r="185" spans="1:25" x14ac:dyDescent="0.2">
      <c r="A185" t="s">
        <v>368</v>
      </c>
      <c r="B185" t="s">
        <v>49</v>
      </c>
      <c r="C185" t="s">
        <v>24</v>
      </c>
      <c r="D185">
        <v>3.5638022891145002E-3</v>
      </c>
      <c r="E185">
        <v>0.74972061784018895</v>
      </c>
      <c r="F185" t="s">
        <v>35</v>
      </c>
      <c r="G185">
        <v>62</v>
      </c>
      <c r="H185">
        <v>5.8979409827135997E-3</v>
      </c>
      <c r="I185" t="s">
        <v>42</v>
      </c>
      <c r="J185" t="b">
        <v>0</v>
      </c>
      <c r="K185">
        <v>207.36685476958201</v>
      </c>
      <c r="L185">
        <v>207.795426198153</v>
      </c>
      <c r="M185">
        <v>17.8058890838549</v>
      </c>
      <c r="N185" t="s">
        <v>26</v>
      </c>
      <c r="O185" t="s">
        <v>26</v>
      </c>
      <c r="P185" t="s">
        <v>450</v>
      </c>
      <c r="Q185">
        <f>-0.0299963551603943 - 0.0417922371258217</f>
        <v>-7.1788592286216008E-2</v>
      </c>
      <c r="R185" t="s">
        <v>32</v>
      </c>
      <c r="S185" t="s">
        <v>43</v>
      </c>
      <c r="T185" t="s">
        <v>26</v>
      </c>
      <c r="U185" t="s">
        <v>44</v>
      </c>
      <c r="V185">
        <v>3.5896185186583298</v>
      </c>
      <c r="W185">
        <v>1.83134163995449E-2</v>
      </c>
      <c r="X185" t="s">
        <v>371</v>
      </c>
      <c r="Y185" t="s">
        <v>31</v>
      </c>
    </row>
    <row r="186" spans="1:25" x14ac:dyDescent="0.2">
      <c r="A186" t="s">
        <v>368</v>
      </c>
      <c r="B186" t="s">
        <v>61</v>
      </c>
      <c r="C186" t="s">
        <v>24</v>
      </c>
      <c r="D186">
        <v>4.4355312729602303E-2</v>
      </c>
      <c r="E186">
        <v>0.17522377739996001</v>
      </c>
      <c r="F186" t="s">
        <v>35</v>
      </c>
      <c r="G186">
        <v>12</v>
      </c>
      <c r="H186">
        <v>-1.97372218080058E-2</v>
      </c>
      <c r="I186" t="s">
        <v>36</v>
      </c>
      <c r="J186" t="b">
        <v>0</v>
      </c>
      <c r="K186">
        <v>266.03372521511602</v>
      </c>
      <c r="L186">
        <v>266.33372521511598</v>
      </c>
      <c r="M186">
        <v>12.8215714154209</v>
      </c>
      <c r="N186" t="s">
        <v>26</v>
      </c>
      <c r="O186" t="s">
        <v>26</v>
      </c>
      <c r="P186" t="s">
        <v>394</v>
      </c>
      <c r="Q186">
        <f>-0.0477802925048613 - 0.0083058488888498</f>
        <v>-5.6086141393711098E-2</v>
      </c>
      <c r="R186" t="s">
        <v>27</v>
      </c>
      <c r="S186" t="s">
        <v>37</v>
      </c>
      <c r="T186" t="s">
        <v>38</v>
      </c>
      <c r="U186" t="s">
        <v>576</v>
      </c>
      <c r="V186">
        <v>4.4771756031169199</v>
      </c>
      <c r="W186">
        <v>1.43076891310488E-2</v>
      </c>
      <c r="X186" t="s">
        <v>371</v>
      </c>
      <c r="Y186" t="s">
        <v>31</v>
      </c>
    </row>
    <row r="187" spans="1:25" x14ac:dyDescent="0.2">
      <c r="A187" t="s">
        <v>368</v>
      </c>
      <c r="B187" t="s">
        <v>164</v>
      </c>
      <c r="C187" t="s">
        <v>24</v>
      </c>
      <c r="D187">
        <v>6.20007573724769E-2</v>
      </c>
      <c r="E187">
        <v>0.14917995149416299</v>
      </c>
      <c r="F187" t="s">
        <v>35</v>
      </c>
      <c r="G187">
        <v>57</v>
      </c>
      <c r="H187">
        <v>-3.0236435394426799E-2</v>
      </c>
      <c r="I187" t="s">
        <v>39</v>
      </c>
      <c r="J187" t="b">
        <v>0</v>
      </c>
      <c r="K187">
        <v>225.766669733697</v>
      </c>
      <c r="L187">
        <v>226.141669733697</v>
      </c>
      <c r="M187">
        <v>15.5314550399239</v>
      </c>
      <c r="N187" t="s">
        <v>26</v>
      </c>
      <c r="O187" t="s">
        <v>26</v>
      </c>
      <c r="P187" t="s">
        <v>460</v>
      </c>
      <c r="Q187">
        <f>-0.070363042381188 - 0.00989017159233434</f>
        <v>-8.0253213973522336E-2</v>
      </c>
      <c r="R187" t="s">
        <v>34</v>
      </c>
      <c r="S187" t="s">
        <v>40</v>
      </c>
      <c r="T187" t="s">
        <v>41</v>
      </c>
      <c r="U187" t="s">
        <v>577</v>
      </c>
      <c r="V187">
        <v>4.4476024743535802</v>
      </c>
      <c r="W187">
        <v>2.0472758666714899E-2</v>
      </c>
      <c r="X187" t="s">
        <v>371</v>
      </c>
      <c r="Y187" t="s">
        <v>31</v>
      </c>
    </row>
    <row r="188" spans="1:25" x14ac:dyDescent="0.2">
      <c r="A188" t="s">
        <v>368</v>
      </c>
      <c r="B188" t="s">
        <v>124</v>
      </c>
      <c r="C188" t="s">
        <v>24</v>
      </c>
      <c r="D188">
        <v>5.1303424001892202E-2</v>
      </c>
      <c r="E188">
        <v>0.165568740786732</v>
      </c>
      <c r="F188" t="s">
        <v>35</v>
      </c>
      <c r="G188">
        <v>23</v>
      </c>
      <c r="H188">
        <v>-1.5997113916749101E-2</v>
      </c>
      <c r="I188" t="s">
        <v>39</v>
      </c>
      <c r="J188" t="b">
        <v>0</v>
      </c>
      <c r="K188">
        <v>249.628554666279</v>
      </c>
      <c r="L188">
        <v>249.961887999613</v>
      </c>
      <c r="M188">
        <v>18.157215081407902</v>
      </c>
      <c r="N188" t="s">
        <v>26</v>
      </c>
      <c r="O188" t="s">
        <v>26</v>
      </c>
      <c r="P188" t="s">
        <v>440</v>
      </c>
      <c r="Q188">
        <f>-0.0381631143742695 - 0.00616888654077129</f>
        <v>-4.433200091504079E-2</v>
      </c>
      <c r="R188" t="s">
        <v>33</v>
      </c>
      <c r="S188" t="s">
        <v>40</v>
      </c>
      <c r="T188" t="s">
        <v>41</v>
      </c>
      <c r="U188" t="s">
        <v>578</v>
      </c>
      <c r="V188">
        <v>4.5059972723825998</v>
      </c>
      <c r="W188">
        <v>1.1309183906898199E-2</v>
      </c>
      <c r="X188" t="s">
        <v>371</v>
      </c>
      <c r="Y188" t="s">
        <v>31</v>
      </c>
    </row>
    <row r="189" spans="1:25" x14ac:dyDescent="0.2">
      <c r="A189" t="s">
        <v>368</v>
      </c>
      <c r="B189" t="s">
        <v>86</v>
      </c>
      <c r="C189" t="s">
        <v>24</v>
      </c>
      <c r="D189">
        <v>2.8805480337227501E-2</v>
      </c>
      <c r="E189">
        <v>0.30162950872734701</v>
      </c>
      <c r="F189" t="s">
        <v>35</v>
      </c>
      <c r="G189">
        <v>28</v>
      </c>
      <c r="H189">
        <v>-1.01244133639677E-2</v>
      </c>
      <c r="I189" t="s">
        <v>42</v>
      </c>
      <c r="J189" t="b">
        <v>0</v>
      </c>
      <c r="K189">
        <v>250.54262731396199</v>
      </c>
      <c r="L189">
        <v>250.87596064729601</v>
      </c>
      <c r="M189">
        <v>19.331835954906001</v>
      </c>
      <c r="N189" t="s">
        <v>26</v>
      </c>
      <c r="O189" t="s">
        <v>26</v>
      </c>
      <c r="P189" t="s">
        <v>374</v>
      </c>
      <c r="Q189">
        <f>-0.029067058719906 - 0.00881823199197054</f>
        <v>-3.7885290711876539E-2</v>
      </c>
      <c r="R189" t="s">
        <v>33</v>
      </c>
      <c r="S189" t="s">
        <v>43</v>
      </c>
      <c r="T189" t="s">
        <v>26</v>
      </c>
      <c r="U189" t="s">
        <v>44</v>
      </c>
      <c r="V189">
        <v>4.0446014370001304</v>
      </c>
      <c r="W189">
        <v>9.6646149775194996E-3</v>
      </c>
      <c r="X189" t="s">
        <v>371</v>
      </c>
      <c r="Y189" t="s">
        <v>31</v>
      </c>
    </row>
    <row r="190" spans="1:25" x14ac:dyDescent="0.2">
      <c r="A190" t="s">
        <v>368</v>
      </c>
      <c r="B190" t="s">
        <v>86</v>
      </c>
      <c r="C190" t="s">
        <v>24</v>
      </c>
      <c r="D190">
        <v>8.9097858827278803E-2</v>
      </c>
      <c r="E190">
        <v>6.4926074177881404E-2</v>
      </c>
      <c r="F190" t="s">
        <v>35</v>
      </c>
      <c r="G190">
        <v>28</v>
      </c>
      <c r="H190">
        <v>-2.5190292844584301E-2</v>
      </c>
      <c r="I190" t="s">
        <v>36</v>
      </c>
      <c r="J190" t="b">
        <v>0</v>
      </c>
      <c r="K190">
        <v>245.55678076464901</v>
      </c>
      <c r="L190">
        <v>245.89011409798201</v>
      </c>
      <c r="M190">
        <v>14.345989405592</v>
      </c>
      <c r="N190" t="s">
        <v>26</v>
      </c>
      <c r="O190" t="s">
        <v>26</v>
      </c>
      <c r="P190" t="s">
        <v>374</v>
      </c>
      <c r="Q190">
        <f>-0.0511434773042861 - 0.000762891615117597</f>
        <v>-5.19063689194037E-2</v>
      </c>
      <c r="R190" t="s">
        <v>33</v>
      </c>
      <c r="S190" t="s">
        <v>37</v>
      </c>
      <c r="T190" t="s">
        <v>38</v>
      </c>
      <c r="U190" t="s">
        <v>579</v>
      </c>
      <c r="V190">
        <v>4.7327479242289998</v>
      </c>
      <c r="W190">
        <v>1.3241420642705001E-2</v>
      </c>
      <c r="X190" t="s">
        <v>371</v>
      </c>
      <c r="Y190" t="s">
        <v>31</v>
      </c>
    </row>
    <row r="191" spans="1:25" x14ac:dyDescent="0.2">
      <c r="A191" t="s">
        <v>368</v>
      </c>
      <c r="B191" t="s">
        <v>53</v>
      </c>
      <c r="C191" t="s">
        <v>24</v>
      </c>
      <c r="D191">
        <v>0.17657961553074</v>
      </c>
      <c r="E191">
        <v>0.198164827535841</v>
      </c>
      <c r="F191" t="s">
        <v>35</v>
      </c>
      <c r="G191">
        <v>34</v>
      </c>
      <c r="H191">
        <v>-5.1050114811035403</v>
      </c>
      <c r="I191" t="s">
        <v>42</v>
      </c>
      <c r="J191" t="b">
        <v>0</v>
      </c>
      <c r="K191">
        <v>69.237701068205496</v>
      </c>
      <c r="L191">
        <v>70.737701068205496</v>
      </c>
      <c r="M191">
        <v>6.0049901844791899E-2</v>
      </c>
      <c r="N191" t="s">
        <v>26</v>
      </c>
      <c r="O191" t="s">
        <v>26</v>
      </c>
      <c r="P191" t="s">
        <v>398</v>
      </c>
      <c r="Q191">
        <f>-12.3073256796537 - 2.09730271744665</f>
        <v>-14.40462839710035</v>
      </c>
      <c r="R191" t="s">
        <v>33</v>
      </c>
      <c r="S191" t="s">
        <v>43</v>
      </c>
      <c r="T191" t="s">
        <v>26</v>
      </c>
      <c r="U191" t="s">
        <v>44</v>
      </c>
      <c r="V191">
        <v>7.7259234671236996</v>
      </c>
      <c r="W191">
        <v>3.6746501013011201</v>
      </c>
      <c r="X191" t="s">
        <v>371</v>
      </c>
      <c r="Y191" t="s">
        <v>31</v>
      </c>
    </row>
    <row r="192" spans="1:25" x14ac:dyDescent="0.2">
      <c r="A192" t="s">
        <v>368</v>
      </c>
      <c r="B192" t="s">
        <v>105</v>
      </c>
      <c r="C192" t="s">
        <v>24</v>
      </c>
      <c r="D192">
        <v>0.26153463396871901</v>
      </c>
      <c r="E192">
        <v>7.4053833604746294E-2</v>
      </c>
      <c r="F192" t="s">
        <v>35</v>
      </c>
      <c r="G192">
        <v>55</v>
      </c>
      <c r="H192">
        <v>-9.1375387332698996E-2</v>
      </c>
      <c r="I192" t="s">
        <v>36</v>
      </c>
      <c r="J192" t="b">
        <v>0</v>
      </c>
      <c r="K192">
        <v>91.346597086161793</v>
      </c>
      <c r="L192">
        <v>92.546597086161796</v>
      </c>
      <c r="M192">
        <v>3.2165754952207899</v>
      </c>
      <c r="N192" t="s">
        <v>26</v>
      </c>
      <c r="O192" t="s">
        <v>26</v>
      </c>
      <c r="P192" t="s">
        <v>434</v>
      </c>
      <c r="Q192">
        <f>-0.182113433002214 - -0.000637341663183633</f>
        <v>-0.18147609133903037</v>
      </c>
      <c r="R192" t="s">
        <v>32</v>
      </c>
      <c r="S192" t="s">
        <v>37</v>
      </c>
      <c r="T192" t="s">
        <v>38</v>
      </c>
      <c r="U192" t="s">
        <v>580</v>
      </c>
      <c r="V192">
        <v>9.5769941992319207</v>
      </c>
      <c r="W192">
        <v>4.6294921259956802E-2</v>
      </c>
      <c r="X192" t="s">
        <v>371</v>
      </c>
      <c r="Y192" t="s">
        <v>31</v>
      </c>
    </row>
    <row r="193" spans="1:25" x14ac:dyDescent="0.2">
      <c r="A193" t="s">
        <v>368</v>
      </c>
      <c r="B193" t="s">
        <v>65</v>
      </c>
      <c r="C193" t="s">
        <v>24</v>
      </c>
      <c r="D193">
        <v>1.3522452098364999E-3</v>
      </c>
      <c r="E193">
        <v>0.82892820056321803</v>
      </c>
      <c r="F193" t="s">
        <v>35</v>
      </c>
      <c r="G193">
        <v>39</v>
      </c>
      <c r="H193">
        <v>-3.5985740333748998E-3</v>
      </c>
      <c r="I193" t="s">
        <v>39</v>
      </c>
      <c r="J193" t="b">
        <v>0</v>
      </c>
      <c r="K193">
        <v>238.14803562112601</v>
      </c>
      <c r="L193">
        <v>238.500976797596</v>
      </c>
      <c r="M193">
        <v>15.6477179222169</v>
      </c>
      <c r="N193" t="s">
        <v>26</v>
      </c>
      <c r="O193" t="s">
        <v>26</v>
      </c>
      <c r="P193" t="s">
        <v>481</v>
      </c>
      <c r="Q193">
        <f>-0.0359975236257157 - 0.0288003755589658</f>
        <v>-6.4797899184681498E-2</v>
      </c>
      <c r="R193" t="s">
        <v>27</v>
      </c>
      <c r="S193" t="s">
        <v>40</v>
      </c>
      <c r="T193" t="s">
        <v>41</v>
      </c>
      <c r="U193" t="s">
        <v>581</v>
      </c>
      <c r="V193">
        <v>4.3882900996813596</v>
      </c>
      <c r="W193">
        <v>1.6530076322622801E-2</v>
      </c>
      <c r="X193" t="s">
        <v>371</v>
      </c>
      <c r="Y193" t="s">
        <v>31</v>
      </c>
    </row>
    <row r="194" spans="1:25" x14ac:dyDescent="0.2">
      <c r="A194" t="s">
        <v>368</v>
      </c>
      <c r="B194" t="s">
        <v>61</v>
      </c>
      <c r="C194" t="s">
        <v>24</v>
      </c>
      <c r="D194">
        <v>2.3351652782455799E-2</v>
      </c>
      <c r="E194">
        <v>0.32792988751547802</v>
      </c>
      <c r="F194" t="s">
        <v>35</v>
      </c>
      <c r="G194">
        <v>12</v>
      </c>
      <c r="H194">
        <v>-9.5609127248734004E-3</v>
      </c>
      <c r="I194" t="s">
        <v>42</v>
      </c>
      <c r="J194" t="b">
        <v>0</v>
      </c>
      <c r="K194">
        <v>268.44494032313497</v>
      </c>
      <c r="L194">
        <v>268.74494032313498</v>
      </c>
      <c r="M194">
        <v>15.2327865234399</v>
      </c>
      <c r="N194" t="s">
        <v>26</v>
      </c>
      <c r="O194" t="s">
        <v>26</v>
      </c>
      <c r="P194" t="s">
        <v>394</v>
      </c>
      <c r="Q194">
        <f>-0.0284875646110769 - 0.00936573916132988</f>
        <v>-3.7853303772406782E-2</v>
      </c>
      <c r="R194" t="s">
        <v>27</v>
      </c>
      <c r="S194" t="s">
        <v>43</v>
      </c>
      <c r="T194" t="s">
        <v>26</v>
      </c>
      <c r="U194" t="s">
        <v>44</v>
      </c>
      <c r="V194">
        <v>4.0238695702939697</v>
      </c>
      <c r="W194">
        <v>9.6564550439813008E-3</v>
      </c>
      <c r="X194" t="s">
        <v>371</v>
      </c>
      <c r="Y194" t="s">
        <v>31</v>
      </c>
    </row>
    <row r="195" spans="1:25" x14ac:dyDescent="0.2">
      <c r="A195" t="s">
        <v>368</v>
      </c>
      <c r="B195" t="s">
        <v>111</v>
      </c>
      <c r="C195" t="s">
        <v>24</v>
      </c>
      <c r="D195">
        <v>3.0414245523919001E-3</v>
      </c>
      <c r="E195">
        <v>0.72540228107530202</v>
      </c>
      <c r="F195" t="s">
        <v>35</v>
      </c>
      <c r="G195">
        <v>11</v>
      </c>
      <c r="H195">
        <v>-1.54051561958775E-2</v>
      </c>
      <c r="I195" t="s">
        <v>42</v>
      </c>
      <c r="J195" t="b">
        <v>0</v>
      </c>
      <c r="K195">
        <v>270.16095452385201</v>
      </c>
      <c r="L195">
        <v>270.46095452385202</v>
      </c>
      <c r="M195">
        <v>17.706672682802001</v>
      </c>
      <c r="N195" t="s">
        <v>26</v>
      </c>
      <c r="O195" t="s">
        <v>26</v>
      </c>
      <c r="P195" t="s">
        <v>438</v>
      </c>
      <c r="Q195">
        <f>-0.100780070738442 - 0.0699697583466873</f>
        <v>-0.17074982908512931</v>
      </c>
      <c r="R195" t="s">
        <v>27</v>
      </c>
      <c r="S195" t="s">
        <v>43</v>
      </c>
      <c r="T195" t="s">
        <v>26</v>
      </c>
      <c r="U195" t="s">
        <v>44</v>
      </c>
      <c r="V195">
        <v>3.7655636956601799</v>
      </c>
      <c r="W195">
        <v>4.3558629868655503E-2</v>
      </c>
      <c r="X195" t="s">
        <v>371</v>
      </c>
      <c r="Y195" t="s">
        <v>31</v>
      </c>
    </row>
    <row r="196" spans="1:25" x14ac:dyDescent="0.2">
      <c r="A196" t="s">
        <v>368</v>
      </c>
      <c r="B196" t="s">
        <v>120</v>
      </c>
      <c r="C196" t="s">
        <v>24</v>
      </c>
      <c r="D196">
        <v>4.6009648038638998E-3</v>
      </c>
      <c r="E196">
        <v>0.75845027000148202</v>
      </c>
      <c r="F196" t="s">
        <v>35</v>
      </c>
      <c r="G196">
        <v>10</v>
      </c>
      <c r="H196">
        <v>-2.9616594469947001E-3</v>
      </c>
      <c r="I196" t="s">
        <v>36</v>
      </c>
      <c r="J196" t="b">
        <v>0</v>
      </c>
      <c r="K196">
        <v>154.270143243098</v>
      </c>
      <c r="L196">
        <v>154.870143243098</v>
      </c>
      <c r="M196">
        <v>9.4893173611509898</v>
      </c>
      <c r="N196" t="s">
        <v>26</v>
      </c>
      <c r="O196" t="s">
        <v>26</v>
      </c>
      <c r="P196" t="s">
        <v>412</v>
      </c>
      <c r="Q196">
        <f>-0.021593497253767 - 0.0156701783597775</f>
        <v>-3.7263675613544503E-2</v>
      </c>
      <c r="R196" t="s">
        <v>32</v>
      </c>
      <c r="S196" t="s">
        <v>37</v>
      </c>
      <c r="T196" t="s">
        <v>38</v>
      </c>
      <c r="U196" t="s">
        <v>582</v>
      </c>
      <c r="V196">
        <v>3.7496492327311102</v>
      </c>
      <c r="W196">
        <v>9.5060396973326994E-3</v>
      </c>
      <c r="X196" t="s">
        <v>371</v>
      </c>
      <c r="Y196" t="s">
        <v>31</v>
      </c>
    </row>
    <row r="197" spans="1:25" x14ac:dyDescent="0.2">
      <c r="A197" t="s">
        <v>368</v>
      </c>
      <c r="B197" t="s">
        <v>164</v>
      </c>
      <c r="C197" t="s">
        <v>24</v>
      </c>
      <c r="D197">
        <v>6.6350706145905394E-2</v>
      </c>
      <c r="E197">
        <v>0.13520254823573799</v>
      </c>
      <c r="F197" t="s">
        <v>35</v>
      </c>
      <c r="G197">
        <v>57</v>
      </c>
      <c r="H197">
        <v>-4.1509548681518599E-2</v>
      </c>
      <c r="I197" t="s">
        <v>36</v>
      </c>
      <c r="J197" t="b">
        <v>0</v>
      </c>
      <c r="K197">
        <v>222.93427455161199</v>
      </c>
      <c r="L197">
        <v>223.30927455161199</v>
      </c>
      <c r="M197">
        <v>12.6990598578389</v>
      </c>
      <c r="N197" t="s">
        <v>26</v>
      </c>
      <c r="O197" t="s">
        <v>26</v>
      </c>
      <c r="P197" t="s">
        <v>460</v>
      </c>
      <c r="Q197">
        <f>-0.094636662709857 - 0.0116175653468197</f>
        <v>-0.1062542280566767</v>
      </c>
      <c r="R197" t="s">
        <v>34</v>
      </c>
      <c r="S197" t="s">
        <v>37</v>
      </c>
      <c r="T197" t="s">
        <v>38</v>
      </c>
      <c r="U197" t="s">
        <v>583</v>
      </c>
      <c r="V197">
        <v>4.9111630440763703</v>
      </c>
      <c r="W197">
        <v>2.7105670422621599E-2</v>
      </c>
      <c r="X197" t="s">
        <v>371</v>
      </c>
      <c r="Y197" t="s">
        <v>31</v>
      </c>
    </row>
    <row r="198" spans="1:25" x14ac:dyDescent="0.2">
      <c r="A198" t="s">
        <v>368</v>
      </c>
      <c r="B198" t="s">
        <v>170</v>
      </c>
      <c r="C198" t="s">
        <v>24</v>
      </c>
      <c r="D198" s="1">
        <v>2.07622901134119E-5</v>
      </c>
      <c r="E198">
        <v>0.97773829020191605</v>
      </c>
      <c r="F198" t="s">
        <v>35</v>
      </c>
      <c r="G198">
        <v>41</v>
      </c>
      <c r="H198">
        <v>2.4550301104240001E-4</v>
      </c>
      <c r="I198" t="s">
        <v>36</v>
      </c>
      <c r="J198" t="b">
        <v>0</v>
      </c>
      <c r="K198">
        <v>252.81904606515101</v>
      </c>
      <c r="L198">
        <v>253.14337038947599</v>
      </c>
      <c r="M198">
        <v>15.2014231016169</v>
      </c>
      <c r="N198" t="s">
        <v>26</v>
      </c>
      <c r="O198" t="s">
        <v>26</v>
      </c>
      <c r="P198" t="s">
        <v>432</v>
      </c>
      <c r="Q198">
        <f>-0.0168853488663449 - 0.0173763548884298</f>
        <v>-3.4261703754774699E-2</v>
      </c>
      <c r="R198" t="s">
        <v>32</v>
      </c>
      <c r="S198" t="s">
        <v>37</v>
      </c>
      <c r="T198" t="s">
        <v>38</v>
      </c>
      <c r="U198" t="s">
        <v>584</v>
      </c>
      <c r="V198">
        <v>3.5572364244144299</v>
      </c>
      <c r="W198">
        <v>8.7402305496873996E-3</v>
      </c>
      <c r="X198" t="s">
        <v>371</v>
      </c>
      <c r="Y198" t="s">
        <v>31</v>
      </c>
    </row>
    <row r="199" spans="1:25" x14ac:dyDescent="0.2">
      <c r="A199" t="s">
        <v>368</v>
      </c>
      <c r="B199" t="s">
        <v>113</v>
      </c>
      <c r="C199" t="s">
        <v>24</v>
      </c>
      <c r="D199">
        <v>1.244385982008E-4</v>
      </c>
      <c r="E199">
        <v>0.948515555683481</v>
      </c>
      <c r="F199" t="s">
        <v>35</v>
      </c>
      <c r="G199">
        <v>57</v>
      </c>
      <c r="H199">
        <v>-7.2763500356709998E-4</v>
      </c>
      <c r="I199" t="s">
        <v>39</v>
      </c>
      <c r="J199" t="b">
        <v>0</v>
      </c>
      <c r="K199">
        <v>232.497039026761</v>
      </c>
      <c r="L199">
        <v>232.86067539039701</v>
      </c>
      <c r="M199">
        <v>15.745262021436</v>
      </c>
      <c r="N199" t="s">
        <v>26</v>
      </c>
      <c r="O199" t="s">
        <v>26</v>
      </c>
      <c r="P199" t="s">
        <v>426</v>
      </c>
      <c r="Q199">
        <f>-0.0226519290232189 - 0.0211966590160847</f>
        <v>-4.3848588039303596E-2</v>
      </c>
      <c r="R199" t="s">
        <v>34</v>
      </c>
      <c r="S199" t="s">
        <v>40</v>
      </c>
      <c r="T199" t="s">
        <v>41</v>
      </c>
      <c r="U199" t="s">
        <v>585</v>
      </c>
      <c r="V199">
        <v>4.6700042125785401</v>
      </c>
      <c r="W199">
        <v>1.11858642957407E-2</v>
      </c>
      <c r="X199" t="s">
        <v>371</v>
      </c>
      <c r="Y199" t="s">
        <v>31</v>
      </c>
    </row>
    <row r="200" spans="1:25" x14ac:dyDescent="0.2">
      <c r="A200" t="s">
        <v>368</v>
      </c>
      <c r="B200" t="s">
        <v>166</v>
      </c>
      <c r="C200" t="s">
        <v>24</v>
      </c>
      <c r="D200">
        <v>1.3627741837597299E-2</v>
      </c>
      <c r="E200">
        <v>0.57840724516806796</v>
      </c>
      <c r="F200" t="s">
        <v>35</v>
      </c>
      <c r="G200">
        <v>48</v>
      </c>
      <c r="H200">
        <v>2.2100688164757801E-2</v>
      </c>
      <c r="I200" t="s">
        <v>42</v>
      </c>
      <c r="J200" t="b">
        <v>0</v>
      </c>
      <c r="K200">
        <v>173.67183141623499</v>
      </c>
      <c r="L200">
        <v>174.21728596169001</v>
      </c>
      <c r="M200">
        <v>15.333509915663999</v>
      </c>
      <c r="N200" t="s">
        <v>26</v>
      </c>
      <c r="O200" t="s">
        <v>26</v>
      </c>
      <c r="P200" t="s">
        <v>376</v>
      </c>
      <c r="Q200">
        <f>-0.0547426859238132 - 0.0989440622533288</f>
        <v>-0.15368674817714201</v>
      </c>
      <c r="R200" t="s">
        <v>34</v>
      </c>
      <c r="S200" t="s">
        <v>43</v>
      </c>
      <c r="T200" t="s">
        <v>26</v>
      </c>
      <c r="U200" t="s">
        <v>44</v>
      </c>
      <c r="V200">
        <v>4.7306835240746903</v>
      </c>
      <c r="W200">
        <v>3.9205803106413799E-2</v>
      </c>
      <c r="X200" t="s">
        <v>371</v>
      </c>
      <c r="Y200" t="s">
        <v>31</v>
      </c>
    </row>
    <row r="201" spans="1:25" x14ac:dyDescent="0.2">
      <c r="A201" t="s">
        <v>368</v>
      </c>
      <c r="B201" t="s">
        <v>88</v>
      </c>
      <c r="C201" t="s">
        <v>24</v>
      </c>
      <c r="D201">
        <v>9.9719576359105694E-2</v>
      </c>
      <c r="E201">
        <v>0.79546495971513698</v>
      </c>
      <c r="F201" t="s">
        <v>35</v>
      </c>
      <c r="G201">
        <v>41</v>
      </c>
      <c r="H201">
        <v>-8.2537852077819995E-4</v>
      </c>
      <c r="I201" t="s">
        <v>25</v>
      </c>
      <c r="J201" t="b">
        <v>0</v>
      </c>
      <c r="K201">
        <v>14.477877967886201</v>
      </c>
      <c r="L201" t="s">
        <v>464</v>
      </c>
      <c r="N201" t="s">
        <v>26</v>
      </c>
      <c r="O201" t="s">
        <v>26</v>
      </c>
      <c r="P201" t="s">
        <v>465</v>
      </c>
      <c r="Q201">
        <f>-0.00568618045612823 - 0.00403542341457181</f>
        <v>-9.7216038707000386E-3</v>
      </c>
      <c r="R201" t="s">
        <v>34</v>
      </c>
      <c r="S201" t="s">
        <v>28</v>
      </c>
      <c r="T201" t="s">
        <v>29</v>
      </c>
      <c r="U201" t="s">
        <v>501</v>
      </c>
      <c r="V201">
        <v>1.85147390027728</v>
      </c>
      <c r="W201">
        <v>2.4800009874234E-3</v>
      </c>
      <c r="X201" t="s">
        <v>371</v>
      </c>
      <c r="Y201" t="s">
        <v>31</v>
      </c>
    </row>
    <row r="202" spans="1:25" x14ac:dyDescent="0.2">
      <c r="A202" t="s">
        <v>368</v>
      </c>
      <c r="B202" t="s">
        <v>168</v>
      </c>
      <c r="C202" t="s">
        <v>24</v>
      </c>
      <c r="D202">
        <v>3.7922943108699501E-2</v>
      </c>
      <c r="E202">
        <v>0.36184133407255697</v>
      </c>
      <c r="F202" t="s">
        <v>35</v>
      </c>
      <c r="G202">
        <v>39</v>
      </c>
      <c r="H202">
        <v>-0.62070392192415902</v>
      </c>
      <c r="I202" t="s">
        <v>42</v>
      </c>
      <c r="J202" t="b">
        <v>0</v>
      </c>
      <c r="K202">
        <v>160.31407846716201</v>
      </c>
      <c r="L202">
        <v>160.88550703858999</v>
      </c>
      <c r="M202">
        <v>8.3472856070029806</v>
      </c>
      <c r="N202" t="s">
        <v>26</v>
      </c>
      <c r="O202" t="s">
        <v>26</v>
      </c>
      <c r="P202" t="s">
        <v>400</v>
      </c>
      <c r="Q202">
        <f>-1.92712485969238 - 0.685717015844058</f>
        <v>-2.612841875536438</v>
      </c>
      <c r="R202" t="s">
        <v>27</v>
      </c>
      <c r="S202" t="s">
        <v>43</v>
      </c>
      <c r="T202" t="s">
        <v>26</v>
      </c>
      <c r="U202" t="s">
        <v>44</v>
      </c>
      <c r="V202">
        <v>4.8905890303534001</v>
      </c>
      <c r="W202">
        <v>0.66654129477970303</v>
      </c>
      <c r="X202" t="s">
        <v>371</v>
      </c>
      <c r="Y202" t="s">
        <v>31</v>
      </c>
    </row>
    <row r="203" spans="1:25" x14ac:dyDescent="0.2">
      <c r="A203" t="s">
        <v>368</v>
      </c>
      <c r="B203" t="s">
        <v>99</v>
      </c>
      <c r="C203" t="s">
        <v>24</v>
      </c>
      <c r="D203">
        <v>3.0766742889534E-3</v>
      </c>
      <c r="E203">
        <v>0.78783091557501095</v>
      </c>
      <c r="F203" t="s">
        <v>35</v>
      </c>
      <c r="G203">
        <v>57</v>
      </c>
      <c r="H203">
        <v>1.25392305712445E-2</v>
      </c>
      <c r="I203" t="s">
        <v>39</v>
      </c>
      <c r="J203" t="b">
        <v>0</v>
      </c>
      <c r="K203">
        <v>159.89389661979899</v>
      </c>
      <c r="L203">
        <v>160.41563575023301</v>
      </c>
      <c r="M203">
        <v>14.138622145708</v>
      </c>
      <c r="N203" t="s">
        <v>26</v>
      </c>
      <c r="O203" t="s">
        <v>26</v>
      </c>
      <c r="P203" t="s">
        <v>390</v>
      </c>
      <c r="Q203">
        <f>-0.077765698621884 - 0.102844159764373</f>
        <v>-0.18060985838625698</v>
      </c>
      <c r="R203" t="s">
        <v>33</v>
      </c>
      <c r="S203" t="s">
        <v>40</v>
      </c>
      <c r="T203" t="s">
        <v>41</v>
      </c>
      <c r="U203" t="s">
        <v>586</v>
      </c>
      <c r="V203">
        <v>4.2870761055862596</v>
      </c>
      <c r="W203">
        <v>4.6073943465881902E-2</v>
      </c>
      <c r="X203" t="s">
        <v>371</v>
      </c>
      <c r="Y203" t="s">
        <v>31</v>
      </c>
    </row>
    <row r="204" spans="1:25" x14ac:dyDescent="0.2">
      <c r="A204" t="s">
        <v>368</v>
      </c>
      <c r="B204" t="s">
        <v>134</v>
      </c>
      <c r="C204" t="s">
        <v>24</v>
      </c>
      <c r="D204">
        <v>0.120449309418953</v>
      </c>
      <c r="E204">
        <v>0.187835432517375</v>
      </c>
      <c r="F204" t="s">
        <v>35</v>
      </c>
      <c r="G204">
        <v>22</v>
      </c>
      <c r="H204">
        <v>5.0233520912428602E-2</v>
      </c>
      <c r="I204" t="s">
        <v>42</v>
      </c>
      <c r="J204" t="b">
        <v>0</v>
      </c>
      <c r="K204">
        <v>116.791608603263</v>
      </c>
      <c r="L204">
        <v>117.71468552634001</v>
      </c>
      <c r="M204">
        <v>10.827612943941</v>
      </c>
      <c r="N204" t="s">
        <v>26</v>
      </c>
      <c r="O204" t="s">
        <v>26</v>
      </c>
      <c r="P204" t="s">
        <v>372</v>
      </c>
      <c r="Q204">
        <f>-0.0208737404737685 - 0.121340782298626</f>
        <v>-0.14221452277239449</v>
      </c>
      <c r="R204" t="s">
        <v>27</v>
      </c>
      <c r="S204" t="s">
        <v>43</v>
      </c>
      <c r="T204" t="s">
        <v>26</v>
      </c>
      <c r="U204" t="s">
        <v>44</v>
      </c>
      <c r="V204">
        <v>4.2862960209073204</v>
      </c>
      <c r="W204">
        <v>3.6279214992957699E-2</v>
      </c>
      <c r="X204" t="s">
        <v>371</v>
      </c>
      <c r="Y204" t="s">
        <v>31</v>
      </c>
    </row>
    <row r="205" spans="1:25" x14ac:dyDescent="0.2">
      <c r="A205" t="s">
        <v>368</v>
      </c>
      <c r="B205" t="s">
        <v>140</v>
      </c>
      <c r="C205" t="s">
        <v>24</v>
      </c>
      <c r="D205">
        <v>0.17451278099767101</v>
      </c>
      <c r="E205">
        <v>0.40983021492666399</v>
      </c>
      <c r="F205" t="s">
        <v>35</v>
      </c>
      <c r="G205">
        <v>55</v>
      </c>
      <c r="H205">
        <v>-1.02023247303425E-2</v>
      </c>
      <c r="I205" t="s">
        <v>36</v>
      </c>
      <c r="J205" t="b">
        <v>0</v>
      </c>
      <c r="K205">
        <v>38.202554836135398</v>
      </c>
      <c r="L205">
        <v>42.202554836135398</v>
      </c>
      <c r="M205">
        <v>0</v>
      </c>
      <c r="N205" t="s">
        <v>26</v>
      </c>
      <c r="O205" t="s">
        <v>26</v>
      </c>
      <c r="P205" t="s">
        <v>389</v>
      </c>
      <c r="Q205">
        <f>-0.031947693413347 - 0.011543043952662</f>
        <v>-4.3490737366009002E-2</v>
      </c>
      <c r="R205" t="s">
        <v>34</v>
      </c>
      <c r="S205" t="s">
        <v>37</v>
      </c>
      <c r="T205" t="s">
        <v>38</v>
      </c>
      <c r="U205" t="s">
        <v>495</v>
      </c>
      <c r="V205">
        <v>6.7061543627550604</v>
      </c>
      <c r="W205">
        <v>1.1094575858675799E-2</v>
      </c>
      <c r="X205" t="s">
        <v>371</v>
      </c>
      <c r="Y205" t="s">
        <v>31</v>
      </c>
    </row>
    <row r="206" spans="1:25" x14ac:dyDescent="0.2">
      <c r="A206" t="s">
        <v>368</v>
      </c>
      <c r="B206" t="s">
        <v>49</v>
      </c>
      <c r="C206" t="s">
        <v>24</v>
      </c>
      <c r="D206">
        <v>7.3332468448472996E-3</v>
      </c>
      <c r="E206">
        <v>0.64692253431953695</v>
      </c>
      <c r="F206" t="s">
        <v>35</v>
      </c>
      <c r="G206">
        <v>62</v>
      </c>
      <c r="H206">
        <v>1.46903976996051E-2</v>
      </c>
      <c r="I206" t="s">
        <v>36</v>
      </c>
      <c r="J206" t="b">
        <v>0</v>
      </c>
      <c r="K206">
        <v>203.96381946153599</v>
      </c>
      <c r="L206">
        <v>204.392390890108</v>
      </c>
      <c r="M206">
        <v>14.40285377581</v>
      </c>
      <c r="N206" t="s">
        <v>26</v>
      </c>
      <c r="O206" t="s">
        <v>26</v>
      </c>
      <c r="P206" t="s">
        <v>450</v>
      </c>
      <c r="Q206">
        <f>-0.0475173119468391 - 0.0768981073460493</f>
        <v>-0.12441541929288839</v>
      </c>
      <c r="R206" t="s">
        <v>32</v>
      </c>
      <c r="S206" t="s">
        <v>37</v>
      </c>
      <c r="T206" t="s">
        <v>38</v>
      </c>
      <c r="U206" t="s">
        <v>587</v>
      </c>
      <c r="V206">
        <v>3.5236342761599899</v>
      </c>
      <c r="W206">
        <v>3.1738627370634799E-2</v>
      </c>
      <c r="X206" t="s">
        <v>371</v>
      </c>
      <c r="Y206" t="s">
        <v>31</v>
      </c>
    </row>
    <row r="207" spans="1:25" x14ac:dyDescent="0.2">
      <c r="A207" t="s">
        <v>368</v>
      </c>
      <c r="B207" t="s">
        <v>57</v>
      </c>
      <c r="C207" t="s">
        <v>24</v>
      </c>
      <c r="D207">
        <v>0.12898470013084501</v>
      </c>
      <c r="E207">
        <v>0.13101668444486</v>
      </c>
      <c r="F207" t="s">
        <v>35</v>
      </c>
      <c r="G207">
        <v>22</v>
      </c>
      <c r="H207">
        <v>-5.4393958635588199E-2</v>
      </c>
      <c r="I207" t="s">
        <v>42</v>
      </c>
      <c r="J207" t="b">
        <v>0</v>
      </c>
      <c r="K207">
        <v>97.959976847470202</v>
      </c>
      <c r="L207">
        <v>98.709976847470202</v>
      </c>
      <c r="M207">
        <v>23.456536733179998</v>
      </c>
      <c r="N207" t="s">
        <v>26</v>
      </c>
      <c r="O207" t="s">
        <v>26</v>
      </c>
      <c r="P207" t="s">
        <v>416</v>
      </c>
      <c r="Q207">
        <f>-0.121587274001046 - 0.0127993567298698</f>
        <v>-0.13438663073091581</v>
      </c>
      <c r="R207" t="s">
        <v>34</v>
      </c>
      <c r="S207" t="s">
        <v>43</v>
      </c>
      <c r="T207" t="s">
        <v>26</v>
      </c>
      <c r="U207" t="s">
        <v>44</v>
      </c>
      <c r="V207">
        <v>3.25281462587518</v>
      </c>
      <c r="W207">
        <v>3.4282303757886698E-2</v>
      </c>
      <c r="X207" t="s">
        <v>371</v>
      </c>
      <c r="Y207" t="s">
        <v>31</v>
      </c>
    </row>
    <row r="208" spans="1:25" x14ac:dyDescent="0.2">
      <c r="A208" t="s">
        <v>368</v>
      </c>
      <c r="B208" t="s">
        <v>161</v>
      </c>
      <c r="C208" t="s">
        <v>24</v>
      </c>
      <c r="D208">
        <v>0.162815734998979</v>
      </c>
      <c r="E208">
        <v>2.7025577723010799E-2</v>
      </c>
      <c r="F208" t="s">
        <v>35</v>
      </c>
      <c r="G208">
        <v>45</v>
      </c>
      <c r="H208">
        <v>0.316544605825061</v>
      </c>
      <c r="I208" t="s">
        <v>36</v>
      </c>
      <c r="J208" t="b">
        <v>0</v>
      </c>
      <c r="K208">
        <v>196.92301658591199</v>
      </c>
      <c r="L208">
        <v>197.367461030356</v>
      </c>
      <c r="M208">
        <v>12.108411386700899</v>
      </c>
      <c r="N208" t="s">
        <v>26</v>
      </c>
      <c r="O208" t="s">
        <v>26</v>
      </c>
      <c r="P208" t="s">
        <v>430</v>
      </c>
      <c r="Q208" t="s">
        <v>588</v>
      </c>
      <c r="R208" t="s">
        <v>34</v>
      </c>
      <c r="S208" t="s">
        <v>37</v>
      </c>
      <c r="T208" t="s">
        <v>38</v>
      </c>
      <c r="U208" t="s">
        <v>589</v>
      </c>
      <c r="V208">
        <v>0.76029213922463601</v>
      </c>
      <c r="W208">
        <v>0.135649514282566</v>
      </c>
      <c r="X208" t="s">
        <v>371</v>
      </c>
      <c r="Y208" t="s">
        <v>31</v>
      </c>
    </row>
    <row r="209" spans="1:25" x14ac:dyDescent="0.2">
      <c r="A209" t="s">
        <v>368</v>
      </c>
      <c r="B209" t="s">
        <v>109</v>
      </c>
      <c r="C209" t="s">
        <v>24</v>
      </c>
      <c r="D209">
        <v>2.78103136063385E-2</v>
      </c>
      <c r="E209">
        <v>0.72081240507757305</v>
      </c>
      <c r="F209" t="s">
        <v>35</v>
      </c>
      <c r="G209">
        <v>49</v>
      </c>
      <c r="H209">
        <v>-2.6707313619715998E-3</v>
      </c>
      <c r="I209" t="s">
        <v>25</v>
      </c>
      <c r="J209" t="b">
        <v>0</v>
      </c>
      <c r="K209">
        <v>44.258469523915203</v>
      </c>
      <c r="L209">
        <v>47.258469523915203</v>
      </c>
      <c r="M209">
        <v>0</v>
      </c>
      <c r="N209" t="s">
        <v>26</v>
      </c>
      <c r="O209" t="s">
        <v>26</v>
      </c>
      <c r="P209" t="s">
        <v>475</v>
      </c>
      <c r="Q209">
        <f>-0.0165119343265941 - 0.0111704716026507</f>
        <v>-2.7682405929244799E-2</v>
      </c>
      <c r="R209" t="s">
        <v>27</v>
      </c>
      <c r="S209" t="s">
        <v>28</v>
      </c>
      <c r="T209" t="s">
        <v>29</v>
      </c>
      <c r="U209" t="s">
        <v>501</v>
      </c>
      <c r="V209">
        <v>6.0248581692253502</v>
      </c>
      <c r="W209">
        <v>7.0618382472562996E-3</v>
      </c>
      <c r="X209" t="s">
        <v>371</v>
      </c>
      <c r="Y209" t="s">
        <v>31</v>
      </c>
    </row>
    <row r="210" spans="1:25" x14ac:dyDescent="0.2">
      <c r="A210" t="s">
        <v>368</v>
      </c>
      <c r="B210" t="s">
        <v>57</v>
      </c>
      <c r="C210" t="s">
        <v>24</v>
      </c>
      <c r="D210">
        <v>0.12898470013084501</v>
      </c>
      <c r="E210">
        <v>0.13101668444486</v>
      </c>
      <c r="F210" t="s">
        <v>35</v>
      </c>
      <c r="G210">
        <v>22</v>
      </c>
      <c r="H210">
        <v>-5.4393958635588199E-2</v>
      </c>
      <c r="I210" t="s">
        <v>39</v>
      </c>
      <c r="J210" t="b">
        <v>0</v>
      </c>
      <c r="K210">
        <v>97.959976847470202</v>
      </c>
      <c r="L210">
        <v>98.709976847470202</v>
      </c>
      <c r="M210">
        <v>23.456536733179998</v>
      </c>
      <c r="N210" t="s">
        <v>26</v>
      </c>
      <c r="O210" t="s">
        <v>26</v>
      </c>
      <c r="P210" t="s">
        <v>416</v>
      </c>
      <c r="Q210">
        <f>-0.121587274001046 - 0.0127993567298698</f>
        <v>-0.13438663073091581</v>
      </c>
      <c r="R210" t="s">
        <v>34</v>
      </c>
      <c r="S210" t="s">
        <v>40</v>
      </c>
      <c r="T210" t="s">
        <v>41</v>
      </c>
      <c r="U210" t="s">
        <v>590</v>
      </c>
      <c r="V210">
        <v>3.25281462587518</v>
      </c>
      <c r="W210">
        <v>3.4282303757886698E-2</v>
      </c>
      <c r="X210" t="s">
        <v>371</v>
      </c>
      <c r="Y210" t="s">
        <v>31</v>
      </c>
    </row>
    <row r="211" spans="1:25" x14ac:dyDescent="0.2">
      <c r="A211" t="s">
        <v>368</v>
      </c>
      <c r="B211" t="s">
        <v>81</v>
      </c>
      <c r="C211" t="s">
        <v>24</v>
      </c>
      <c r="D211">
        <v>0.30020842487548299</v>
      </c>
      <c r="E211">
        <v>5.4202906456650001E-4</v>
      </c>
      <c r="F211" t="s">
        <v>35</v>
      </c>
      <c r="G211">
        <v>4</v>
      </c>
      <c r="H211">
        <v>1.34158391257715E-2</v>
      </c>
      <c r="I211" t="s">
        <v>42</v>
      </c>
      <c r="J211" t="b">
        <v>0</v>
      </c>
      <c r="K211">
        <v>223.25524474911001</v>
      </c>
      <c r="L211">
        <v>223.61888111274601</v>
      </c>
      <c r="M211">
        <v>22.591523791191001</v>
      </c>
      <c r="N211" t="s">
        <v>26</v>
      </c>
      <c r="O211" t="s">
        <v>26</v>
      </c>
      <c r="P211" t="s">
        <v>409</v>
      </c>
      <c r="Q211" t="s">
        <v>565</v>
      </c>
      <c r="R211" t="s">
        <v>33</v>
      </c>
      <c r="S211" t="s">
        <v>43</v>
      </c>
      <c r="T211" t="s">
        <v>26</v>
      </c>
      <c r="U211" t="s">
        <v>44</v>
      </c>
      <c r="V211">
        <v>2.0675529824018501</v>
      </c>
      <c r="W211">
        <v>3.5127828210072998E-3</v>
      </c>
      <c r="X211" t="s">
        <v>371</v>
      </c>
      <c r="Y211" t="s">
        <v>31</v>
      </c>
    </row>
    <row r="212" spans="1:25" x14ac:dyDescent="0.2">
      <c r="A212" t="s">
        <v>368</v>
      </c>
      <c r="B212" t="s">
        <v>157</v>
      </c>
      <c r="C212" t="s">
        <v>24</v>
      </c>
      <c r="D212">
        <v>8.3707581879707994E-3</v>
      </c>
      <c r="E212">
        <v>0.67070331882133205</v>
      </c>
      <c r="F212" t="s">
        <v>35</v>
      </c>
      <c r="G212">
        <v>43</v>
      </c>
      <c r="H212">
        <v>2.7813279164273E-3</v>
      </c>
      <c r="I212" t="s">
        <v>39</v>
      </c>
      <c r="J212" t="b">
        <v>0</v>
      </c>
      <c r="K212">
        <v>138.22059478263401</v>
      </c>
      <c r="L212">
        <v>138.79202335406299</v>
      </c>
      <c r="M212">
        <v>7.266124686165</v>
      </c>
      <c r="N212" t="s">
        <v>26</v>
      </c>
      <c r="O212" t="s">
        <v>26</v>
      </c>
      <c r="P212" t="s">
        <v>476</v>
      </c>
      <c r="Q212">
        <f>-0.00986863318813579 - 0.0154312890209905</f>
        <v>-2.5299922209126288E-2</v>
      </c>
      <c r="R212" t="s">
        <v>34</v>
      </c>
      <c r="S212" t="s">
        <v>40</v>
      </c>
      <c r="T212" t="s">
        <v>41</v>
      </c>
      <c r="U212" t="s">
        <v>591</v>
      </c>
      <c r="V212">
        <v>2.9769266156049898</v>
      </c>
      <c r="W212">
        <v>6.4540617880424001E-3</v>
      </c>
      <c r="X212" t="s">
        <v>371</v>
      </c>
      <c r="Y212" t="s">
        <v>31</v>
      </c>
    </row>
    <row r="213" spans="1:25" x14ac:dyDescent="0.2">
      <c r="A213" t="s">
        <v>368</v>
      </c>
      <c r="B213" t="s">
        <v>97</v>
      </c>
      <c r="C213" t="s">
        <v>24</v>
      </c>
      <c r="D213">
        <v>9.1750656034760403E-2</v>
      </c>
      <c r="E213">
        <v>0.16004338078483599</v>
      </c>
      <c r="F213" t="s">
        <v>35</v>
      </c>
      <c r="G213">
        <v>32</v>
      </c>
      <c r="H213">
        <v>-3.8070003025136002E-3</v>
      </c>
      <c r="I213" t="s">
        <v>25</v>
      </c>
      <c r="J213" t="b">
        <v>0</v>
      </c>
      <c r="K213">
        <v>114.58041727609999</v>
      </c>
      <c r="L213">
        <v>115.1804172761</v>
      </c>
      <c r="M213">
        <v>0</v>
      </c>
      <c r="N213" t="s">
        <v>26</v>
      </c>
      <c r="O213" t="s">
        <v>26</v>
      </c>
      <c r="P213" t="s">
        <v>457</v>
      </c>
      <c r="Q213">
        <f>-0.00893003494490977 - 0.00131603433988252</f>
        <v>-1.024606928479229E-2</v>
      </c>
      <c r="R213" t="s">
        <v>32</v>
      </c>
      <c r="S213" t="s">
        <v>28</v>
      </c>
      <c r="T213" t="s">
        <v>29</v>
      </c>
      <c r="U213" t="s">
        <v>592</v>
      </c>
      <c r="V213">
        <v>3.8817096111901499</v>
      </c>
      <c r="W213">
        <v>2.6137931848958999E-3</v>
      </c>
      <c r="X213" t="s">
        <v>371</v>
      </c>
      <c r="Y213" t="s">
        <v>31</v>
      </c>
    </row>
    <row r="214" spans="1:25" x14ac:dyDescent="0.2">
      <c r="A214" t="s">
        <v>368</v>
      </c>
      <c r="B214" t="s">
        <v>128</v>
      </c>
      <c r="C214" t="s">
        <v>24</v>
      </c>
      <c r="D214">
        <v>5.6837225599285897E-2</v>
      </c>
      <c r="E214">
        <v>0.41175968330648699</v>
      </c>
      <c r="F214" t="s">
        <v>35</v>
      </c>
      <c r="G214">
        <v>67</v>
      </c>
      <c r="H214">
        <v>-7.2278152846229002E-3</v>
      </c>
      <c r="I214" t="s">
        <v>39</v>
      </c>
      <c r="J214" t="b">
        <v>0</v>
      </c>
      <c r="K214">
        <v>80.928942787803805</v>
      </c>
      <c r="L214">
        <v>82.019851878712899</v>
      </c>
      <c r="M214">
        <v>0</v>
      </c>
      <c r="N214" t="s">
        <v>26</v>
      </c>
      <c r="O214" t="s">
        <v>26</v>
      </c>
      <c r="P214" t="s">
        <v>388</v>
      </c>
      <c r="Q214">
        <f>-0.0238868327629078 - 0.00943120219366198</f>
        <v>-3.3318034956569778E-2</v>
      </c>
      <c r="R214" t="s">
        <v>33</v>
      </c>
      <c r="S214" t="s">
        <v>40</v>
      </c>
      <c r="T214" t="s">
        <v>41</v>
      </c>
      <c r="U214" t="s">
        <v>593</v>
      </c>
      <c r="V214">
        <v>6.9569697604077803</v>
      </c>
      <c r="W214">
        <v>8.4994987134106009E-3</v>
      </c>
      <c r="X214" t="s">
        <v>371</v>
      </c>
      <c r="Y214" t="s">
        <v>31</v>
      </c>
    </row>
    <row r="215" spans="1:25" x14ac:dyDescent="0.2">
      <c r="A215" t="s">
        <v>368</v>
      </c>
      <c r="B215" t="s">
        <v>164</v>
      </c>
      <c r="C215" t="s">
        <v>24</v>
      </c>
      <c r="D215">
        <v>6.20007573724769E-2</v>
      </c>
      <c r="E215">
        <v>0.14917995149416299</v>
      </c>
      <c r="F215" t="s">
        <v>35</v>
      </c>
      <c r="G215">
        <v>57</v>
      </c>
      <c r="H215">
        <v>-3.0236435394426799E-2</v>
      </c>
      <c r="I215" t="s">
        <v>42</v>
      </c>
      <c r="J215" t="b">
        <v>0</v>
      </c>
      <c r="K215">
        <v>225.766669733697</v>
      </c>
      <c r="L215">
        <v>226.141669733697</v>
      </c>
      <c r="M215">
        <v>15.5314550399239</v>
      </c>
      <c r="N215" t="s">
        <v>26</v>
      </c>
      <c r="O215" t="s">
        <v>26</v>
      </c>
      <c r="P215" t="s">
        <v>460</v>
      </c>
      <c r="Q215">
        <f>-0.070363042381188 - 0.00989017159233434</f>
        <v>-8.0253213973522336E-2</v>
      </c>
      <c r="R215" t="s">
        <v>34</v>
      </c>
      <c r="S215" t="s">
        <v>43</v>
      </c>
      <c r="T215" t="s">
        <v>26</v>
      </c>
      <c r="U215" t="s">
        <v>44</v>
      </c>
      <c r="V215">
        <v>4.4476024743535802</v>
      </c>
      <c r="W215">
        <v>2.0472758666714899E-2</v>
      </c>
      <c r="X215" t="s">
        <v>371</v>
      </c>
      <c r="Y215" t="s">
        <v>31</v>
      </c>
    </row>
    <row r="216" spans="1:25" x14ac:dyDescent="0.2">
      <c r="A216" t="s">
        <v>368</v>
      </c>
      <c r="B216" t="s">
        <v>71</v>
      </c>
      <c r="C216" t="s">
        <v>24</v>
      </c>
      <c r="D216">
        <v>5.2233667057173996E-3</v>
      </c>
      <c r="E216">
        <v>0.68460402674787002</v>
      </c>
      <c r="F216" t="s">
        <v>35</v>
      </c>
      <c r="G216">
        <v>8</v>
      </c>
      <c r="H216">
        <v>-7.4698502462922003E-3</v>
      </c>
      <c r="I216" t="s">
        <v>39</v>
      </c>
      <c r="J216" t="b">
        <v>0</v>
      </c>
      <c r="K216">
        <v>218.66215255575801</v>
      </c>
      <c r="L216">
        <v>219.04924932995101</v>
      </c>
      <c r="M216">
        <v>15.738161690362</v>
      </c>
      <c r="N216" t="s">
        <v>26</v>
      </c>
      <c r="O216" t="s">
        <v>26</v>
      </c>
      <c r="P216" t="s">
        <v>473</v>
      </c>
      <c r="Q216">
        <f>-0.0431873053027511 - 0.0282476048101666</f>
        <v>-7.1434910112917693E-2</v>
      </c>
      <c r="R216" t="s">
        <v>34</v>
      </c>
      <c r="S216" t="s">
        <v>40</v>
      </c>
      <c r="T216" t="s">
        <v>41</v>
      </c>
      <c r="U216" t="s">
        <v>594</v>
      </c>
      <c r="V216">
        <v>4.2770627805084498</v>
      </c>
      <c r="W216">
        <v>1.8223191355336101E-2</v>
      </c>
      <c r="X216" t="s">
        <v>371</v>
      </c>
      <c r="Y216" t="s">
        <v>31</v>
      </c>
    </row>
    <row r="217" spans="1:25" x14ac:dyDescent="0.2">
      <c r="A217" t="s">
        <v>368</v>
      </c>
      <c r="B217" t="s">
        <v>153</v>
      </c>
      <c r="C217" t="s">
        <v>24</v>
      </c>
      <c r="D217">
        <v>7.6350068384181999E-2</v>
      </c>
      <c r="E217">
        <v>0.12580239999238699</v>
      </c>
      <c r="F217" t="s">
        <v>35</v>
      </c>
      <c r="G217">
        <v>6</v>
      </c>
      <c r="H217">
        <v>-2.24973737730805E-2</v>
      </c>
      <c r="I217" t="s">
        <v>39</v>
      </c>
      <c r="J217" t="b">
        <v>0</v>
      </c>
      <c r="K217">
        <v>176.03563075774599</v>
      </c>
      <c r="L217">
        <v>176.44942386119399</v>
      </c>
      <c r="M217">
        <v>0.65174847126698399</v>
      </c>
      <c r="N217" t="s">
        <v>26</v>
      </c>
      <c r="O217" t="s">
        <v>26</v>
      </c>
      <c r="P217" t="s">
        <v>478</v>
      </c>
      <c r="Q217">
        <f>-0.0504985486428924 - 0.00550380109673132</f>
        <v>-5.6002349739623723E-2</v>
      </c>
      <c r="R217" t="s">
        <v>33</v>
      </c>
      <c r="S217" t="s">
        <v>40</v>
      </c>
      <c r="T217" t="s">
        <v>41</v>
      </c>
      <c r="U217" t="s">
        <v>595</v>
      </c>
      <c r="V217">
        <v>4.8316045571999098</v>
      </c>
      <c r="W217">
        <v>1.42863137090877E-2</v>
      </c>
      <c r="X217" t="s">
        <v>371</v>
      </c>
      <c r="Y217" t="s">
        <v>31</v>
      </c>
    </row>
    <row r="218" spans="1:25" x14ac:dyDescent="0.2">
      <c r="A218" t="s">
        <v>368</v>
      </c>
      <c r="B218" t="s">
        <v>59</v>
      </c>
      <c r="C218" t="s">
        <v>24</v>
      </c>
      <c r="D218">
        <v>6.4586303117486997E-3</v>
      </c>
      <c r="E218">
        <v>0.64126484179308096</v>
      </c>
      <c r="F218" t="s">
        <v>35</v>
      </c>
      <c r="G218">
        <v>20</v>
      </c>
      <c r="H218">
        <v>-2.8627802527057002E-3</v>
      </c>
      <c r="I218" t="s">
        <v>36</v>
      </c>
      <c r="J218" t="b">
        <v>0</v>
      </c>
      <c r="K218">
        <v>208.244495928997</v>
      </c>
      <c r="L218">
        <v>208.608132292634</v>
      </c>
      <c r="M218">
        <v>11.346334638009999</v>
      </c>
      <c r="N218" t="s">
        <v>26</v>
      </c>
      <c r="O218" t="s">
        <v>26</v>
      </c>
      <c r="P218" t="s">
        <v>386</v>
      </c>
      <c r="Q218">
        <f>-0.0147979167446558 - 0.00907235623924426</f>
        <v>-2.387027298390006E-2</v>
      </c>
      <c r="R218" t="s">
        <v>27</v>
      </c>
      <c r="S218" t="s">
        <v>37</v>
      </c>
      <c r="T218" t="s">
        <v>38</v>
      </c>
      <c r="U218" t="s">
        <v>596</v>
      </c>
      <c r="V218">
        <v>3.4185001167851099</v>
      </c>
      <c r="W218">
        <v>6.0893553530356999E-3</v>
      </c>
      <c r="X218" t="s">
        <v>371</v>
      </c>
      <c r="Y218" t="s">
        <v>31</v>
      </c>
    </row>
    <row r="219" spans="1:25" x14ac:dyDescent="0.2">
      <c r="A219" t="s">
        <v>368</v>
      </c>
      <c r="B219" t="s">
        <v>97</v>
      </c>
      <c r="C219" t="s">
        <v>24</v>
      </c>
      <c r="D219">
        <v>9.1750656034760195E-2</v>
      </c>
      <c r="E219">
        <v>0.16004338078483599</v>
      </c>
      <c r="F219" t="s">
        <v>35</v>
      </c>
      <c r="G219">
        <v>32</v>
      </c>
      <c r="H219">
        <v>-3.8070003025136002E-3</v>
      </c>
      <c r="I219" t="s">
        <v>36</v>
      </c>
      <c r="J219" t="b">
        <v>0</v>
      </c>
      <c r="K219">
        <v>114.58041727609999</v>
      </c>
      <c r="L219">
        <v>115.1804172761</v>
      </c>
      <c r="M219">
        <v>0</v>
      </c>
      <c r="N219" t="s">
        <v>26</v>
      </c>
      <c r="O219" t="s">
        <v>26</v>
      </c>
      <c r="P219" t="s">
        <v>457</v>
      </c>
      <c r="Q219">
        <f>-0.00893003494490977 - 0.00131603433988252</f>
        <v>-1.024606928479229E-2</v>
      </c>
      <c r="R219" t="s">
        <v>32</v>
      </c>
      <c r="S219" t="s">
        <v>37</v>
      </c>
      <c r="T219" t="s">
        <v>38</v>
      </c>
      <c r="U219" t="s">
        <v>597</v>
      </c>
      <c r="V219">
        <v>3.8817096111901499</v>
      </c>
      <c r="W219">
        <v>2.6137931848958999E-3</v>
      </c>
      <c r="X219" t="s">
        <v>371</v>
      </c>
      <c r="Y219" t="s">
        <v>31</v>
      </c>
    </row>
    <row r="220" spans="1:25" x14ac:dyDescent="0.2">
      <c r="A220" t="s">
        <v>368</v>
      </c>
      <c r="B220" t="s">
        <v>75</v>
      </c>
      <c r="C220" t="s">
        <v>24</v>
      </c>
      <c r="D220">
        <v>8.4409699569379798E-2</v>
      </c>
      <c r="E220">
        <v>0.168432356125677</v>
      </c>
      <c r="F220" t="s">
        <v>35</v>
      </c>
      <c r="G220">
        <v>32</v>
      </c>
      <c r="H220">
        <v>-4.8118240494890198E-2</v>
      </c>
      <c r="I220" t="s">
        <v>39</v>
      </c>
      <c r="J220" t="b">
        <v>0</v>
      </c>
      <c r="K220">
        <v>160.946996276227</v>
      </c>
      <c r="L220">
        <v>161.51842484765601</v>
      </c>
      <c r="M220">
        <v>9.4297522100069902</v>
      </c>
      <c r="N220" t="s">
        <v>26</v>
      </c>
      <c r="O220" t="s">
        <v>26</v>
      </c>
      <c r="P220" t="s">
        <v>469</v>
      </c>
      <c r="Q220">
        <f>-0.114341245474902 - 0.0181047644851219</f>
        <v>-0.1324460099600239</v>
      </c>
      <c r="R220" t="s">
        <v>27</v>
      </c>
      <c r="S220" t="s">
        <v>40</v>
      </c>
      <c r="T220" t="s">
        <v>41</v>
      </c>
      <c r="U220" t="s">
        <v>598</v>
      </c>
      <c r="V220">
        <v>4.6980919032664898</v>
      </c>
      <c r="W220">
        <v>3.3787247438781698E-2</v>
      </c>
      <c r="X220" t="s">
        <v>371</v>
      </c>
      <c r="Y220" t="s">
        <v>31</v>
      </c>
    </row>
    <row r="221" spans="1:25" x14ac:dyDescent="0.2">
      <c r="A221" t="s">
        <v>368</v>
      </c>
      <c r="B221" t="s">
        <v>45</v>
      </c>
      <c r="C221" t="s">
        <v>24</v>
      </c>
      <c r="D221">
        <v>1.2237800438968899E-2</v>
      </c>
      <c r="E221">
        <v>0.58279058738002598</v>
      </c>
      <c r="F221" t="s">
        <v>35</v>
      </c>
      <c r="G221">
        <v>28</v>
      </c>
      <c r="H221">
        <v>-2.1602791604304001E-3</v>
      </c>
      <c r="I221" t="s">
        <v>39</v>
      </c>
      <c r="J221" t="b">
        <v>0</v>
      </c>
      <c r="K221">
        <v>153.55463892776999</v>
      </c>
      <c r="L221">
        <v>154.05463892776999</v>
      </c>
      <c r="M221">
        <v>2.2836692982059699</v>
      </c>
      <c r="N221" t="s">
        <v>26</v>
      </c>
      <c r="O221" t="s">
        <v>26</v>
      </c>
      <c r="P221" t="s">
        <v>462</v>
      </c>
      <c r="Q221">
        <f>-0.00976827840548132 - 0.00544772008462037</f>
        <v>-1.521599849010169E-2</v>
      </c>
      <c r="R221" t="s">
        <v>33</v>
      </c>
      <c r="S221" t="s">
        <v>40</v>
      </c>
      <c r="T221" t="s">
        <v>41</v>
      </c>
      <c r="U221" t="s">
        <v>599</v>
      </c>
      <c r="V221">
        <v>4.8647772859989402</v>
      </c>
      <c r="W221">
        <v>3.8816322678829999E-3</v>
      </c>
      <c r="X221" t="s">
        <v>371</v>
      </c>
      <c r="Y221" t="s">
        <v>31</v>
      </c>
    </row>
    <row r="222" spans="1:25" x14ac:dyDescent="0.2">
      <c r="A222" t="s">
        <v>368</v>
      </c>
      <c r="B222" t="s">
        <v>168</v>
      </c>
      <c r="C222" t="s">
        <v>24</v>
      </c>
      <c r="D222">
        <v>3.7922943108699501E-2</v>
      </c>
      <c r="E222">
        <v>0.36184133407255697</v>
      </c>
      <c r="F222" t="s">
        <v>35</v>
      </c>
      <c r="G222">
        <v>39</v>
      </c>
      <c r="H222">
        <v>-0.62070392192415902</v>
      </c>
      <c r="I222" t="s">
        <v>39</v>
      </c>
      <c r="J222" t="b">
        <v>0</v>
      </c>
      <c r="K222">
        <v>160.31407846716201</v>
      </c>
      <c r="L222">
        <v>160.88550703858999</v>
      </c>
      <c r="M222">
        <v>8.3472856070029806</v>
      </c>
      <c r="N222" t="s">
        <v>26</v>
      </c>
      <c r="O222" t="s">
        <v>26</v>
      </c>
      <c r="P222" t="s">
        <v>400</v>
      </c>
      <c r="Q222">
        <f>-1.92712485969238 - 0.685717015844058</f>
        <v>-2.612841875536438</v>
      </c>
      <c r="R222" t="s">
        <v>27</v>
      </c>
      <c r="S222" t="s">
        <v>40</v>
      </c>
      <c r="T222" t="s">
        <v>41</v>
      </c>
      <c r="U222" t="s">
        <v>600</v>
      </c>
      <c r="V222">
        <v>4.8905890303534001</v>
      </c>
      <c r="W222">
        <v>0.66654129477970303</v>
      </c>
      <c r="X222" t="s">
        <v>371</v>
      </c>
      <c r="Y222" t="s">
        <v>31</v>
      </c>
    </row>
    <row r="223" spans="1:25" x14ac:dyDescent="0.2">
      <c r="A223" t="s">
        <v>368</v>
      </c>
      <c r="B223" t="s">
        <v>157</v>
      </c>
      <c r="C223" t="s">
        <v>24</v>
      </c>
      <c r="D223">
        <v>8.4262714933915003E-3</v>
      </c>
      <c r="E223">
        <v>0.66967327398872101</v>
      </c>
      <c r="F223" t="s">
        <v>35</v>
      </c>
      <c r="G223">
        <v>43</v>
      </c>
      <c r="H223">
        <v>3.2773853575641001E-3</v>
      </c>
      <c r="I223" t="s">
        <v>36</v>
      </c>
      <c r="J223" t="b">
        <v>0</v>
      </c>
      <c r="K223">
        <v>137.07755003155401</v>
      </c>
      <c r="L223">
        <v>137.64897860298299</v>
      </c>
      <c r="M223">
        <v>6.1230799350850003</v>
      </c>
      <c r="N223" t="s">
        <v>26</v>
      </c>
      <c r="O223" t="s">
        <v>26</v>
      </c>
      <c r="P223" t="s">
        <v>476</v>
      </c>
      <c r="Q223">
        <f>-0.0115791322470221 - 0.0181339029621504</f>
        <v>-2.9713035209172501E-2</v>
      </c>
      <c r="R223" t="s">
        <v>34</v>
      </c>
      <c r="S223" t="s">
        <v>37</v>
      </c>
      <c r="T223" t="s">
        <v>38</v>
      </c>
      <c r="U223" t="s">
        <v>601</v>
      </c>
      <c r="V223">
        <v>2.96907164210366</v>
      </c>
      <c r="W223">
        <v>7.5798559207071996E-3</v>
      </c>
      <c r="X223" t="s">
        <v>371</v>
      </c>
      <c r="Y223" t="s">
        <v>31</v>
      </c>
    </row>
    <row r="224" spans="1:25" x14ac:dyDescent="0.2">
      <c r="A224" t="s">
        <v>368</v>
      </c>
      <c r="B224" t="s">
        <v>118</v>
      </c>
      <c r="C224" t="s">
        <v>24</v>
      </c>
      <c r="D224">
        <v>5.23208230284989E-2</v>
      </c>
      <c r="E224">
        <v>0.30588057108907102</v>
      </c>
      <c r="F224" t="s">
        <v>35</v>
      </c>
      <c r="G224">
        <v>32</v>
      </c>
      <c r="H224">
        <v>-6.7199257284356996E-3</v>
      </c>
      <c r="I224" t="s">
        <v>39</v>
      </c>
      <c r="J224" t="b">
        <v>0</v>
      </c>
      <c r="K224">
        <v>136.95289896563401</v>
      </c>
      <c r="L224">
        <v>137.58447791300199</v>
      </c>
      <c r="M224">
        <v>9.2836945634169794</v>
      </c>
      <c r="N224" t="s">
        <v>26</v>
      </c>
      <c r="O224" t="s">
        <v>26</v>
      </c>
      <c r="P224" t="s">
        <v>420</v>
      </c>
      <c r="Q224">
        <f>-0.0192541924548624 - 0.00581434099799104</f>
        <v>-2.5068533452853439E-2</v>
      </c>
      <c r="R224" t="s">
        <v>32</v>
      </c>
      <c r="S224" t="s">
        <v>40</v>
      </c>
      <c r="T224" t="s">
        <v>41</v>
      </c>
      <c r="U224" t="s">
        <v>602</v>
      </c>
      <c r="V224">
        <v>4.2225657121638402</v>
      </c>
      <c r="W224">
        <v>6.3950340440951997E-3</v>
      </c>
      <c r="X224" t="s">
        <v>371</v>
      </c>
      <c r="Y224" t="s">
        <v>31</v>
      </c>
    </row>
    <row r="225" spans="1:25" x14ac:dyDescent="0.2">
      <c r="A225" t="s">
        <v>368</v>
      </c>
      <c r="B225" t="s">
        <v>77</v>
      </c>
      <c r="C225" t="s">
        <v>24</v>
      </c>
      <c r="D225">
        <v>9.4469274150991E-3</v>
      </c>
      <c r="E225">
        <v>0.57280267652389005</v>
      </c>
      <c r="F225" t="s">
        <v>35</v>
      </c>
      <c r="G225">
        <v>10</v>
      </c>
      <c r="H225">
        <v>-1.2676425881565199E-2</v>
      </c>
      <c r="I225" t="s">
        <v>39</v>
      </c>
      <c r="J225" t="b">
        <v>0</v>
      </c>
      <c r="K225">
        <v>232.63292128807601</v>
      </c>
      <c r="L225">
        <v>232.99655765171201</v>
      </c>
      <c r="M225">
        <v>19.355518804848899</v>
      </c>
      <c r="N225" t="s">
        <v>26</v>
      </c>
      <c r="O225" t="s">
        <v>26</v>
      </c>
      <c r="P225" t="s">
        <v>403</v>
      </c>
      <c r="Q225">
        <f>-0.0563086166863184 - 0.0309557649231881</f>
        <v>-8.7264381609506503E-2</v>
      </c>
      <c r="R225" t="s">
        <v>34</v>
      </c>
      <c r="S225" t="s">
        <v>40</v>
      </c>
      <c r="T225" t="s">
        <v>41</v>
      </c>
      <c r="U225" t="s">
        <v>603</v>
      </c>
      <c r="V225">
        <v>4.0549120179754903</v>
      </c>
      <c r="W225">
        <v>2.2261321839159801E-2</v>
      </c>
      <c r="X225" t="s">
        <v>371</v>
      </c>
      <c r="Y225" t="s">
        <v>31</v>
      </c>
    </row>
    <row r="226" spans="1:25" x14ac:dyDescent="0.2">
      <c r="A226" t="s">
        <v>368</v>
      </c>
      <c r="B226" t="s">
        <v>166</v>
      </c>
      <c r="C226" t="s">
        <v>24</v>
      </c>
      <c r="D226">
        <v>1.3627741837597299E-2</v>
      </c>
      <c r="E226">
        <v>0.57840724516806796</v>
      </c>
      <c r="F226" t="s">
        <v>35</v>
      </c>
      <c r="G226">
        <v>48</v>
      </c>
      <c r="H226">
        <v>2.2100688164757801E-2</v>
      </c>
      <c r="I226" t="s">
        <v>39</v>
      </c>
      <c r="J226" t="b">
        <v>0</v>
      </c>
      <c r="K226">
        <v>173.67183141623499</v>
      </c>
      <c r="L226">
        <v>174.21728596169001</v>
      </c>
      <c r="M226">
        <v>15.333509915663999</v>
      </c>
      <c r="N226" t="s">
        <v>26</v>
      </c>
      <c r="O226" t="s">
        <v>26</v>
      </c>
      <c r="P226" t="s">
        <v>376</v>
      </c>
      <c r="Q226">
        <f>-0.0547426859238132 - 0.0989440622533288</f>
        <v>-0.15368674817714201</v>
      </c>
      <c r="R226" t="s">
        <v>34</v>
      </c>
      <c r="S226" t="s">
        <v>40</v>
      </c>
      <c r="T226" t="s">
        <v>41</v>
      </c>
      <c r="U226" t="s">
        <v>604</v>
      </c>
      <c r="V226">
        <v>4.7306835240746903</v>
      </c>
      <c r="W226">
        <v>3.9205803106413799E-2</v>
      </c>
      <c r="X226" t="s">
        <v>371</v>
      </c>
      <c r="Y226" t="s">
        <v>31</v>
      </c>
    </row>
    <row r="227" spans="1:25" x14ac:dyDescent="0.2">
      <c r="A227" t="s">
        <v>368</v>
      </c>
      <c r="B227" t="s">
        <v>134</v>
      </c>
      <c r="C227" t="s">
        <v>24</v>
      </c>
      <c r="D227">
        <v>0.120449309418953</v>
      </c>
      <c r="E227">
        <v>0.187835432517375</v>
      </c>
      <c r="F227" t="s">
        <v>35</v>
      </c>
      <c r="G227">
        <v>22</v>
      </c>
      <c r="H227">
        <v>5.0233520912428602E-2</v>
      </c>
      <c r="I227" t="s">
        <v>39</v>
      </c>
      <c r="J227" t="b">
        <v>0</v>
      </c>
      <c r="K227">
        <v>116.791608603263</v>
      </c>
      <c r="L227">
        <v>117.71468552634001</v>
      </c>
      <c r="M227">
        <v>10.827612943941</v>
      </c>
      <c r="N227" t="s">
        <v>26</v>
      </c>
      <c r="O227" t="s">
        <v>26</v>
      </c>
      <c r="P227" t="s">
        <v>372</v>
      </c>
      <c r="Q227">
        <f>-0.0208737404737685 - 0.121340782298626</f>
        <v>-0.14221452277239449</v>
      </c>
      <c r="R227" t="s">
        <v>27</v>
      </c>
      <c r="S227" t="s">
        <v>40</v>
      </c>
      <c r="T227" t="s">
        <v>41</v>
      </c>
      <c r="U227" t="s">
        <v>605</v>
      </c>
      <c r="V227">
        <v>4.2862960209073204</v>
      </c>
      <c r="W227">
        <v>3.6279214992957699E-2</v>
      </c>
      <c r="X227" t="s">
        <v>371</v>
      </c>
      <c r="Y227" t="s">
        <v>31</v>
      </c>
    </row>
    <row r="228" spans="1:25" x14ac:dyDescent="0.2">
      <c r="A228" t="s">
        <v>368</v>
      </c>
      <c r="B228" t="s">
        <v>84</v>
      </c>
      <c r="C228" t="s">
        <v>24</v>
      </c>
      <c r="D228">
        <v>6.7272000216324996E-3</v>
      </c>
      <c r="E228">
        <v>0.61486801831632099</v>
      </c>
      <c r="F228" t="s">
        <v>35</v>
      </c>
      <c r="G228">
        <v>13</v>
      </c>
      <c r="H228">
        <v>-6.7552292207505998E-3</v>
      </c>
      <c r="I228" t="s">
        <v>42</v>
      </c>
      <c r="J228" t="b">
        <v>0</v>
      </c>
      <c r="K228">
        <v>257.62598226173401</v>
      </c>
      <c r="L228">
        <v>257.95030658605901</v>
      </c>
      <c r="M228">
        <v>19.798425351662001</v>
      </c>
      <c r="N228" t="s">
        <v>26</v>
      </c>
      <c r="O228" t="s">
        <v>26</v>
      </c>
      <c r="P228" t="s">
        <v>378</v>
      </c>
      <c r="Q228">
        <f>-0.0328540848047514 - 0.01934362636325</f>
        <v>-5.2197711168001398E-2</v>
      </c>
      <c r="R228" t="s">
        <v>34</v>
      </c>
      <c r="S228" t="s">
        <v>43</v>
      </c>
      <c r="T228" t="s">
        <v>26</v>
      </c>
      <c r="U228" t="s">
        <v>44</v>
      </c>
      <c r="V228">
        <v>3.8524229576818101</v>
      </c>
      <c r="W228">
        <v>1.33157426448983E-2</v>
      </c>
      <c r="X228" t="s">
        <v>371</v>
      </c>
      <c r="Y228" t="s">
        <v>31</v>
      </c>
    </row>
    <row r="229" spans="1:25" x14ac:dyDescent="0.2">
      <c r="A229" t="s">
        <v>368</v>
      </c>
      <c r="B229" t="s">
        <v>95</v>
      </c>
      <c r="C229" t="s">
        <v>24</v>
      </c>
      <c r="D229">
        <v>5.433510802367E-3</v>
      </c>
      <c r="E229">
        <v>0.67865386259551297</v>
      </c>
      <c r="F229" t="s">
        <v>35</v>
      </c>
      <c r="G229">
        <v>51</v>
      </c>
      <c r="H229">
        <v>1.6327124438491099E-2</v>
      </c>
      <c r="I229" t="s">
        <v>42</v>
      </c>
      <c r="J229" t="b">
        <v>0</v>
      </c>
      <c r="K229">
        <v>222.51921932277301</v>
      </c>
      <c r="L229">
        <v>222.906316096967</v>
      </c>
      <c r="M229">
        <v>18.362798938498901</v>
      </c>
      <c r="N229" t="s">
        <v>26</v>
      </c>
      <c r="O229" t="s">
        <v>26</v>
      </c>
      <c r="P229" t="s">
        <v>442</v>
      </c>
      <c r="Q229">
        <f>-0.0602091694521479 - 0.0928634183291302</f>
        <v>-0.15307258778127811</v>
      </c>
      <c r="R229" t="s">
        <v>34</v>
      </c>
      <c r="S229" t="s">
        <v>43</v>
      </c>
      <c r="T229" t="s">
        <v>26</v>
      </c>
      <c r="U229" t="s">
        <v>44</v>
      </c>
      <c r="V229">
        <v>3.43528794367184</v>
      </c>
      <c r="W229">
        <v>3.9049129536040297E-2</v>
      </c>
      <c r="X229" t="s">
        <v>371</v>
      </c>
      <c r="Y229" t="s">
        <v>31</v>
      </c>
    </row>
    <row r="230" spans="1:25" x14ac:dyDescent="0.2">
      <c r="A230" t="s">
        <v>368</v>
      </c>
      <c r="B230" t="s">
        <v>95</v>
      </c>
      <c r="C230" t="s">
        <v>24</v>
      </c>
      <c r="D230">
        <v>2.4713783328832201E-2</v>
      </c>
      <c r="E230">
        <v>0.37458720632703302</v>
      </c>
      <c r="F230" t="s">
        <v>35</v>
      </c>
      <c r="G230">
        <v>51</v>
      </c>
      <c r="H230">
        <v>3.58161959840703E-2</v>
      </c>
      <c r="I230" t="s">
        <v>36</v>
      </c>
      <c r="J230" t="b">
        <v>0</v>
      </c>
      <c r="K230">
        <v>219.80483817458801</v>
      </c>
      <c r="L230">
        <v>220.19193494878101</v>
      </c>
      <c r="M230">
        <v>15.648417790312999</v>
      </c>
      <c r="N230" t="s">
        <v>26</v>
      </c>
      <c r="O230" t="s">
        <v>26</v>
      </c>
      <c r="P230" t="s">
        <v>442</v>
      </c>
      <c r="Q230">
        <f>-0.0421411357313651 - 0.113773527699506</f>
        <v>-0.1559146634308711</v>
      </c>
      <c r="R230" t="s">
        <v>34</v>
      </c>
      <c r="S230" t="s">
        <v>37</v>
      </c>
      <c r="T230" t="s">
        <v>38</v>
      </c>
      <c r="U230" t="s">
        <v>606</v>
      </c>
      <c r="V230">
        <v>2.9892563313713598</v>
      </c>
      <c r="W230">
        <v>3.9774148834405797E-2</v>
      </c>
      <c r="X230" t="s">
        <v>371</v>
      </c>
      <c r="Y230" t="s">
        <v>31</v>
      </c>
    </row>
    <row r="231" spans="1:25" x14ac:dyDescent="0.2">
      <c r="A231" t="s">
        <v>368</v>
      </c>
      <c r="B231" t="s">
        <v>63</v>
      </c>
      <c r="C231" t="s">
        <v>24</v>
      </c>
      <c r="D231">
        <v>1.8438025944846899E-2</v>
      </c>
      <c r="E231">
        <v>0.54682771078883596</v>
      </c>
      <c r="F231" t="s">
        <v>35</v>
      </c>
      <c r="G231">
        <v>59</v>
      </c>
      <c r="H231">
        <v>-1.00646840064007E-2</v>
      </c>
      <c r="I231" t="s">
        <v>36</v>
      </c>
      <c r="J231" t="b">
        <v>0</v>
      </c>
      <c r="K231">
        <v>133.550634951333</v>
      </c>
      <c r="L231">
        <v>134.182213898702</v>
      </c>
      <c r="M231">
        <v>7.819285293679</v>
      </c>
      <c r="N231" t="s">
        <v>26</v>
      </c>
      <c r="O231" t="s">
        <v>26</v>
      </c>
      <c r="P231" t="s">
        <v>479</v>
      </c>
      <c r="Q231">
        <f>-0.0422488952088961 - 0.0221195271960948</f>
        <v>-6.436842240499091E-2</v>
      </c>
      <c r="R231" t="s">
        <v>33</v>
      </c>
      <c r="S231" t="s">
        <v>37</v>
      </c>
      <c r="T231" t="s">
        <v>38</v>
      </c>
      <c r="U231" t="s">
        <v>607</v>
      </c>
      <c r="V231">
        <v>4.9479499561000599</v>
      </c>
      <c r="W231">
        <v>1.6420515919640499E-2</v>
      </c>
      <c r="X231" t="s">
        <v>371</v>
      </c>
      <c r="Y231" t="s">
        <v>31</v>
      </c>
    </row>
    <row r="232" spans="1:25" x14ac:dyDescent="0.2">
      <c r="A232" t="s">
        <v>368</v>
      </c>
      <c r="B232" t="s">
        <v>55</v>
      </c>
      <c r="C232" t="s">
        <v>24</v>
      </c>
      <c r="D232">
        <v>1.7214927163755101E-2</v>
      </c>
      <c r="E232">
        <v>0.48171145205557903</v>
      </c>
      <c r="F232" t="s">
        <v>35</v>
      </c>
      <c r="G232">
        <v>48</v>
      </c>
      <c r="H232">
        <v>-2.8989379021289698E-2</v>
      </c>
      <c r="I232" t="s">
        <v>39</v>
      </c>
      <c r="J232" t="b">
        <v>0</v>
      </c>
      <c r="K232">
        <v>208.73103756386101</v>
      </c>
      <c r="L232">
        <v>209.159608992432</v>
      </c>
      <c r="M232">
        <v>18.004671559863901</v>
      </c>
      <c r="N232" t="s">
        <v>26</v>
      </c>
      <c r="O232" t="s">
        <v>26</v>
      </c>
      <c r="P232" t="s">
        <v>414</v>
      </c>
      <c r="Q232">
        <f>-0.108710365827394 - 0.0507316077848146</f>
        <v>-0.1594419736122086</v>
      </c>
      <c r="R232" t="s">
        <v>33</v>
      </c>
      <c r="S232" t="s">
        <v>40</v>
      </c>
      <c r="T232" t="s">
        <v>41</v>
      </c>
      <c r="U232" t="s">
        <v>608</v>
      </c>
      <c r="V232">
        <v>5.2708526821637101</v>
      </c>
      <c r="W232">
        <v>4.0673972860257299E-2</v>
      </c>
      <c r="X232" t="s">
        <v>371</v>
      </c>
      <c r="Y232" t="s">
        <v>31</v>
      </c>
    </row>
    <row r="233" spans="1:25" x14ac:dyDescent="0.2">
      <c r="A233" t="s">
        <v>368</v>
      </c>
      <c r="B233" t="s">
        <v>71</v>
      </c>
      <c r="C233" t="s">
        <v>24</v>
      </c>
      <c r="D233">
        <v>8.6169253681909006E-3</v>
      </c>
      <c r="E233">
        <v>0.60156176903055403</v>
      </c>
      <c r="F233" t="s">
        <v>35</v>
      </c>
      <c r="G233">
        <v>8</v>
      </c>
      <c r="H233">
        <v>-1.2391207890745499E-2</v>
      </c>
      <c r="I233" t="s">
        <v>36</v>
      </c>
      <c r="J233" t="b">
        <v>0</v>
      </c>
      <c r="K233">
        <v>218.45786876188799</v>
      </c>
      <c r="L233">
        <v>218.84496553608099</v>
      </c>
      <c r="M233">
        <v>15.5338778964919</v>
      </c>
      <c r="N233" t="s">
        <v>26</v>
      </c>
      <c r="O233" t="s">
        <v>26</v>
      </c>
      <c r="P233" t="s">
        <v>473</v>
      </c>
      <c r="Q233">
        <f>-0.0584422338136992 - 0.0336598180322082</f>
        <v>-9.2102051845907404E-2</v>
      </c>
      <c r="R233" t="s">
        <v>34</v>
      </c>
      <c r="S233" t="s">
        <v>37</v>
      </c>
      <c r="T233" t="s">
        <v>38</v>
      </c>
      <c r="U233" t="s">
        <v>609</v>
      </c>
      <c r="V233">
        <v>4.3201230207096302</v>
      </c>
      <c r="W233">
        <v>2.3495421389262101E-2</v>
      </c>
      <c r="X233" t="s">
        <v>371</v>
      </c>
      <c r="Y233" t="s">
        <v>31</v>
      </c>
    </row>
    <row r="234" spans="1:25" x14ac:dyDescent="0.2">
      <c r="A234" t="s">
        <v>368</v>
      </c>
      <c r="B234" t="s">
        <v>111</v>
      </c>
      <c r="C234" t="s">
        <v>24</v>
      </c>
      <c r="D234">
        <v>3.0414245523919001E-3</v>
      </c>
      <c r="E234">
        <v>0.72540228107530202</v>
      </c>
      <c r="F234" t="s">
        <v>35</v>
      </c>
      <c r="G234">
        <v>11</v>
      </c>
      <c r="H234">
        <v>-1.54051561958775E-2</v>
      </c>
      <c r="I234" t="s">
        <v>39</v>
      </c>
      <c r="J234" t="b">
        <v>0</v>
      </c>
      <c r="K234">
        <v>270.16095452385201</v>
      </c>
      <c r="L234">
        <v>270.46095452385202</v>
      </c>
      <c r="M234">
        <v>17.706672682802001</v>
      </c>
      <c r="N234" t="s">
        <v>26</v>
      </c>
      <c r="O234" t="s">
        <v>26</v>
      </c>
      <c r="P234" t="s">
        <v>438</v>
      </c>
      <c r="Q234">
        <f>-0.100780070738442 - 0.0699697583466873</f>
        <v>-0.17074982908512931</v>
      </c>
      <c r="R234" t="s">
        <v>27</v>
      </c>
      <c r="S234" t="s">
        <v>40</v>
      </c>
      <c r="T234" t="s">
        <v>41</v>
      </c>
      <c r="U234" t="s">
        <v>610</v>
      </c>
      <c r="V234">
        <v>3.7655636956601799</v>
      </c>
      <c r="W234">
        <v>4.3558629868655503E-2</v>
      </c>
      <c r="X234" t="s">
        <v>371</v>
      </c>
      <c r="Y234" t="s">
        <v>31</v>
      </c>
    </row>
    <row r="235" spans="1:25" x14ac:dyDescent="0.2">
      <c r="A235" t="s">
        <v>368</v>
      </c>
      <c r="B235" t="s">
        <v>161</v>
      </c>
      <c r="C235" t="s">
        <v>24</v>
      </c>
      <c r="D235">
        <v>0.203386383110991</v>
      </c>
      <c r="E235">
        <v>1.23753405598093E-2</v>
      </c>
      <c r="F235" t="s">
        <v>35</v>
      </c>
      <c r="G235">
        <v>45</v>
      </c>
      <c r="H235">
        <v>0.35828261370303199</v>
      </c>
      <c r="I235" t="s">
        <v>42</v>
      </c>
      <c r="J235" t="b">
        <v>0</v>
      </c>
      <c r="K235">
        <v>197.507133942839</v>
      </c>
      <c r="L235">
        <v>197.95157838728301</v>
      </c>
      <c r="M235">
        <v>12.692528743627999</v>
      </c>
      <c r="N235" t="s">
        <v>26</v>
      </c>
      <c r="O235" t="s">
        <v>26</v>
      </c>
      <c r="P235" t="s">
        <v>430</v>
      </c>
      <c r="Q235" t="s">
        <v>524</v>
      </c>
      <c r="R235" t="s">
        <v>34</v>
      </c>
      <c r="S235" t="s">
        <v>43</v>
      </c>
      <c r="T235" t="s">
        <v>26</v>
      </c>
      <c r="U235" t="s">
        <v>44</v>
      </c>
      <c r="V235">
        <v>0.623967261100287</v>
      </c>
      <c r="W235">
        <v>0.13400149522790999</v>
      </c>
      <c r="X235" t="s">
        <v>371</v>
      </c>
      <c r="Y235" t="s">
        <v>31</v>
      </c>
    </row>
    <row r="236" spans="1:25" x14ac:dyDescent="0.2">
      <c r="A236" t="s">
        <v>368</v>
      </c>
      <c r="B236" t="s">
        <v>73</v>
      </c>
      <c r="C236" t="s">
        <v>24</v>
      </c>
      <c r="D236">
        <v>9.7243746409091999E-3</v>
      </c>
      <c r="E236">
        <v>0.52926699023691304</v>
      </c>
      <c r="F236" t="s">
        <v>35</v>
      </c>
      <c r="G236">
        <v>20</v>
      </c>
      <c r="H236">
        <v>-7.7371165749525999E-3</v>
      </c>
      <c r="I236" t="s">
        <v>36</v>
      </c>
      <c r="J236" t="b">
        <v>0</v>
      </c>
      <c r="K236">
        <v>267.438672783225</v>
      </c>
      <c r="L236">
        <v>267.73867278322501</v>
      </c>
      <c r="M236">
        <v>14.155285873353</v>
      </c>
      <c r="N236" t="s">
        <v>26</v>
      </c>
      <c r="O236" t="s">
        <v>26</v>
      </c>
      <c r="P236" t="s">
        <v>418</v>
      </c>
      <c r="Q236">
        <f>-0.0316367085802609 - 0.0161624754303556</f>
        <v>-4.7799184010616502E-2</v>
      </c>
      <c r="R236" t="s">
        <v>27</v>
      </c>
      <c r="S236" t="s">
        <v>37</v>
      </c>
      <c r="T236" t="s">
        <v>38</v>
      </c>
      <c r="U236" t="s">
        <v>611</v>
      </c>
      <c r="V236">
        <v>3.9113112814814501</v>
      </c>
      <c r="W236">
        <v>1.21936693904634E-2</v>
      </c>
      <c r="X236" t="s">
        <v>371</v>
      </c>
      <c r="Y236" t="s">
        <v>31</v>
      </c>
    </row>
    <row r="237" spans="1:25" x14ac:dyDescent="0.2">
      <c r="A237" t="s">
        <v>368</v>
      </c>
      <c r="B237" t="s">
        <v>75</v>
      </c>
      <c r="C237" t="s">
        <v>24</v>
      </c>
      <c r="D237">
        <v>8.4409699569379798E-2</v>
      </c>
      <c r="E237">
        <v>0.168432356125677</v>
      </c>
      <c r="F237" t="s">
        <v>35</v>
      </c>
      <c r="G237">
        <v>32</v>
      </c>
      <c r="H237">
        <v>-4.8118240494890198E-2</v>
      </c>
      <c r="I237" t="s">
        <v>42</v>
      </c>
      <c r="J237" t="b">
        <v>0</v>
      </c>
      <c r="K237">
        <v>160.946996276227</v>
      </c>
      <c r="L237">
        <v>161.51842484765601</v>
      </c>
      <c r="M237">
        <v>9.4297522100069902</v>
      </c>
      <c r="N237" t="s">
        <v>26</v>
      </c>
      <c r="O237" t="s">
        <v>26</v>
      </c>
      <c r="P237" t="s">
        <v>469</v>
      </c>
      <c r="Q237">
        <f>-0.114341245474902 - 0.0181047644851219</f>
        <v>-0.1324460099600239</v>
      </c>
      <c r="R237" t="s">
        <v>27</v>
      </c>
      <c r="S237" t="s">
        <v>43</v>
      </c>
      <c r="T237" t="s">
        <v>26</v>
      </c>
      <c r="U237" t="s">
        <v>44</v>
      </c>
      <c r="V237">
        <v>4.6980919032664898</v>
      </c>
      <c r="W237">
        <v>3.3787247438781698E-2</v>
      </c>
      <c r="X237" t="s">
        <v>371</v>
      </c>
      <c r="Y237" t="s">
        <v>31</v>
      </c>
    </row>
    <row r="238" spans="1:25" x14ac:dyDescent="0.2">
      <c r="A238" t="s">
        <v>368</v>
      </c>
      <c r="B238" t="s">
        <v>75</v>
      </c>
      <c r="C238" t="s">
        <v>24</v>
      </c>
      <c r="D238">
        <v>4.3672526610432701E-2</v>
      </c>
      <c r="E238">
        <v>0.32708052625680201</v>
      </c>
      <c r="F238" t="s">
        <v>35</v>
      </c>
      <c r="G238">
        <v>32</v>
      </c>
      <c r="H238">
        <v>-4.31670018430476E-2</v>
      </c>
      <c r="I238" t="s">
        <v>36</v>
      </c>
      <c r="J238" t="b">
        <v>0</v>
      </c>
      <c r="K238">
        <v>160.50418811780699</v>
      </c>
      <c r="L238">
        <v>161.075616689236</v>
      </c>
      <c r="M238">
        <v>8.9869440515869794</v>
      </c>
      <c r="N238" t="s">
        <v>26</v>
      </c>
      <c r="O238" t="s">
        <v>26</v>
      </c>
      <c r="P238" t="s">
        <v>469</v>
      </c>
      <c r="Q238">
        <f>-0.127577366009396 - 0.041243362323301</f>
        <v>-0.16882072833269701</v>
      </c>
      <c r="R238" t="s">
        <v>27</v>
      </c>
      <c r="S238" t="s">
        <v>37</v>
      </c>
      <c r="T238" t="s">
        <v>38</v>
      </c>
      <c r="U238" t="s">
        <v>612</v>
      </c>
      <c r="V238">
        <v>4.5527488937820797</v>
      </c>
      <c r="W238">
        <v>4.3066512329769699E-2</v>
      </c>
      <c r="X238" t="s">
        <v>371</v>
      </c>
      <c r="Y238" t="s">
        <v>31</v>
      </c>
    </row>
    <row r="239" spans="1:25" x14ac:dyDescent="0.2">
      <c r="A239" t="s">
        <v>368</v>
      </c>
      <c r="B239" t="s">
        <v>115</v>
      </c>
      <c r="C239" t="s">
        <v>24</v>
      </c>
      <c r="D239">
        <v>0.21610305550883699</v>
      </c>
      <c r="E239">
        <v>6.4161950715612998E-3</v>
      </c>
      <c r="F239" t="s">
        <v>35</v>
      </c>
      <c r="G239">
        <v>19</v>
      </c>
      <c r="H239">
        <v>3.26260127197407E-2</v>
      </c>
      <c r="I239" t="s">
        <v>42</v>
      </c>
      <c r="J239" t="b">
        <v>0</v>
      </c>
      <c r="K239">
        <v>211.17861993864801</v>
      </c>
      <c r="L239">
        <v>211.57861993864799</v>
      </c>
      <c r="M239">
        <v>13.284677877279901</v>
      </c>
      <c r="N239" t="s">
        <v>26</v>
      </c>
      <c r="O239" t="s">
        <v>26</v>
      </c>
      <c r="P239" t="s">
        <v>458</v>
      </c>
      <c r="Q239" t="s">
        <v>487</v>
      </c>
      <c r="R239" t="s">
        <v>34</v>
      </c>
      <c r="S239" t="s">
        <v>43</v>
      </c>
      <c r="T239" t="s">
        <v>26</v>
      </c>
      <c r="U239" t="s">
        <v>44</v>
      </c>
      <c r="V239">
        <v>3.74189987249538</v>
      </c>
      <c r="W239">
        <v>1.11604623403818E-2</v>
      </c>
      <c r="X239" t="s">
        <v>371</v>
      </c>
      <c r="Y239" t="s">
        <v>31</v>
      </c>
    </row>
    <row r="240" spans="1:25" x14ac:dyDescent="0.2">
      <c r="A240" t="s">
        <v>368</v>
      </c>
      <c r="B240" t="s">
        <v>90</v>
      </c>
      <c r="C240" t="s">
        <v>24</v>
      </c>
      <c r="D240">
        <v>0.196937044128592</v>
      </c>
      <c r="E240">
        <v>4.1264551975829997E-3</v>
      </c>
      <c r="F240" t="s">
        <v>35</v>
      </c>
      <c r="G240">
        <v>53</v>
      </c>
      <c r="H240">
        <v>2.7960238383664699E-2</v>
      </c>
      <c r="I240" t="s">
        <v>42</v>
      </c>
      <c r="J240" t="b">
        <v>0</v>
      </c>
      <c r="K240">
        <v>247.70225681999699</v>
      </c>
      <c r="L240">
        <v>248.026581144321</v>
      </c>
      <c r="M240">
        <v>22.207539395119898</v>
      </c>
      <c r="N240" t="s">
        <v>26</v>
      </c>
      <c r="O240" t="s">
        <v>26</v>
      </c>
      <c r="P240" t="s">
        <v>466</v>
      </c>
      <c r="Q240" t="s">
        <v>528</v>
      </c>
      <c r="R240" t="s">
        <v>27</v>
      </c>
      <c r="S240" t="s">
        <v>43</v>
      </c>
      <c r="T240" t="s">
        <v>26</v>
      </c>
      <c r="U240" t="s">
        <v>44</v>
      </c>
      <c r="V240">
        <v>2.1450344132619699</v>
      </c>
      <c r="W240">
        <v>9.1592552138337006E-3</v>
      </c>
      <c r="X240" t="s">
        <v>371</v>
      </c>
      <c r="Y240" t="s">
        <v>31</v>
      </c>
    </row>
    <row r="241" spans="1:25" x14ac:dyDescent="0.2">
      <c r="A241" t="s">
        <v>368</v>
      </c>
      <c r="B241" t="s">
        <v>90</v>
      </c>
      <c r="C241" t="s">
        <v>24</v>
      </c>
      <c r="D241">
        <v>0.222498249506597</v>
      </c>
      <c r="E241">
        <v>2.1217894404358998E-3</v>
      </c>
      <c r="F241" t="s">
        <v>35</v>
      </c>
      <c r="G241">
        <v>53</v>
      </c>
      <c r="H241">
        <v>3.1122975744335701E-2</v>
      </c>
      <c r="I241" t="s">
        <v>36</v>
      </c>
      <c r="J241" t="b">
        <v>0</v>
      </c>
      <c r="K241">
        <v>244.55630375952899</v>
      </c>
      <c r="L241">
        <v>244.880628083853</v>
      </c>
      <c r="M241">
        <v>19.061586334651899</v>
      </c>
      <c r="N241" t="s">
        <v>26</v>
      </c>
      <c r="O241" t="s">
        <v>26</v>
      </c>
      <c r="P241" t="s">
        <v>466</v>
      </c>
      <c r="Q241" t="s">
        <v>613</v>
      </c>
      <c r="R241" t="s">
        <v>27</v>
      </c>
      <c r="S241" t="s">
        <v>37</v>
      </c>
      <c r="T241" t="s">
        <v>38</v>
      </c>
      <c r="U241" t="s">
        <v>614</v>
      </c>
      <c r="V241">
        <v>1.8856418880583301</v>
      </c>
      <c r="W241">
        <v>9.4379289682369992E-3</v>
      </c>
      <c r="X241" t="s">
        <v>371</v>
      </c>
      <c r="Y241" t="s">
        <v>31</v>
      </c>
    </row>
    <row r="242" spans="1:25" x14ac:dyDescent="0.2">
      <c r="A242" t="s">
        <v>368</v>
      </c>
      <c r="B242" t="s">
        <v>138</v>
      </c>
      <c r="C242" t="s">
        <v>24</v>
      </c>
      <c r="D242">
        <v>3.8948402252001899E-2</v>
      </c>
      <c r="E242">
        <v>0.241674943305908</v>
      </c>
      <c r="F242" t="s">
        <v>35</v>
      </c>
      <c r="G242">
        <v>45</v>
      </c>
      <c r="H242">
        <v>0.198252628155732</v>
      </c>
      <c r="I242" t="s">
        <v>39</v>
      </c>
      <c r="J242" t="b">
        <v>0</v>
      </c>
      <c r="K242">
        <v>240.87304125703</v>
      </c>
      <c r="L242">
        <v>241.225982433501</v>
      </c>
      <c r="M242">
        <v>18.506197596226901</v>
      </c>
      <c r="N242" t="s">
        <v>26</v>
      </c>
      <c r="O242" t="s">
        <v>26</v>
      </c>
      <c r="P242" t="s">
        <v>436</v>
      </c>
      <c r="Q242">
        <f>-0.12801165381477 - 0.524516910126235</f>
        <v>-0.652528563941005</v>
      </c>
      <c r="R242" t="s">
        <v>27</v>
      </c>
      <c r="S242" t="s">
        <v>40</v>
      </c>
      <c r="T242" t="s">
        <v>41</v>
      </c>
      <c r="U242" t="s">
        <v>615</v>
      </c>
      <c r="V242">
        <v>2.4759455335644902</v>
      </c>
      <c r="W242">
        <v>0.166461368352297</v>
      </c>
      <c r="X242" t="s">
        <v>371</v>
      </c>
      <c r="Y242" t="s">
        <v>31</v>
      </c>
    </row>
    <row r="243" spans="1:25" x14ac:dyDescent="0.2">
      <c r="A243" t="s">
        <v>368</v>
      </c>
      <c r="B243" t="s">
        <v>101</v>
      </c>
      <c r="C243" t="s">
        <v>24</v>
      </c>
      <c r="D243">
        <v>1.16108524988635E-2</v>
      </c>
      <c r="E243">
        <v>0.51379957073419702</v>
      </c>
      <c r="F243" t="s">
        <v>35</v>
      </c>
      <c r="G243">
        <v>47</v>
      </c>
      <c r="H243">
        <v>-3.9925138466670998E-3</v>
      </c>
      <c r="I243" t="s">
        <v>39</v>
      </c>
      <c r="J243" t="b">
        <v>0</v>
      </c>
      <c r="K243">
        <v>251.22706626724801</v>
      </c>
      <c r="L243">
        <v>251.56039960058101</v>
      </c>
      <c r="M243">
        <v>20.103996525467998</v>
      </c>
      <c r="N243" t="s">
        <v>26</v>
      </c>
      <c r="O243" t="s">
        <v>26</v>
      </c>
      <c r="P243" t="s">
        <v>422</v>
      </c>
      <c r="Q243">
        <f>-0.0158620451590717 - 0.00787701746573737</f>
        <v>-2.3739062624809071E-2</v>
      </c>
      <c r="R243" t="s">
        <v>33</v>
      </c>
      <c r="S243" t="s">
        <v>40</v>
      </c>
      <c r="T243" t="s">
        <v>41</v>
      </c>
      <c r="U243" t="s">
        <v>616</v>
      </c>
      <c r="V243">
        <v>3.74693750965793</v>
      </c>
      <c r="W243">
        <v>6.0558833226552998E-3</v>
      </c>
      <c r="X243" t="s">
        <v>371</v>
      </c>
      <c r="Y243" t="s">
        <v>31</v>
      </c>
    </row>
    <row r="244" spans="1:25" x14ac:dyDescent="0.2">
      <c r="Y244" t="s">
        <v>31</v>
      </c>
    </row>
    <row r="245" spans="1:25" x14ac:dyDescent="0.2">
      <c r="Y245" t="s">
        <v>31</v>
      </c>
    </row>
    <row r="246" spans="1:25" x14ac:dyDescent="0.2">
      <c r="Y246" t="s">
        <v>31</v>
      </c>
    </row>
    <row r="247" spans="1:25" x14ac:dyDescent="0.2">
      <c r="Y247" t="s">
        <v>31</v>
      </c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7a</vt:lpstr>
      <vt:lpstr>Table 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2024-11-05T10:26:32Z</dcterms:modified>
</cp:coreProperties>
</file>